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Federal &amp; Regional Policy\PSE Transmission Rates\OATT Formula Rates\Formula Rate Annual Updates\2024 Annual Update\"/>
    </mc:Choice>
  </mc:AlternateContent>
  <bookViews>
    <workbookView xWindow="-90" yWindow="90" windowWidth="19290" windowHeight="6510" tabRatio="826" activeTab="1"/>
  </bookViews>
  <sheets>
    <sheet name="Sch 1" sheetId="33" r:id="rId1"/>
    <sheet name="ATT H-1 " sheetId="31" r:id="rId2"/>
    <sheet name="1 - ADIT" sheetId="2" r:id="rId3"/>
    <sheet name="2 - Other Tax" sheetId="3" r:id="rId4"/>
    <sheet name="3 - Revenue Credits" sheetId="5" r:id="rId5"/>
    <sheet name="4 - 100 Basis Pt ROE" sheetId="22" r:id="rId6"/>
    <sheet name="5 - Cost Support" sheetId="20" r:id="rId7"/>
    <sheet name="6 - Est and True up" sheetId="34" r:id="rId8"/>
    <sheet name="6A-Colstrip" sheetId="45" r:id="rId9"/>
    <sheet name="6B-So Intertie" sheetId="46" r:id="rId10"/>
    <sheet name="7 - Cap Add WS" sheetId="39" r:id="rId11"/>
    <sheet name="8 - Depreciation Rates" sheetId="40" r:id="rId12"/>
    <sheet name="WKSHT1 - Rev Credits" sheetId="19" r:id="rId13"/>
    <sheet name="WKSHT2 - Prepaid" sheetId="23" r:id="rId14"/>
    <sheet name="WKSHT3 - All GIFs" sheetId="38" r:id="rId15"/>
    <sheet name="WKSHT4 - Monthly Tx System Peak" sheetId="41" r:id="rId16"/>
    <sheet name="WKSHT5 - Plant in Service 13mo " sheetId="43" r:id="rId17"/>
    <sheet name="WKSHT6 - Cost of Capital" sheetId="44" r:id="rId18"/>
    <sheet name="WKSHT7 - EDIT" sheetId="47" r:id="rId19"/>
  </sheets>
  <externalReferences>
    <externalReference r:id="rId20"/>
    <externalReference r:id="rId21"/>
    <externalReference r:id="rId22"/>
    <externalReference r:id="rId23"/>
    <externalReference r:id="rId24"/>
    <externalReference r:id="rId25"/>
  </externalReferences>
  <definedNames>
    <definedName name="\0" localSheetId="17">'[1]Header Data'!#REF!</definedName>
    <definedName name="\0">#N/A</definedName>
    <definedName name="\1">'[1]Header Data'!#REF!</definedName>
    <definedName name="\b">#N/A</definedName>
    <definedName name="\c">#N/A</definedName>
    <definedName name="\d">#N/A</definedName>
    <definedName name="\E">#REF!</definedName>
    <definedName name="\f">#N/A</definedName>
    <definedName name="\m">#N/A</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_CPK1" localSheetId="10">#REF!</definedName>
    <definedName name="__CPK1">#REF!</definedName>
    <definedName name="__CPK2">#REF!</definedName>
    <definedName name="__CPK3">#REF!</definedName>
    <definedName name="__EGR1">#N/A</definedName>
    <definedName name="__EGR2">#N/A</definedName>
    <definedName name="__EGR3">#N/A</definedName>
    <definedName name="_CPK1" localSheetId="10">#REF!</definedName>
    <definedName name="_CPK1">#REF!</definedName>
    <definedName name="_CPK2">#REF!</definedName>
    <definedName name="_CPK3">#REF!</definedName>
    <definedName name="_EGR1">#N/A</definedName>
    <definedName name="_EGR2">#N/A</definedName>
    <definedName name="_EGR3">#N/A</definedName>
    <definedName name="_Fill" hidden="1">#REF!</definedName>
    <definedName name="_Key1" hidden="1">#REF!</definedName>
    <definedName name="_Order1" hidden="1">0</definedName>
    <definedName name="_Sort" hidden="1">#REF!</definedName>
    <definedName name="A">#REF!</definedName>
    <definedName name="ACCTTextLen">#REF!</definedName>
    <definedName name="ACTTextLen">#REF!</definedName>
    <definedName name="ALOC">#REF!</definedName>
    <definedName name="ALOC_2">#REF!</definedName>
    <definedName name="AMOUNT">#REF!</definedName>
    <definedName name="APR">#N/A</definedName>
    <definedName name="AREA">#N/A</definedName>
    <definedName name="AUG">#N/A</definedName>
    <definedName name="AVG">#N/A</definedName>
    <definedName name="B">#REF!</definedName>
    <definedName name="BadErrMsg">#REF!</definedName>
    <definedName name="BalanceSheet">#REF!</definedName>
    <definedName name="Bio_Flora">#REF!</definedName>
    <definedName name="C_">'[3]RR 8 2'!#REF!</definedName>
    <definedName name="CALC_C03">#REF!</definedName>
    <definedName name="CALC_C04">#REF!</definedName>
    <definedName name="CALC_C09">#REF!</definedName>
    <definedName name="CALC_LRG">#REF!</definedName>
    <definedName name="CALC_XLG">#REF!</definedName>
    <definedName name="CELL">#N/A</definedName>
    <definedName name="CLASSES">#N/A</definedName>
    <definedName name="CompanyTextLen">#REF!</definedName>
    <definedName name="CP">#N/A</definedName>
    <definedName name="CP_1">#N/A</definedName>
    <definedName name="CP_PG1B">#REF!</definedName>
    <definedName name="cp_pg2">#REF!</definedName>
    <definedName name="cp_pg2b">#REF!</definedName>
    <definedName name="CP_PG3B">#REF!</definedName>
    <definedName name="CPK1X">#REF!</definedName>
    <definedName name="CPK2X">#REF!</definedName>
    <definedName name="CREDITS">#REF!</definedName>
    <definedName name="CSTextLen">#REF!</definedName>
    <definedName name="CUST">#N/A</definedName>
    <definedName name="CUST1">#N/A</definedName>
    <definedName name="CUSTOM1">#REF!</definedName>
    <definedName name="CUSTOM2">#REF!</definedName>
    <definedName name="DATALINE">'[1]Header Data'!#REF!</definedName>
    <definedName name="DB_CPK">#N/A</definedName>
    <definedName name="DB_CPK1">[4]FERCFACT!#REF!</definedName>
    <definedName name="DB_CPK2">#REF!</definedName>
    <definedName name="DB_CPK3">#REF!</definedName>
    <definedName name="DB_CUST">#N/A</definedName>
    <definedName name="DB_EGR">#N/A</definedName>
    <definedName name="DB_EGR1">[4]FERCFACT!#REF!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EBITS">#REF!</definedName>
    <definedName name="DEC">#N/A</definedName>
    <definedName name="DecCP">#REF!</definedName>
    <definedName name="DISPLAY">#N/A</definedName>
    <definedName name="DR_1">#N/A</definedName>
    <definedName name="ED8_BIOFLORA_Print">#REF!</definedName>
    <definedName name="EFF_DATE">'[1]Header Data'!#REF!</definedName>
    <definedName name="EGR">#N/A</definedName>
    <definedName name="EGR1X">#REF!</definedName>
    <definedName name="EIGHT">#N/A</definedName>
    <definedName name="ELEVEN">#N/A</definedName>
    <definedName name="END">#REF!</definedName>
    <definedName name="ENERGY">#REF!</definedName>
    <definedName name="ENERGY_SUP" localSheetId="10">[4]FERCFACT!#REF!</definedName>
    <definedName name="ENERGY_SUP">[4]FERCFACT!#REF!</definedName>
    <definedName name="ENERGY1">#N/A</definedName>
    <definedName name="EST_BY_ACCT">#REF!</definedName>
    <definedName name="FACTORS">#REF!</definedName>
    <definedName name="FACTRS">#REF!</definedName>
    <definedName name="FIVE">#N/A</definedName>
    <definedName name="FOUR">#N/A</definedName>
    <definedName name="GJC_03">#REF!</definedName>
    <definedName name="GJC_04">#REF!</definedName>
    <definedName name="GJC_09">#REF!</definedName>
    <definedName name="HCTextLen">#REF!</definedName>
    <definedName name="head">#REF!</definedName>
    <definedName name="IMAX1">#REF!</definedName>
    <definedName name="IMAX2">#REF!</definedName>
    <definedName name="IMAX3">#REF!</definedName>
    <definedName name="IncomeStatement">#REF!</definedName>
    <definedName name="IND.MAX">#N/A</definedName>
    <definedName name="IND.MAX1">#N/A</definedName>
    <definedName name="INPUT" localSheetId="17">#REF!</definedName>
    <definedName name="INPUT">#N/A</definedName>
    <definedName name="INPUT_AREA">#REF!</definedName>
    <definedName name="INPUT_DATA">#REF!</definedName>
    <definedName name="JanCP">#REF!</definedName>
    <definedName name="jor">#REF!</definedName>
    <definedName name="JOUR_ENTRY">#REF!</definedName>
    <definedName name="JUL">#N/A</definedName>
    <definedName name="JUN">#N/A</definedName>
    <definedName name="LOCATE3">#N/A</definedName>
    <definedName name="LOCTABLE">#REF!</definedName>
    <definedName name="LOCTextLen">#REF!</definedName>
    <definedName name="losses">#REF!</definedName>
    <definedName name="LRG_GE">#REF!</definedName>
    <definedName name="LRG_GJ">#REF!</definedName>
    <definedName name="M">[4]FERCFACT!#REF!</definedName>
    <definedName name="MACRO">#N/A</definedName>
    <definedName name="MAIN">#N/A</definedName>
    <definedName name="MAR">#N/A</definedName>
    <definedName name="MAY">#N/A</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ONTHS">#N/A</definedName>
    <definedName name="MOVE">#N/A</definedName>
    <definedName name="MTH">#N/A</definedName>
    <definedName name="NCP">#N/A</definedName>
    <definedName name="NCP_1">#N/A</definedName>
    <definedName name="NCPK1">#N/A</definedName>
    <definedName name="NCPK1X">#REF!</definedName>
    <definedName name="NCPK2">#REF!</definedName>
    <definedName name="NCPK2X">#REF!</definedName>
    <definedName name="NCPK3">#REF!</definedName>
    <definedName name="NETWK_TRANS_PK_RPT_Print_Area" localSheetId="10">#REF!</definedName>
    <definedName name="NETWK_TRANS_PK_RPT_Print_Area">#REF!</definedName>
    <definedName name="NINE">#N/A</definedName>
    <definedName name="NoErrMsg">#REF!</definedName>
    <definedName name="NormErrMsg">#REF!</definedName>
    <definedName name="NOTE">#REF!</definedName>
    <definedName name="NOTE_A">#REF!</definedName>
    <definedName name="NOTE_B">#REF!</definedName>
    <definedName name="NOTE2">#REF!</definedName>
    <definedName name="NOV">#N/A</definedName>
    <definedName name="OCT">#N/A</definedName>
    <definedName name="ONE">#N/A</definedName>
    <definedName name="P_TYPE">#N/A</definedName>
    <definedName name="page1" localSheetId="17">'[5]W&amp;S by group'!#REF!</definedName>
    <definedName name="PAGE1">[4]FERCFACT!#REF!</definedName>
    <definedName name="page10">'[5]W&amp;S by group'!#REF!</definedName>
    <definedName name="page11">'[5]W&amp;S by group'!#REF!</definedName>
    <definedName name="page12">'[5]W&amp;S by group'!#REF!</definedName>
    <definedName name="page13">'[5]W&amp;S by group'!#REF!</definedName>
    <definedName name="page14">'[5]W&amp;S by group'!#REF!</definedName>
    <definedName name="page15">'[5]W&amp;S by group'!#REF!</definedName>
    <definedName name="page16">'[5]W&amp;S by group'!#REF!</definedName>
    <definedName name="page2" localSheetId="17">'[5]W&amp;S by group'!#REF!</definedName>
    <definedName name="PAGE2">#REF!</definedName>
    <definedName name="PAGE3" localSheetId="10">[4]FERCFACT!#REF!</definedName>
    <definedName name="page3" localSheetId="17">'[5]W&amp;S by group'!#REF!</definedName>
    <definedName name="PAGE3">[4]FERCFACT!#REF!</definedName>
    <definedName name="page4" localSheetId="17">'[5]W&amp;S by group'!#REF!</definedName>
    <definedName name="PAGE4">#REF!</definedName>
    <definedName name="page5" localSheetId="17">#REF!</definedName>
    <definedName name="PAGE5">#REF!</definedName>
    <definedName name="page6" localSheetId="17">#REF!</definedName>
    <definedName name="PAGE6">#REF!</definedName>
    <definedName name="page7" localSheetId="17">'[5]W&amp;S by group'!#REF!</definedName>
    <definedName name="PAGE7">#REF!</definedName>
    <definedName name="page8" localSheetId="17">'[5]W&amp;S by group'!#REF!</definedName>
    <definedName name="PAGE8">#REF!</definedName>
    <definedName name="page9" localSheetId="17">'[5]W&amp;S by group'!#REF!</definedName>
    <definedName name="PAGE9">#REF!</definedName>
    <definedName name="PageA">#REF!</definedName>
    <definedName name="PageB">#REF!</definedName>
    <definedName name="PageC">#REF!</definedName>
    <definedName name="PEAK">#N/A</definedName>
    <definedName name="PK_1">#N/A</definedName>
    <definedName name="_xlnm.Print_Area" localSheetId="3">'2 - Other Tax'!$A$1:$L$86</definedName>
    <definedName name="_xlnm.Print_Area" localSheetId="4">'3 - Revenue Credits'!$A$1:$I$34</definedName>
    <definedName name="_xlnm.Print_Area" localSheetId="6">'5 - Cost Support'!$A$1:$Q$257</definedName>
    <definedName name="_xlnm.Print_Area" localSheetId="7">'6 - Est and True up'!$A$1:$O$190</definedName>
    <definedName name="_xlnm.Print_Area" localSheetId="8">'6A-Colstrip'!$A$1:$Q$169</definedName>
    <definedName name="_xlnm.Print_Area" localSheetId="9">'6B-So Intertie'!$A$1:$R$172</definedName>
    <definedName name="_xlnm.Print_Area" localSheetId="10">'7 - Cap Add WS'!$A$1:$M$77</definedName>
    <definedName name="_xlnm.Print_Area" localSheetId="11">'8 - Depreciation Rates'!$A$1:$E$46</definedName>
    <definedName name="_xlnm.Print_Area" localSheetId="1">'ATT H-1 '!$A$1:$L$315</definedName>
    <definedName name="_xlnm.Print_Area" localSheetId="0">'Sch 1'!$A$2:$E$40</definedName>
    <definedName name="_xlnm.Print_Area" localSheetId="12">'WKSHT1 - Rev Credits'!$A$1:$L$153</definedName>
    <definedName name="_xlnm.Print_Area" localSheetId="14">'WKSHT3 - All GIFs'!$A$1:$E$85</definedName>
    <definedName name="_xlnm.Print_Area" localSheetId="15">'WKSHT4 - Monthly Tx System Peak'!$A$1:$K$74</definedName>
    <definedName name="_xlnm.Print_Area" localSheetId="17">'WKSHT6 - Cost of Capital'!$A$1:$P$58</definedName>
    <definedName name="_xlnm.Print_Area">'[2]BC 2 2005BC'!#REF!</definedName>
    <definedName name="PRINT_AREA_MI">'[2]BC 2 2005BC'!#REF!</definedName>
    <definedName name="PRINTFILE">#REF!</definedName>
    <definedName name="PROJ_WOTextLen">#REF!</definedName>
    <definedName name="PSLJ8LG">#N/A</definedName>
    <definedName name="PSOKI6">#N/A</definedName>
    <definedName name="Q">#REF!</definedName>
    <definedName name="_xlnm.Recorder">#REF!</definedName>
    <definedName name="RES_CPB">#REF!</definedName>
    <definedName name="SELECT">#N/A</definedName>
    <definedName name="SEP">#N/A</definedName>
    <definedName name="SEVEN">#N/A</definedName>
    <definedName name="SIX">#N/A</definedName>
    <definedName name="SORT">#N/A</definedName>
    <definedName name="SPACE">#N/A</definedName>
    <definedName name="Spot_Purchases_and_Tailgate">#REF!</definedName>
    <definedName name="SPOTE_04">#REF!</definedName>
    <definedName name="START">#REF!</definedName>
    <definedName name="STARTCR">#REF!</definedName>
    <definedName name="STARTDR">#REF!</definedName>
    <definedName name="SUBTITLE">#N/A</definedName>
    <definedName name="SUPPORTING_DATA_TO_UPLOAD">#REF!</definedName>
    <definedName name="suz">'[2]BC 2 2005BC'!#REF!</definedName>
    <definedName name="TEN">#N/A</definedName>
    <definedName name="THREE">#N/A</definedName>
    <definedName name="TWELVE">#N/A</definedName>
    <definedName name="TWO">#N/A</definedName>
    <definedName name="TYE">#N/A</definedName>
    <definedName name="TYE_1">#N/A</definedName>
    <definedName name="TYPETextLen">#REF!</definedName>
    <definedName name="Underground_Storage_Activity">#REF!</definedName>
    <definedName name="WELL_HEAD_ESTIMATES">#REF!</definedName>
    <definedName name="WITHSTD">#REF!</definedName>
    <definedName name="wrn.CP._.Demand." localSheetId="10" hidden="1">{"Retail CP pg1",#N/A,FALSE,"FACTOR3";"Retail CP pg2",#N/A,FALSE,"FACTOR3";"Retail CP pg3",#N/A,FALSE,"FACTOR3"}</definedName>
    <definedName name="wrn.CP._.Demand." hidden="1">{"Retail CP pg1",#N/A,FALSE,"FACTOR3";"Retail CP pg2",#N/A,FALSE,"FACTOR3";"Retail CP pg3",#N/A,FALSE,"FACTOR3"}</definedName>
    <definedName name="wrn.CP._.Demand2." localSheetId="10" hidden="1">{"Retail CP pg1",#N/A,FALSE,"FACTOR3";"Retail CP pg2",#N/A,FALSE,"FACTOR3";"Retail CP pg3",#N/A,FALSE,"FACTOR3"}</definedName>
    <definedName name="wrn.CP._.Demand2." hidden="1">{"Retail CP pg1",#N/A,FALSE,"FACTOR3";"Retail CP pg2",#N/A,FALSE,"FACTOR3";"Retail CP pg3",#N/A,FALSE,"FACTOR3"}</definedName>
    <definedName name="XLRG_GE">#REF!</definedName>
    <definedName name="XLRG_GJ">#REF!</definedName>
    <definedName name="Z_1155D18F_BFDD_426B_8E78_817CEB25FB23_.wvu.Cols" localSheetId="2" hidden="1">'1 - ADIT'!#REF!</definedName>
    <definedName name="Z_1155D18F_BFDD_426B_8E78_817CEB25FB23_.wvu.PrintArea" localSheetId="2" hidden="1">'1 - ADIT'!$A$1:$J$139</definedName>
    <definedName name="Z_1155D18F_BFDD_426B_8E78_817CEB25FB23_.wvu.PrintArea" localSheetId="4" hidden="1">'3 - Revenue Credits'!$A$1:$D$35</definedName>
    <definedName name="Z_16940A0E_2B20_4241_BF05_A4686E5A0274_.wvu.Cols" localSheetId="2" hidden="1">'1 - ADIT'!#REF!</definedName>
    <definedName name="Z_16940A0E_2B20_4241_BF05_A4686E5A0274_.wvu.PrintArea" localSheetId="2" hidden="1">'1 - ADIT'!$A$1:$J$140</definedName>
    <definedName name="Z_16940A0E_2B20_4241_BF05_A4686E5A0274_.wvu.PrintArea" localSheetId="4" hidden="1">'3 - Revenue Credits'!$A$1:$D$35</definedName>
    <definedName name="Z_28948E05_8F34_4F1E_96FB_A80A6A844600_.wvu.Cols" localSheetId="2" hidden="1">'1 - ADIT'!#REF!</definedName>
    <definedName name="Z_28948E05_8F34_4F1E_96FB_A80A6A844600_.wvu.PrintArea" localSheetId="2" hidden="1">'1 - ADIT'!$A$1:$J$139</definedName>
    <definedName name="Z_28948E05_8F34_4F1E_96FB_A80A6A844600_.wvu.PrintArea" localSheetId="4" hidden="1">'3 - Revenue Credits'!$A$1:$D$35</definedName>
    <definedName name="Z_3768C7C8_9953_11DA_B318_000FB55D51DC_.wvu.Cols" localSheetId="10" hidden="1">'7 - Cap Add WS'!#REF!</definedName>
    <definedName name="Z_3768C7C8_9953_11DA_B318_000FB55D51DC_.wvu.PrintArea" localSheetId="5" hidden="1">'4 - 100 Basis Pt ROE'!$A$9:$G$52</definedName>
    <definedName name="Z_3768C7C8_9953_11DA_B318_000FB55D51DC_.wvu.PrintArea" localSheetId="6" hidden="1">'5 - Cost Support'!$A$74:$N$239</definedName>
    <definedName name="Z_3768C7C8_9953_11DA_B318_000FB55D51DC_.wvu.PrintTitles" localSheetId="6" hidden="1">'5 - Cost Support'!#REF!</definedName>
    <definedName name="Z_3768C7C8_9953_11DA_B318_000FB55D51DC_.wvu.PrintTitles" localSheetId="10" hidden="1">'7 - Cap Add WS'!$B:$C</definedName>
    <definedName name="Z_3768C7C8_9953_11DA_B318_000FB55D51DC_.wvu.Rows" localSheetId="6" hidden="1">'5 - Cost Support'!#REF!</definedName>
    <definedName name="Z_3BDD6235_B127_4929_8311_BDAF7BB89818_.wvu.Cols" localSheetId="10" hidden="1">'7 - Cap Add WS'!#REF!</definedName>
    <definedName name="Z_3BDD6235_B127_4929_8311_BDAF7BB89818_.wvu.PrintArea" localSheetId="5" hidden="1">'4 - 100 Basis Pt ROE'!$A$9:$G$52</definedName>
    <definedName name="Z_3BDD6235_B127_4929_8311_BDAF7BB89818_.wvu.PrintArea" localSheetId="6" hidden="1">'5 - Cost Support'!$A$74:$N$239</definedName>
    <definedName name="Z_3BDD6235_B127_4929_8311_BDAF7BB89818_.wvu.PrintTitles" localSheetId="6" hidden="1">'5 - Cost Support'!#REF!</definedName>
    <definedName name="Z_3BDD6235_B127_4929_8311_BDAF7BB89818_.wvu.PrintTitles" localSheetId="10" hidden="1">'7 - Cap Add WS'!$B:$C</definedName>
    <definedName name="Z_3BDD6235_B127_4929_8311_BDAF7BB89818_.wvu.Rows" localSheetId="6" hidden="1">'5 - Cost Support'!#REF!</definedName>
    <definedName name="Z_44504B44_F20F_4B6F_B585_74D55BA74563_.wvu.Cols" localSheetId="2" hidden="1">'1 - ADIT'!#REF!</definedName>
    <definedName name="Z_44504B44_F20F_4B6F_B585_74D55BA74563_.wvu.PrintArea" localSheetId="2" hidden="1">'1 - ADIT'!$A$1:$J$140</definedName>
    <definedName name="Z_44504B44_F20F_4B6F_B585_74D55BA74563_.wvu.PrintArea" localSheetId="4" hidden="1">'3 - Revenue Credits'!$A$1:$D$35</definedName>
    <definedName name="Z_63011E91_4609_4523_98FE_FD252E915668_.wvu.Cols" localSheetId="2" hidden="1">'1 - ADIT'!#REF!</definedName>
    <definedName name="Z_63011E91_4609_4523_98FE_FD252E915668_.wvu.PrintArea" localSheetId="2" hidden="1">'1 - ADIT'!$A$1:$J$139</definedName>
    <definedName name="Z_63011E91_4609_4523_98FE_FD252E915668_.wvu.PrintArea" localSheetId="3" hidden="1">'2 - Other Tax'!$A$1:$H$86</definedName>
    <definedName name="Z_63011E91_4609_4523_98FE_FD252E915668_.wvu.PrintArea" localSheetId="4" hidden="1">'3 - Revenue Credits'!$A$1:$D$35</definedName>
    <definedName name="Z_71B42B22_A376_44B5_B0C1_23FC1AA3DBA2_.wvu.Cols" localSheetId="2" hidden="1">'1 - ADIT'!#REF!</definedName>
    <definedName name="Z_71B42B22_A376_44B5_B0C1_23FC1AA3DBA2_.wvu.PrintArea" localSheetId="2" hidden="1">'1 - ADIT'!$A$1:$J$139</definedName>
    <definedName name="Z_71B42B22_A376_44B5_B0C1_23FC1AA3DBA2_.wvu.PrintArea" localSheetId="4" hidden="1">'3 - Revenue Credits'!$A$1:$D$35</definedName>
    <definedName name="Z_B0241363_5C8A_48FC_89A6_56D55586BABE_.wvu.Cols" localSheetId="10" hidden="1">'7 - Cap Add WS'!#REF!</definedName>
    <definedName name="Z_B0241363_5C8A_48FC_89A6_56D55586BABE_.wvu.PrintArea" localSheetId="5" hidden="1">'4 - 100 Basis Pt ROE'!$A$9:$G$52</definedName>
    <definedName name="Z_B0241363_5C8A_48FC_89A6_56D55586BABE_.wvu.PrintArea" localSheetId="6" hidden="1">'5 - Cost Support'!$A$74:$N$239</definedName>
    <definedName name="Z_B0241363_5C8A_48FC_89A6_56D55586BABE_.wvu.PrintTitles" localSheetId="6" hidden="1">'5 - Cost Support'!#REF!</definedName>
    <definedName name="Z_B0241363_5C8A_48FC_89A6_56D55586BABE_.wvu.PrintTitles" localSheetId="10" hidden="1">'7 - Cap Add WS'!$B:$C</definedName>
    <definedName name="Z_B0241363_5C8A_48FC_89A6_56D55586BABE_.wvu.Rows" localSheetId="6" hidden="1">'5 - Cost Support'!#REF!</definedName>
    <definedName name="Z_B647CB7F_C846_4278_B6B1_1EF7F3C004F5_.wvu.Cols" localSheetId="2" hidden="1">'1 - ADIT'!#REF!</definedName>
    <definedName name="Z_B647CB7F_C846_4278_B6B1_1EF7F3C004F5_.wvu.PrintArea" localSheetId="2" hidden="1">'1 - ADIT'!$A$1:$J$139</definedName>
    <definedName name="Z_B647CB7F_C846_4278_B6B1_1EF7F3C004F5_.wvu.PrintArea" localSheetId="4" hidden="1">'3 - Revenue Credits'!$A$1:$D$35</definedName>
    <definedName name="Z_C0EA0F9F_7310_4201_82C9_7B8FC8DB9137_.wvu.Cols" localSheetId="10" hidden="1">'7 - Cap Add WS'!#REF!</definedName>
    <definedName name="Z_C0EA0F9F_7310_4201_82C9_7B8FC8DB9137_.wvu.PrintArea" localSheetId="5" hidden="1">'4 - 100 Basis Pt ROE'!$A$9:$G$52</definedName>
    <definedName name="Z_C0EA0F9F_7310_4201_82C9_7B8FC8DB9137_.wvu.PrintArea" localSheetId="6" hidden="1">'5 - Cost Support'!$A$74:$N$239</definedName>
    <definedName name="Z_C0EA0F9F_7310_4201_82C9_7B8FC8DB9137_.wvu.PrintTitles" localSheetId="6" hidden="1">'5 - Cost Support'!#REF!</definedName>
    <definedName name="Z_C0EA0F9F_7310_4201_82C9_7B8FC8DB9137_.wvu.PrintTitles" localSheetId="10" hidden="1">'7 - Cap Add WS'!$B:$C</definedName>
    <definedName name="Z_C0EA0F9F_7310_4201_82C9_7B8FC8DB9137_.wvu.Rows" localSheetId="6" hidden="1">'5 - Cost Support'!#REF!</definedName>
    <definedName name="Z_DC91DEF3_837B_4BB9_A81E_3B78C5914E6C_.wvu.Cols" localSheetId="2" hidden="1">'1 - ADIT'!#REF!</definedName>
    <definedName name="Z_DC91DEF3_837B_4BB9_A81E_3B78C5914E6C_.wvu.PrintArea" localSheetId="2" hidden="1">'1 - ADIT'!$A$1:$J$139</definedName>
    <definedName name="Z_DC91DEF3_837B_4BB9_A81E_3B78C5914E6C_.wvu.PrintArea" localSheetId="4" hidden="1">'3 - Revenue Credits'!$A$1:$D$35</definedName>
    <definedName name="Z_FAAD9AAC_1337_43AB_BF1F_CCF9DFCF5B78_.wvu.Cols" localSheetId="2" hidden="1">'1 - ADIT'!#REF!</definedName>
    <definedName name="Z_FAAD9AAC_1337_43AB_BF1F_CCF9DFCF5B78_.wvu.PrintArea" localSheetId="2" hidden="1">'1 - ADIT'!$A$1:$J$139</definedName>
    <definedName name="Z_FAAD9AAC_1337_43AB_BF1F_CCF9DFCF5B78_.wvu.PrintArea" localSheetId="4" hidden="1">'3 - Revenue Credits'!$A$1:$D$35</definedName>
  </definedNames>
  <calcPr calcId="162913"/>
  <customWorkbookViews>
    <customWorkbookView name="Ken Lee - Personal View" guid="{16940A0E-2B20-4241-BF05-A4686E5A0274}" mergeInterval="0" personalView="1" maximized="1" windowWidth="1020" windowHeight="593" tabRatio="809" activeSheetId="1"/>
    <customWorkbookView name="z93536 - Personal View" guid="{44504B44-F20F-4B6F-B585-74D55BA74563}" mergeInterval="0" personalView="1" maximized="1" windowWidth="1020" windowHeight="579" tabRatio="809" activeSheetId="1"/>
    <customWorkbookView name="x317aks - Personal View" guid="{FAAD9AAC-1337-43AB-BF1F-CCF9DFCF5B78}" mergeInterval="0" personalView="1" maximized="1" windowWidth="1020" windowHeight="592" tabRatio="809" activeSheetId="4"/>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70" tabRatio="809" activeSheetId="1"/>
    <customWorkbookView name="wdbooth - Personal View" guid="{B647CB7F-C846-4278-B6B1-1EF7F3C004F5}" mergeInterval="0" personalView="1" maximized="1" windowWidth="756" windowHeight="354" tabRatio="809" activeSheetId="9"/>
    <customWorkbookView name="Dana Olds - Personal View" guid="{63011E91-4609-4523-98FE-FD252E915668}" mergeInterval="0" personalView="1" maximized="1" windowWidth="1020" windowHeight="605" tabRatio="809" activeSheetId="11"/>
    <customWorkbookView name="Preferred Customer - Personal View" guid="{DC91DEF3-837B-4BB9-A81E-3B78C5914E6C}" mergeInterval="0" personalView="1" maximized="1" windowWidth="1020" windowHeight="603" tabRatio="809" activeSheetId="2"/>
    <customWorkbookView name="alan - Personal View" guid="{1155D18F-BFDD-426B-8E78-817CEB25FB23}" mergeInterval="0" personalView="1" maximized="1" windowWidth="1009" windowHeight="568" tabRatio="809" activeSheetId="1"/>
  </customWorkbookViews>
</workbook>
</file>

<file path=xl/calcChain.xml><?xml version="1.0" encoding="utf-8"?>
<calcChain xmlns="http://schemas.openxmlformats.org/spreadsheetml/2006/main">
  <c r="H25" i="31" l="1"/>
  <c r="J32" i="31" l="1"/>
  <c r="H32" i="31" s="1"/>
  <c r="P20" i="44" l="1"/>
  <c r="I86" i="20" l="1"/>
  <c r="J194" i="20" l="1"/>
  <c r="L10" i="31" l="1"/>
  <c r="L11" i="31"/>
  <c r="L9" i="31"/>
  <c r="F98" i="2" l="1"/>
  <c r="F97" i="2"/>
  <c r="H96" i="2"/>
  <c r="F95" i="2"/>
  <c r="F92" i="2"/>
  <c r="F91" i="2"/>
  <c r="I90" i="2"/>
  <c r="E98" i="2"/>
  <c r="E97" i="2"/>
  <c r="E96" i="2"/>
  <c r="E95" i="2"/>
  <c r="E94" i="2"/>
  <c r="E93" i="2"/>
  <c r="E92" i="2"/>
  <c r="E91" i="2"/>
  <c r="E90" i="2"/>
  <c r="E89" i="2"/>
  <c r="L63" i="3" l="1"/>
  <c r="K152" i="19" l="1"/>
  <c r="K150" i="19"/>
  <c r="C146" i="19"/>
  <c r="D146" i="19"/>
  <c r="E146" i="19"/>
  <c r="K146" i="19" l="1"/>
  <c r="F146" i="19"/>
  <c r="F148" i="19" s="1"/>
  <c r="K153" i="19"/>
  <c r="I85" i="46" l="1"/>
  <c r="I86" i="46"/>
  <c r="I87" i="46"/>
  <c r="I88" i="46"/>
  <c r="I89" i="46"/>
  <c r="I90" i="46"/>
  <c r="I84" i="46"/>
  <c r="I85" i="45"/>
  <c r="I86" i="45"/>
  <c r="I87" i="45"/>
  <c r="I88" i="45"/>
  <c r="I89" i="45"/>
  <c r="I90" i="45"/>
  <c r="I84" i="45"/>
  <c r="I103" i="34"/>
  <c r="I104" i="34"/>
  <c r="I105" i="34"/>
  <c r="I106" i="34"/>
  <c r="I107" i="34"/>
  <c r="I108" i="34"/>
  <c r="I102" i="34"/>
  <c r="I86" i="34"/>
  <c r="I87" i="34"/>
  <c r="I88" i="34"/>
  <c r="I89" i="34"/>
  <c r="I90" i="34"/>
  <c r="I91" i="34"/>
  <c r="I85" i="34"/>
  <c r="P57" i="44" l="1"/>
  <c r="D44" i="44"/>
  <c r="P42" i="44"/>
  <c r="E23" i="44"/>
  <c r="F23" i="44"/>
  <c r="G23" i="44"/>
  <c r="H23" i="44"/>
  <c r="I23" i="44"/>
  <c r="J23" i="44"/>
  <c r="K23" i="44"/>
  <c r="L23" i="44"/>
  <c r="M23" i="44"/>
  <c r="N23" i="44"/>
  <c r="O23" i="44"/>
  <c r="D23" i="44"/>
  <c r="D85" i="38" l="1"/>
  <c r="C85" i="38"/>
  <c r="E80" i="38"/>
  <c r="E81" i="38"/>
  <c r="E82" i="38"/>
  <c r="E83" i="38"/>
  <c r="O210" i="43"/>
  <c r="O211" i="43"/>
  <c r="C213" i="43"/>
  <c r="D213" i="43"/>
  <c r="E213" i="43"/>
  <c r="F213" i="43"/>
  <c r="G213" i="43"/>
  <c r="H213" i="43"/>
  <c r="I213" i="43"/>
  <c r="J213" i="43"/>
  <c r="K213" i="43"/>
  <c r="L213" i="43"/>
  <c r="M213" i="43"/>
  <c r="N213" i="43"/>
  <c r="O213" i="43"/>
  <c r="B213" i="43"/>
  <c r="C46" i="44" l="1"/>
  <c r="I83" i="46"/>
  <c r="I82" i="46"/>
  <c r="I81" i="46"/>
  <c r="I80" i="46"/>
  <c r="I79" i="46"/>
  <c r="I83" i="45"/>
  <c r="I82" i="45"/>
  <c r="I81" i="45"/>
  <c r="I80" i="45"/>
  <c r="I79" i="45"/>
  <c r="I101" i="34"/>
  <c r="I100" i="34"/>
  <c r="I99" i="34"/>
  <c r="I98" i="34"/>
  <c r="I97" i="34"/>
  <c r="G85" i="34"/>
  <c r="I84" i="34"/>
  <c r="I83" i="34"/>
  <c r="I82" i="34"/>
  <c r="I81" i="34"/>
  <c r="I80" i="34"/>
  <c r="E49" i="3"/>
  <c r="E50" i="3"/>
  <c r="J107" i="31" l="1"/>
  <c r="E66" i="2" l="1"/>
  <c r="E38" i="2"/>
  <c r="F38" i="2" s="1"/>
  <c r="E37" i="2"/>
  <c r="E34" i="2"/>
  <c r="O148" i="43" l="1"/>
  <c r="B14" i="19" l="1"/>
  <c r="B33" i="19"/>
  <c r="P24" i="44" l="1"/>
  <c r="O58" i="44" l="1"/>
  <c r="Q20" i="23" l="1"/>
  <c r="W20" i="23" s="1"/>
  <c r="D22" i="23"/>
  <c r="L15" i="47" l="1"/>
  <c r="K15" i="47"/>
  <c r="J15" i="47"/>
  <c r="H77" i="20" l="1"/>
  <c r="G62" i="20"/>
  <c r="J11" i="31" l="1"/>
  <c r="J10" i="31"/>
  <c r="J9" i="31"/>
  <c r="C58" i="44" l="1"/>
  <c r="J267" i="31" l="1"/>
  <c r="E251" i="20" l="1"/>
  <c r="J156" i="20" l="1"/>
  <c r="J157" i="20"/>
  <c r="J158" i="20"/>
  <c r="J159" i="20"/>
  <c r="J160" i="20"/>
  <c r="J161" i="20"/>
  <c r="J162" i="20"/>
  <c r="J163" i="20"/>
  <c r="J164" i="20"/>
  <c r="J165" i="20"/>
  <c r="J166" i="20"/>
  <c r="J167" i="20"/>
  <c r="J168" i="20"/>
  <c r="J169" i="20"/>
  <c r="J170" i="20"/>
  <c r="J171" i="20"/>
  <c r="J172" i="20"/>
  <c r="J173" i="20"/>
  <c r="J174" i="20"/>
  <c r="J175" i="20"/>
  <c r="J176" i="20"/>
  <c r="J177" i="20"/>
  <c r="J178" i="20"/>
  <c r="J179" i="20"/>
  <c r="J180" i="20"/>
  <c r="J181" i="20"/>
  <c r="J182" i="20"/>
  <c r="J183" i="20"/>
  <c r="J184" i="20"/>
  <c r="J185" i="20"/>
  <c r="J186" i="20"/>
  <c r="J187" i="20"/>
  <c r="J188" i="20"/>
  <c r="J189" i="20"/>
  <c r="J190" i="20"/>
  <c r="J191" i="20"/>
  <c r="J192" i="20"/>
  <c r="J193" i="20"/>
  <c r="Q39" i="23" l="1"/>
  <c r="P41" i="23"/>
  <c r="I15" i="47" l="1"/>
  <c r="H15" i="47"/>
  <c r="G15" i="47"/>
  <c r="D58" i="44" l="1"/>
  <c r="E4" i="38" l="1"/>
  <c r="N318" i="43" l="1"/>
  <c r="N312" i="43"/>
  <c r="N236" i="43"/>
  <c r="N227" i="43"/>
  <c r="N151" i="43" l="1"/>
  <c r="C50" i="43"/>
  <c r="D50" i="43"/>
  <c r="E50" i="43"/>
  <c r="F50" i="43"/>
  <c r="G50" i="43"/>
  <c r="H50" i="43"/>
  <c r="I50" i="43"/>
  <c r="J50" i="43"/>
  <c r="K50" i="43"/>
  <c r="L50" i="43"/>
  <c r="M50" i="43"/>
  <c r="N50" i="43"/>
  <c r="I72" i="41" l="1"/>
  <c r="J72" i="41"/>
  <c r="K72" i="41"/>
  <c r="I68" i="41"/>
  <c r="J68" i="41"/>
  <c r="K68" i="41"/>
  <c r="I64" i="41"/>
  <c r="J64" i="41"/>
  <c r="K64" i="41"/>
  <c r="I60" i="41"/>
  <c r="J60" i="41"/>
  <c r="K60" i="41"/>
  <c r="I196" i="20" l="1"/>
  <c r="I149" i="20"/>
  <c r="Q38" i="23" l="1"/>
  <c r="T38" i="23" s="1"/>
  <c r="T39" i="23"/>
  <c r="D41" i="23"/>
  <c r="E41" i="23"/>
  <c r="Q19" i="23" l="1"/>
  <c r="W19" i="23" s="1"/>
  <c r="Q18" i="23"/>
  <c r="W18" i="23" s="1"/>
  <c r="E22" i="23"/>
  <c r="Q5" i="23"/>
  <c r="E69" i="2" l="1"/>
  <c r="F69" i="2" s="1"/>
  <c r="D71" i="2"/>
  <c r="C71" i="2"/>
  <c r="E36" i="2"/>
  <c r="I246" i="20" l="1"/>
  <c r="E58" i="44" l="1"/>
  <c r="F58" i="44"/>
  <c r="G58" i="44"/>
  <c r="H58" i="44"/>
  <c r="I58" i="44"/>
  <c r="J58" i="44"/>
  <c r="K58" i="44"/>
  <c r="L58" i="44"/>
  <c r="M58" i="44"/>
  <c r="N58" i="44"/>
  <c r="E46" i="22" l="1"/>
  <c r="A4" i="38" l="1"/>
  <c r="E60" i="38"/>
  <c r="E61" i="38"/>
  <c r="E62" i="38"/>
  <c r="E63" i="38"/>
  <c r="E64" i="38"/>
  <c r="E65" i="38"/>
  <c r="E66" i="38"/>
  <c r="E67" i="38"/>
  <c r="O194" i="43"/>
  <c r="O196" i="43"/>
  <c r="O197" i="43"/>
  <c r="O198" i="43"/>
  <c r="O199" i="43"/>
  <c r="O200" i="43"/>
  <c r="O201" i="43"/>
  <c r="O202" i="43"/>
  <c r="O203" i="43"/>
  <c r="O205" i="43"/>
  <c r="O206" i="43"/>
  <c r="O207" i="43"/>
  <c r="O193" i="43"/>
  <c r="O154" i="43"/>
  <c r="O226" i="43"/>
  <c r="H196" i="20"/>
  <c r="O204" i="43" l="1"/>
  <c r="O195" i="43"/>
  <c r="N75" i="43" l="1"/>
  <c r="D151" i="43"/>
  <c r="J68" i="20" l="1"/>
  <c r="P23" i="44" l="1"/>
  <c r="P12" i="44"/>
  <c r="P13" i="44"/>
  <c r="P14" i="44"/>
  <c r="F240" i="31" l="1"/>
  <c r="Q12" i="23" l="1"/>
  <c r="W12" i="23" s="1"/>
  <c r="Q13" i="23"/>
  <c r="W13" i="23" s="1"/>
  <c r="Q14" i="23"/>
  <c r="W14" i="23" s="1"/>
  <c r="Q15" i="23"/>
  <c r="W15" i="23" s="1"/>
  <c r="Q16" i="23"/>
  <c r="W16" i="23" s="1"/>
  <c r="Q17" i="23"/>
  <c r="W17" i="23" s="1"/>
  <c r="Q36" i="23"/>
  <c r="T36" i="23" s="1"/>
  <c r="Q37" i="23"/>
  <c r="T37" i="23" s="1"/>
  <c r="E6" i="23"/>
  <c r="F6" i="23"/>
  <c r="G6" i="23"/>
  <c r="H6" i="23"/>
  <c r="I6" i="23"/>
  <c r="J6" i="23"/>
  <c r="K6" i="23"/>
  <c r="L6" i="23"/>
  <c r="M6" i="23"/>
  <c r="N6" i="23"/>
  <c r="O6" i="23"/>
  <c r="P6" i="23"/>
  <c r="D6" i="23"/>
  <c r="E254" i="20" l="1"/>
  <c r="G16" i="5" l="1"/>
  <c r="H16" i="5"/>
  <c r="U26" i="23" l="1"/>
  <c r="E27" i="23"/>
  <c r="F27" i="23"/>
  <c r="G27" i="23"/>
  <c r="H27" i="23"/>
  <c r="I27" i="23"/>
  <c r="J27" i="23"/>
  <c r="K27" i="23"/>
  <c r="L27" i="23"/>
  <c r="M27" i="23"/>
  <c r="N27" i="23"/>
  <c r="O27" i="23"/>
  <c r="P27" i="23"/>
  <c r="D27" i="23"/>
  <c r="D44" i="23" s="1"/>
  <c r="O280" i="43" l="1"/>
  <c r="O281" i="43"/>
  <c r="O282" i="43"/>
  <c r="O283" i="43"/>
  <c r="O284" i="43"/>
  <c r="O285" i="43"/>
  <c r="O286" i="43"/>
  <c r="O287" i="43"/>
  <c r="O288" i="43"/>
  <c r="O289" i="43"/>
  <c r="O290" i="43"/>
  <c r="O291" i="43"/>
  <c r="O292" i="43"/>
  <c r="O293" i="43"/>
  <c r="O294" i="43"/>
  <c r="O295" i="43"/>
  <c r="O296" i="43"/>
  <c r="O297" i="43"/>
  <c r="O222" i="43"/>
  <c r="O208" i="43"/>
  <c r="O209" i="43"/>
  <c r="B75" i="43"/>
  <c r="B65" i="43"/>
  <c r="B50" i="43"/>
  <c r="B151" i="43"/>
  <c r="B156" i="43"/>
  <c r="O130" i="43"/>
  <c r="O131" i="43"/>
  <c r="O132" i="43"/>
  <c r="O133" i="43"/>
  <c r="O134" i="43"/>
  <c r="O135" i="43"/>
  <c r="O136" i="43"/>
  <c r="O137" i="43"/>
  <c r="O138" i="43"/>
  <c r="O139" i="43"/>
  <c r="O140" i="43"/>
  <c r="O141" i="43"/>
  <c r="O142" i="43"/>
  <c r="O143" i="43"/>
  <c r="O144" i="43"/>
  <c r="O145" i="43"/>
  <c r="O146" i="43"/>
  <c r="O147" i="43"/>
  <c r="O149" i="43"/>
  <c r="O150" i="43"/>
  <c r="O153" i="43"/>
  <c r="O155" i="43"/>
  <c r="C156" i="43"/>
  <c r="D156" i="43"/>
  <c r="E156" i="43"/>
  <c r="F156" i="43"/>
  <c r="G156" i="43"/>
  <c r="H156" i="43"/>
  <c r="I156" i="43"/>
  <c r="J156" i="43"/>
  <c r="K156" i="43"/>
  <c r="L156" i="43"/>
  <c r="M156" i="43"/>
  <c r="N156" i="43"/>
  <c r="Q35" i="23" l="1"/>
  <c r="T35" i="23" s="1"/>
  <c r="Q31" i="23"/>
  <c r="F41" i="23"/>
  <c r="G41" i="23"/>
  <c r="H41" i="23"/>
  <c r="I41" i="23"/>
  <c r="J41" i="23"/>
  <c r="K41" i="23"/>
  <c r="L41" i="23"/>
  <c r="M41" i="23"/>
  <c r="N41" i="23"/>
  <c r="O41" i="23"/>
  <c r="F22" i="23"/>
  <c r="G22" i="23"/>
  <c r="H22" i="23"/>
  <c r="I22" i="23"/>
  <c r="J22" i="23"/>
  <c r="K22" i="23"/>
  <c r="L22" i="23"/>
  <c r="M22" i="23"/>
  <c r="N22" i="23"/>
  <c r="O22" i="23"/>
  <c r="P22" i="23"/>
  <c r="P44" i="23" s="1"/>
  <c r="Q27" i="23"/>
  <c r="Q6" i="23"/>
  <c r="T31" i="23" l="1"/>
  <c r="Q10" i="23" l="1"/>
  <c r="Q11" i="23"/>
  <c r="Q22" i="23" l="1"/>
  <c r="J154" i="20"/>
  <c r="O38" i="43" l="1"/>
  <c r="O39" i="43"/>
  <c r="O40" i="43"/>
  <c r="O41" i="43"/>
  <c r="O42" i="43"/>
  <c r="O43" i="43"/>
  <c r="O44" i="43"/>
  <c r="O45" i="43"/>
  <c r="O46" i="43"/>
  <c r="O47" i="43"/>
  <c r="O48" i="43"/>
  <c r="O49" i="43"/>
  <c r="O8" i="43"/>
  <c r="O9" i="43"/>
  <c r="O10" i="43"/>
  <c r="O11" i="43"/>
  <c r="O12" i="43"/>
  <c r="O13" i="43"/>
  <c r="O14" i="43"/>
  <c r="O15" i="43"/>
  <c r="O16" i="43"/>
  <c r="O17" i="43"/>
  <c r="O18" i="43"/>
  <c r="O19" i="43"/>
  <c r="O20" i="43"/>
  <c r="O21" i="43"/>
  <c r="O22" i="43"/>
  <c r="O23" i="43"/>
  <c r="O24" i="43"/>
  <c r="O25" i="43"/>
  <c r="O26" i="43"/>
  <c r="O27" i="43"/>
  <c r="O28" i="43"/>
  <c r="O29" i="43"/>
  <c r="O30" i="43"/>
  <c r="O31" i="43"/>
  <c r="O32" i="43"/>
  <c r="O33" i="43"/>
  <c r="O34" i="43"/>
  <c r="O35" i="43"/>
  <c r="O36" i="43"/>
  <c r="O37" i="43"/>
  <c r="O7" i="43"/>
  <c r="L259" i="31" l="1"/>
  <c r="J146" i="20" l="1"/>
  <c r="E5" i="38" l="1"/>
  <c r="E3" i="38" l="1"/>
  <c r="C323" i="43" l="1"/>
  <c r="D323" i="43"/>
  <c r="E323" i="43"/>
  <c r="F323" i="43"/>
  <c r="G323" i="43"/>
  <c r="H323" i="43"/>
  <c r="I323" i="43"/>
  <c r="J323" i="43"/>
  <c r="K323" i="43"/>
  <c r="L323" i="43"/>
  <c r="M323" i="43"/>
  <c r="N323" i="43"/>
  <c r="B323" i="43"/>
  <c r="O315" i="43"/>
  <c r="O316" i="43"/>
  <c r="O317" i="43"/>
  <c r="O305" i="43"/>
  <c r="O306" i="43"/>
  <c r="O307" i="43"/>
  <c r="O308" i="43"/>
  <c r="O309" i="43"/>
  <c r="O310" i="43"/>
  <c r="O311" i="43"/>
  <c r="O221" i="43"/>
  <c r="O223" i="43"/>
  <c r="O224" i="43"/>
  <c r="O225" i="43"/>
  <c r="O215" i="43"/>
  <c r="O323" i="43" s="1"/>
  <c r="O177" i="43"/>
  <c r="O184" i="43"/>
  <c r="O185" i="43"/>
  <c r="O186" i="43"/>
  <c r="O187" i="43"/>
  <c r="O188" i="43"/>
  <c r="O189" i="43"/>
  <c r="O190" i="43"/>
  <c r="O191" i="43"/>
  <c r="O192" i="43"/>
  <c r="O217" i="43"/>
  <c r="O218" i="43"/>
  <c r="O219" i="43"/>
  <c r="O220" i="43"/>
  <c r="B227" i="43"/>
  <c r="C227" i="43"/>
  <c r="D227" i="43"/>
  <c r="E227" i="43"/>
  <c r="F227" i="43"/>
  <c r="G227" i="43"/>
  <c r="H227" i="43"/>
  <c r="I227" i="43"/>
  <c r="J227" i="43"/>
  <c r="K227" i="43"/>
  <c r="L227" i="43"/>
  <c r="M227" i="43"/>
  <c r="O52" i="43"/>
  <c r="C162" i="43"/>
  <c r="D162" i="43"/>
  <c r="E162" i="43"/>
  <c r="F162" i="43"/>
  <c r="G162" i="43"/>
  <c r="H162" i="43"/>
  <c r="I162" i="43"/>
  <c r="J162" i="43"/>
  <c r="K162" i="43"/>
  <c r="L162" i="43"/>
  <c r="M162" i="43"/>
  <c r="N162" i="43"/>
  <c r="B162" i="43"/>
  <c r="O227" i="43" l="1"/>
  <c r="O162" i="43"/>
  <c r="D169" i="43" l="1"/>
  <c r="E169" i="43"/>
  <c r="F169" i="43"/>
  <c r="G169" i="43"/>
  <c r="H169" i="43"/>
  <c r="I169" i="43"/>
  <c r="J169" i="43"/>
  <c r="K169" i="43"/>
  <c r="L169" i="43"/>
  <c r="M169" i="43"/>
  <c r="N169" i="43"/>
  <c r="O170" i="43"/>
  <c r="O171" i="43"/>
  <c r="C65" i="43"/>
  <c r="D65" i="43"/>
  <c r="E65" i="43"/>
  <c r="F65" i="43"/>
  <c r="G65" i="43"/>
  <c r="H65" i="43"/>
  <c r="I65" i="43"/>
  <c r="J65" i="43"/>
  <c r="K65" i="43"/>
  <c r="L65" i="43"/>
  <c r="M65" i="43"/>
  <c r="C75" i="43"/>
  <c r="D75" i="43"/>
  <c r="E75" i="43"/>
  <c r="F75" i="43"/>
  <c r="G75" i="43"/>
  <c r="H75" i="43"/>
  <c r="I75" i="43"/>
  <c r="J75" i="43"/>
  <c r="K75" i="43"/>
  <c r="L75" i="43"/>
  <c r="M75" i="43"/>
  <c r="E35" i="2" l="1"/>
  <c r="E33" i="2"/>
  <c r="E32" i="2"/>
  <c r="E31" i="2"/>
  <c r="E30" i="2"/>
  <c r="E29" i="2"/>
  <c r="F72" i="41" l="1"/>
  <c r="G72" i="41"/>
  <c r="F68" i="41"/>
  <c r="G68" i="41"/>
  <c r="F64" i="41"/>
  <c r="G64" i="41"/>
  <c r="F60" i="41"/>
  <c r="G60" i="41"/>
  <c r="J41" i="41"/>
  <c r="K24" i="41"/>
  <c r="K20" i="41"/>
  <c r="K16" i="41"/>
  <c r="K12" i="41"/>
  <c r="L92" i="31" l="1"/>
  <c r="L93" i="31" s="1"/>
  <c r="L98" i="31"/>
  <c r="L133" i="31"/>
  <c r="L141" i="31"/>
  <c r="L156" i="31"/>
  <c r="L158" i="31" s="1"/>
  <c r="L251" i="31" s="1"/>
  <c r="L12" i="31" l="1"/>
  <c r="L13" i="31" s="1"/>
  <c r="F99" i="46"/>
  <c r="F100" i="45"/>
  <c r="D109" i="2" l="1"/>
  <c r="C109" i="2"/>
  <c r="E77" i="38" l="1"/>
  <c r="E73" i="38" l="1"/>
  <c r="E76" i="38"/>
  <c r="E78" i="38"/>
  <c r="E70" i="38"/>
  <c r="E68" i="38"/>
  <c r="E79" i="38"/>
  <c r="E75" i="38"/>
  <c r="E71" i="38"/>
  <c r="E56" i="38"/>
  <c r="E72" i="38"/>
  <c r="E74" i="38"/>
  <c r="E59" i="38"/>
  <c r="E55" i="38"/>
  <c r="E69" i="38"/>
  <c r="E58" i="38"/>
  <c r="E57" i="38"/>
  <c r="O181" i="43"/>
  <c r="O240" i="43" l="1"/>
  <c r="O241" i="43"/>
  <c r="O242" i="43"/>
  <c r="O243" i="43"/>
  <c r="O244" i="43"/>
  <c r="O245" i="43"/>
  <c r="O246" i="43"/>
  <c r="O247" i="43"/>
  <c r="O248" i="43"/>
  <c r="O249" i="43"/>
  <c r="O250" i="43"/>
  <c r="O251" i="43"/>
  <c r="O252" i="43"/>
  <c r="O253" i="43"/>
  <c r="O254" i="43"/>
  <c r="O255" i="43"/>
  <c r="O256" i="43"/>
  <c r="O257" i="43"/>
  <c r="O258" i="43"/>
  <c r="O259" i="43"/>
  <c r="O260" i="43"/>
  <c r="O261" i="43"/>
  <c r="O262" i="43"/>
  <c r="O263" i="43"/>
  <c r="O264" i="43"/>
  <c r="O265" i="43"/>
  <c r="O266" i="43"/>
  <c r="O267" i="43"/>
  <c r="O268" i="43"/>
  <c r="O269" i="43"/>
  <c r="O270" i="43"/>
  <c r="O271" i="43"/>
  <c r="O272" i="43"/>
  <c r="O273" i="43"/>
  <c r="O274" i="43"/>
  <c r="O275" i="43"/>
  <c r="O276" i="43"/>
  <c r="O277" i="43"/>
  <c r="O278" i="43"/>
  <c r="O279" i="43"/>
  <c r="O298" i="43"/>
  <c r="O299" i="43"/>
  <c r="O300" i="43"/>
  <c r="O301" i="43"/>
  <c r="O302" i="43"/>
  <c r="O303" i="43"/>
  <c r="O304" i="43"/>
  <c r="O239" i="43"/>
  <c r="O235" i="43"/>
  <c r="O234" i="43"/>
  <c r="O233" i="43"/>
  <c r="O232" i="43"/>
  <c r="O231" i="43"/>
  <c r="O230" i="43"/>
  <c r="O179" i="43"/>
  <c r="O180" i="43"/>
  <c r="O182" i="43"/>
  <c r="O183" i="43"/>
  <c r="M318" i="43"/>
  <c r="L318" i="43"/>
  <c r="K318" i="43"/>
  <c r="J318" i="43"/>
  <c r="I318" i="43"/>
  <c r="H318" i="43"/>
  <c r="G318" i="43"/>
  <c r="F318" i="43"/>
  <c r="E318" i="43"/>
  <c r="D318" i="43"/>
  <c r="C318" i="43"/>
  <c r="B318" i="43"/>
  <c r="N320" i="43"/>
  <c r="M312" i="43"/>
  <c r="L312" i="43"/>
  <c r="K312" i="43"/>
  <c r="J312" i="43"/>
  <c r="I312" i="43"/>
  <c r="H312" i="43"/>
  <c r="G312" i="43"/>
  <c r="F312" i="43"/>
  <c r="E312" i="43"/>
  <c r="D312" i="43"/>
  <c r="C312" i="43"/>
  <c r="B312" i="43"/>
  <c r="N322" i="43"/>
  <c r="M236" i="43"/>
  <c r="M322" i="43" s="1"/>
  <c r="L236" i="43"/>
  <c r="L322" i="43" s="1"/>
  <c r="K236" i="43"/>
  <c r="K322" i="43" s="1"/>
  <c r="J236" i="43"/>
  <c r="J322" i="43" s="1"/>
  <c r="I236" i="43"/>
  <c r="I322" i="43" s="1"/>
  <c r="H236" i="43"/>
  <c r="H322" i="43" s="1"/>
  <c r="G236" i="43"/>
  <c r="G322" i="43" s="1"/>
  <c r="F236" i="43"/>
  <c r="F322" i="43" s="1"/>
  <c r="E236" i="43"/>
  <c r="E322" i="43" s="1"/>
  <c r="D236" i="43"/>
  <c r="D322" i="43" s="1"/>
  <c r="C236" i="43"/>
  <c r="C322" i="43" s="1"/>
  <c r="B236" i="43"/>
  <c r="B322" i="43" s="1"/>
  <c r="C169" i="43"/>
  <c r="B169" i="43"/>
  <c r="O129" i="43"/>
  <c r="O128" i="43"/>
  <c r="O127" i="43"/>
  <c r="O126" i="43"/>
  <c r="O125" i="43"/>
  <c r="O124" i="43"/>
  <c r="O123" i="43"/>
  <c r="O122" i="43"/>
  <c r="O121" i="43"/>
  <c r="O120" i="43"/>
  <c r="O119" i="43"/>
  <c r="O118" i="43"/>
  <c r="O117" i="43"/>
  <c r="O116" i="43"/>
  <c r="O115" i="43"/>
  <c r="O114" i="43"/>
  <c r="O113" i="43"/>
  <c r="O112" i="43"/>
  <c r="O111" i="43"/>
  <c r="O110" i="43"/>
  <c r="O109" i="43"/>
  <c r="O108" i="43"/>
  <c r="O107" i="43"/>
  <c r="O106" i="43"/>
  <c r="O105" i="43"/>
  <c r="O104" i="43"/>
  <c r="O103" i="43"/>
  <c r="O102" i="43"/>
  <c r="O101" i="43"/>
  <c r="O100" i="43"/>
  <c r="O99" i="43"/>
  <c r="O98" i="43"/>
  <c r="O97" i="43"/>
  <c r="O96" i="43"/>
  <c r="O95" i="43"/>
  <c r="O94" i="43"/>
  <c r="O93" i="43"/>
  <c r="O92" i="43"/>
  <c r="O91" i="43"/>
  <c r="O90" i="43"/>
  <c r="O89" i="43"/>
  <c r="O88" i="43"/>
  <c r="O87" i="43"/>
  <c r="O86" i="43"/>
  <c r="O85" i="43"/>
  <c r="O84" i="43"/>
  <c r="O83" i="43"/>
  <c r="O82" i="43"/>
  <c r="O81" i="43"/>
  <c r="O80" i="43"/>
  <c r="O79" i="43"/>
  <c r="O78" i="43"/>
  <c r="O77" i="43"/>
  <c r="M151" i="43"/>
  <c r="L151" i="43"/>
  <c r="K151" i="43"/>
  <c r="J151" i="43"/>
  <c r="I151" i="43"/>
  <c r="H151" i="43"/>
  <c r="G151" i="43"/>
  <c r="F151" i="43"/>
  <c r="E151" i="43"/>
  <c r="C151" i="43"/>
  <c r="O69" i="43"/>
  <c r="O70" i="43"/>
  <c r="O71" i="43"/>
  <c r="O72" i="43"/>
  <c r="O73" i="43"/>
  <c r="O74" i="43"/>
  <c r="O55" i="43"/>
  <c r="O56" i="43"/>
  <c r="O57" i="43"/>
  <c r="O58" i="43"/>
  <c r="O59" i="43"/>
  <c r="O60" i="43"/>
  <c r="O61" i="43"/>
  <c r="O62" i="43"/>
  <c r="O63" i="43"/>
  <c r="O64" i="43"/>
  <c r="O6" i="43"/>
  <c r="N161" i="43"/>
  <c r="M161" i="43"/>
  <c r="L161" i="43"/>
  <c r="K161" i="43"/>
  <c r="J161" i="43"/>
  <c r="I161" i="43"/>
  <c r="H161" i="43"/>
  <c r="G161" i="43"/>
  <c r="F161" i="43"/>
  <c r="E161" i="43"/>
  <c r="D161" i="43"/>
  <c r="C161" i="43"/>
  <c r="B161" i="43"/>
  <c r="N65" i="43"/>
  <c r="O161" i="43" l="1"/>
  <c r="O151" i="43"/>
  <c r="O156" i="43"/>
  <c r="O50" i="43"/>
  <c r="H159" i="43"/>
  <c r="O236" i="43"/>
  <c r="O322" i="43" s="1"/>
  <c r="I38" i="20" s="1"/>
  <c r="L47" i="31" s="1"/>
  <c r="C160" i="43"/>
  <c r="K160" i="43"/>
  <c r="B159" i="43"/>
  <c r="F159" i="43"/>
  <c r="J159" i="43"/>
  <c r="N159" i="43"/>
  <c r="E160" i="43"/>
  <c r="M160" i="43"/>
  <c r="K320" i="43"/>
  <c r="B321" i="43"/>
  <c r="F321" i="43"/>
  <c r="J321" i="43"/>
  <c r="N321" i="43"/>
  <c r="N324" i="43" s="1"/>
  <c r="I160" i="43"/>
  <c r="D159" i="43"/>
  <c r="L159" i="43"/>
  <c r="G160" i="43"/>
  <c r="E159" i="43"/>
  <c r="I159" i="43"/>
  <c r="M159" i="43"/>
  <c r="D160" i="43"/>
  <c r="H160" i="43"/>
  <c r="L160" i="43"/>
  <c r="C321" i="43"/>
  <c r="G321" i="43"/>
  <c r="K321" i="43"/>
  <c r="O312" i="43"/>
  <c r="O318" i="43"/>
  <c r="H320" i="43"/>
  <c r="L320" i="43"/>
  <c r="C320" i="43"/>
  <c r="D320" i="43"/>
  <c r="G320" i="43"/>
  <c r="B320" i="43"/>
  <c r="F320" i="43"/>
  <c r="F324" i="43" s="1"/>
  <c r="J320" i="43"/>
  <c r="J324" i="43" s="1"/>
  <c r="E321" i="43"/>
  <c r="I321" i="43"/>
  <c r="M321" i="43"/>
  <c r="C159" i="43"/>
  <c r="G159" i="43"/>
  <c r="K159" i="43"/>
  <c r="B160" i="43"/>
  <c r="F160" i="43"/>
  <c r="J160" i="43"/>
  <c r="N160" i="43"/>
  <c r="E320" i="43"/>
  <c r="I320" i="43"/>
  <c r="M320" i="43"/>
  <c r="D321" i="43"/>
  <c r="H321" i="43"/>
  <c r="L321" i="43"/>
  <c r="B324" i="43" l="1"/>
  <c r="G324" i="43"/>
  <c r="E324" i="43"/>
  <c r="I163" i="43"/>
  <c r="I324" i="43"/>
  <c r="D324" i="43"/>
  <c r="C324" i="43"/>
  <c r="L324" i="43"/>
  <c r="M324" i="43"/>
  <c r="H324" i="43"/>
  <c r="K324" i="43"/>
  <c r="E163" i="43"/>
  <c r="N163" i="43"/>
  <c r="O160" i="43"/>
  <c r="K163" i="43"/>
  <c r="M163" i="43"/>
  <c r="J163" i="43"/>
  <c r="O320" i="43"/>
  <c r="D163" i="43"/>
  <c r="B163" i="43"/>
  <c r="O159" i="43"/>
  <c r="C163" i="43"/>
  <c r="H163" i="43"/>
  <c r="G163" i="43"/>
  <c r="L163" i="43"/>
  <c r="F163" i="43"/>
  <c r="L48" i="31"/>
  <c r="O321" i="43"/>
  <c r="H38" i="20" s="1"/>
  <c r="O163" i="43" l="1"/>
  <c r="G38" i="20"/>
  <c r="F38" i="20" s="1"/>
  <c r="O324" i="43"/>
  <c r="G9" i="20"/>
  <c r="F109" i="20" l="1"/>
  <c r="M85" i="34"/>
  <c r="M84" i="45"/>
  <c r="M84" i="46"/>
  <c r="Q32" i="23" l="1"/>
  <c r="T32" i="23" s="1"/>
  <c r="Q33" i="23"/>
  <c r="T33" i="23" s="1"/>
  <c r="Q34" i="23"/>
  <c r="T34" i="23" s="1"/>
  <c r="Q41" i="23" l="1"/>
  <c r="T41" i="23"/>
  <c r="U27" i="23"/>
  <c r="J204" i="20" s="1"/>
  <c r="P45" i="44"/>
  <c r="P44" i="44"/>
  <c r="P52" i="44"/>
  <c r="P54" i="44"/>
  <c r="P55" i="44"/>
  <c r="J205" i="20" l="1"/>
  <c r="C72" i="41"/>
  <c r="H72" i="41"/>
  <c r="H68" i="41"/>
  <c r="C68" i="41"/>
  <c r="H64" i="41"/>
  <c r="C64" i="41"/>
  <c r="C60" i="41"/>
  <c r="H60" i="41"/>
  <c r="O176" i="43"/>
  <c r="O175" i="43"/>
  <c r="O174" i="43"/>
  <c r="O173" i="43"/>
  <c r="O172" i="43"/>
  <c r="O68" i="43"/>
  <c r="O75" i="43" s="1"/>
  <c r="I9" i="20" s="1"/>
  <c r="L31" i="31" s="1"/>
  <c r="L273" i="31" s="1"/>
  <c r="L282" i="31" s="1"/>
  <c r="O54" i="43"/>
  <c r="O65" i="43" s="1"/>
  <c r="L33" i="31" l="1"/>
  <c r="L258" i="31" s="1"/>
  <c r="L260" i="31" s="1"/>
  <c r="L261" i="31" s="1"/>
  <c r="H9" i="20"/>
  <c r="H73" i="41"/>
  <c r="J99" i="20" s="1"/>
  <c r="C73" i="41"/>
  <c r="C74" i="41" l="1"/>
  <c r="J98" i="20"/>
  <c r="J100" i="20" s="1"/>
  <c r="P6" i="44" l="1"/>
  <c r="P8" i="44"/>
  <c r="P9" i="44"/>
  <c r="D114" i="34" l="1"/>
  <c r="G122" i="34"/>
  <c r="G123" i="34" s="1"/>
  <c r="G124" i="34" s="1"/>
  <c r="G125" i="34" s="1"/>
  <c r="G126" i="34" s="1"/>
  <c r="H12" i="31" l="1"/>
  <c r="H13" i="31" s="1"/>
  <c r="H38" i="31"/>
  <c r="H53" i="31"/>
  <c r="L53" i="31" s="1"/>
  <c r="H54" i="31"/>
  <c r="L54" i="31" s="1"/>
  <c r="H108" i="31"/>
  <c r="H126" i="31"/>
  <c r="H129" i="31"/>
  <c r="H130" i="31"/>
  <c r="H141" i="31"/>
  <c r="H145" i="31"/>
  <c r="H148" i="31"/>
  <c r="L148" i="31" s="1"/>
  <c r="L150" i="31" s="1"/>
  <c r="L152" i="31" s="1"/>
  <c r="L250" i="31" s="1"/>
  <c r="H197" i="31"/>
  <c r="H199" i="31"/>
  <c r="H200" i="31"/>
  <c r="H225" i="31"/>
  <c r="H226" i="31" s="1"/>
  <c r="H229" i="31"/>
  <c r="I79" i="20"/>
  <c r="H78" i="31" l="1"/>
  <c r="L55" i="31"/>
  <c r="L57" i="31" s="1"/>
  <c r="L59" i="31" s="1"/>
  <c r="H39" i="31"/>
  <c r="L38" i="31"/>
  <c r="L39" i="31" s="1"/>
  <c r="L41" i="31" s="1"/>
  <c r="H131" i="31"/>
  <c r="H85" i="31"/>
  <c r="H56" i="31"/>
  <c r="H121" i="31"/>
  <c r="H149" i="31"/>
  <c r="H150" i="31" s="1"/>
  <c r="H152" i="31" s="1"/>
  <c r="H250" i="31" s="1"/>
  <c r="H40" i="31"/>
  <c r="H55" i="31"/>
  <c r="H230" i="31"/>
  <c r="D53" i="46"/>
  <c r="D50" i="45"/>
  <c r="D53" i="45" s="1"/>
  <c r="H57" i="31" l="1"/>
  <c r="H41" i="31"/>
  <c r="P56" i="44" l="1"/>
  <c r="P25" i="44"/>
  <c r="K244" i="20"/>
  <c r="L110" i="31" s="1"/>
  <c r="L111" i="31" s="1"/>
  <c r="K243" i="20"/>
  <c r="K242" i="20"/>
  <c r="H178" i="31" l="1"/>
  <c r="K246" i="20"/>
  <c r="H110" i="31" l="1"/>
  <c r="J147" i="20"/>
  <c r="Q213" i="20" l="1"/>
  <c r="H84" i="31" l="1"/>
  <c r="H86" i="31" s="1"/>
  <c r="P50" i="44"/>
  <c r="P51" i="44"/>
  <c r="P58" i="44" l="1"/>
  <c r="J95" i="46" l="1"/>
  <c r="J96" i="45"/>
  <c r="J113" i="34"/>
  <c r="J115" i="34" s="1"/>
  <c r="W11" i="23" l="1"/>
  <c r="I133" i="20" l="1"/>
  <c r="E11" i="38" l="1"/>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10" i="38"/>
  <c r="E85" i="38" l="1"/>
  <c r="H177" i="31"/>
  <c r="H149" i="20"/>
  <c r="H133" i="20"/>
  <c r="J85" i="20" l="1"/>
  <c r="D56" i="46" l="1"/>
  <c r="D56" i="45"/>
  <c r="G103" i="45" l="1"/>
  <c r="G104" i="45" s="1"/>
  <c r="G105" i="45" s="1"/>
  <c r="G106" i="45" s="1"/>
  <c r="G107" i="45" s="1"/>
  <c r="G108" i="45" s="1"/>
  <c r="G109" i="45" s="1"/>
  <c r="G110" i="45" s="1"/>
  <c r="G111" i="45" s="1"/>
  <c r="G112" i="45" s="1"/>
  <c r="G113" i="45" s="1"/>
  <c r="G114" i="45" s="1"/>
  <c r="G117" i="45" s="1"/>
  <c r="G118" i="45" s="1"/>
  <c r="G119" i="45" s="1"/>
  <c r="G120" i="45" s="1"/>
  <c r="G121" i="45" s="1"/>
  <c r="G122" i="45" s="1"/>
  <c r="G123" i="45" s="1"/>
  <c r="G124" i="45" s="1"/>
  <c r="G125" i="45" s="1"/>
  <c r="G126" i="45" s="1"/>
  <c r="G127" i="45" s="1"/>
  <c r="G128" i="45" s="1"/>
  <c r="G129" i="45" s="1"/>
  <c r="G130" i="45" s="1"/>
  <c r="G131" i="45" s="1"/>
  <c r="G132" i="45" s="1"/>
  <c r="G133" i="45" s="1"/>
  <c r="G102" i="46"/>
  <c r="G103" i="46" s="1"/>
  <c r="G104" i="46" s="1"/>
  <c r="G105" i="46" s="1"/>
  <c r="G106" i="46" s="1"/>
  <c r="G107" i="46" s="1"/>
  <c r="G108" i="46" s="1"/>
  <c r="G109" i="46" s="1"/>
  <c r="G110" i="46" s="1"/>
  <c r="G111" i="46" s="1"/>
  <c r="G112" i="46" s="1"/>
  <c r="G113" i="46" s="1"/>
  <c r="G116" i="46" s="1"/>
  <c r="G117" i="46" s="1"/>
  <c r="G118" i="46" s="1"/>
  <c r="G119" i="46" s="1"/>
  <c r="G120" i="46" s="1"/>
  <c r="G121" i="46" s="1"/>
  <c r="G122" i="46" s="1"/>
  <c r="G123" i="46" s="1"/>
  <c r="G124" i="46" s="1"/>
  <c r="G125" i="46" s="1"/>
  <c r="G126" i="46" s="1"/>
  <c r="G127" i="46" s="1"/>
  <c r="G128" i="46" s="1"/>
  <c r="G129" i="46" s="1"/>
  <c r="G130" i="46" s="1"/>
  <c r="G131" i="46" s="1"/>
  <c r="G132" i="46" s="1"/>
  <c r="D95" i="46" l="1"/>
  <c r="D113" i="34"/>
  <c r="D115" i="34" s="1"/>
  <c r="G89" i="45"/>
  <c r="G90" i="45"/>
  <c r="G88" i="45"/>
  <c r="G86" i="45"/>
  <c r="G87" i="45"/>
  <c r="G85" i="45"/>
  <c r="G83" i="45"/>
  <c r="G84" i="45"/>
  <c r="G82" i="45"/>
  <c r="G80" i="45"/>
  <c r="G81" i="45"/>
  <c r="G79" i="45"/>
  <c r="H170" i="31" l="1"/>
  <c r="J110" i="31" l="1"/>
  <c r="J53" i="31" l="1"/>
  <c r="J130" i="31"/>
  <c r="H267" i="31"/>
  <c r="F16" i="5"/>
  <c r="E55" i="20"/>
  <c r="E61" i="20" s="1"/>
  <c r="H49" i="41"/>
  <c r="H45" i="41"/>
  <c r="H41" i="41"/>
  <c r="H37" i="41"/>
  <c r="I49" i="41"/>
  <c r="I45" i="41"/>
  <c r="I41" i="41"/>
  <c r="I37" i="41"/>
  <c r="G89" i="34"/>
  <c r="G90" i="34"/>
  <c r="G91" i="34"/>
  <c r="G88" i="34"/>
  <c r="G80" i="34"/>
  <c r="F24" i="41"/>
  <c r="F20" i="41"/>
  <c r="F16" i="41"/>
  <c r="F12" i="41"/>
  <c r="G88" i="46"/>
  <c r="G89" i="46"/>
  <c r="G90" i="46"/>
  <c r="G86" i="46"/>
  <c r="G87" i="46"/>
  <c r="G82" i="46"/>
  <c r="H82" i="46" s="1"/>
  <c r="J82" i="46" s="1"/>
  <c r="G83" i="46"/>
  <c r="G84" i="46"/>
  <c r="G80" i="46"/>
  <c r="H80" i="46" s="1"/>
  <c r="J80" i="46" s="1"/>
  <c r="G81" i="46"/>
  <c r="H81" i="46" s="1"/>
  <c r="J81" i="46" s="1"/>
  <c r="J166" i="34"/>
  <c r="H31" i="20"/>
  <c r="J35" i="31" s="1"/>
  <c r="K47" i="31"/>
  <c r="H62" i="20"/>
  <c r="K110" i="31"/>
  <c r="G127" i="34"/>
  <c r="G128" i="34" s="1"/>
  <c r="G129" i="34" s="1"/>
  <c r="G130" i="34" s="1"/>
  <c r="G131" i="34" s="1"/>
  <c r="G132" i="34" s="1"/>
  <c r="G133" i="34" s="1"/>
  <c r="G136" i="34" s="1"/>
  <c r="G137" i="34" s="1"/>
  <c r="G138" i="34" s="1"/>
  <c r="G139" i="34" s="1"/>
  <c r="G140" i="34" s="1"/>
  <c r="G141" i="34" s="1"/>
  <c r="G142" i="34" s="1"/>
  <c r="G143" i="34" s="1"/>
  <c r="G144" i="34" s="1"/>
  <c r="G145" i="34" s="1"/>
  <c r="G146" i="34" s="1"/>
  <c r="G147" i="34" s="1"/>
  <c r="G148" i="34" s="1"/>
  <c r="G149" i="34" s="1"/>
  <c r="G150" i="34" s="1"/>
  <c r="G151" i="34" s="1"/>
  <c r="G152" i="34" s="1"/>
  <c r="J78" i="31"/>
  <c r="Q214" i="20"/>
  <c r="F223" i="20"/>
  <c r="J223" i="20" s="1"/>
  <c r="J96" i="31" s="1"/>
  <c r="H96" i="31" s="1"/>
  <c r="F228" i="20"/>
  <c r="J228" i="20" s="1"/>
  <c r="J97" i="31" s="1"/>
  <c r="H97" i="31" s="1"/>
  <c r="J92" i="31"/>
  <c r="D215" i="20"/>
  <c r="E215" i="20"/>
  <c r="F215" i="20"/>
  <c r="G215" i="20"/>
  <c r="H215" i="20"/>
  <c r="I215" i="20"/>
  <c r="J215" i="20"/>
  <c r="K215" i="20"/>
  <c r="L215" i="20"/>
  <c r="M215" i="20"/>
  <c r="N215" i="20"/>
  <c r="O215" i="20"/>
  <c r="P215" i="20"/>
  <c r="J148" i="31"/>
  <c r="K148" i="31" s="1"/>
  <c r="J143" i="31"/>
  <c r="J141" i="31"/>
  <c r="K10" i="19"/>
  <c r="K15" i="19" s="1"/>
  <c r="L10" i="19" s="1"/>
  <c r="D6" i="19" s="1"/>
  <c r="G22" i="22"/>
  <c r="K12" i="31"/>
  <c r="K13" i="31" s="1"/>
  <c r="K53" i="31"/>
  <c r="K92" i="31"/>
  <c r="K98" i="31"/>
  <c r="K133" i="31"/>
  <c r="K156" i="31"/>
  <c r="K141" i="31"/>
  <c r="H79" i="45"/>
  <c r="J79" i="45" s="1"/>
  <c r="K293" i="31"/>
  <c r="B35" i="19"/>
  <c r="E40" i="3"/>
  <c r="E45" i="3"/>
  <c r="E31" i="3"/>
  <c r="E20" i="3"/>
  <c r="J126" i="31"/>
  <c r="J129" i="31"/>
  <c r="P26" i="44"/>
  <c r="P27" i="44"/>
  <c r="P28" i="44"/>
  <c r="H182" i="31" s="1"/>
  <c r="P22" i="44"/>
  <c r="C46" i="2"/>
  <c r="D46" i="2"/>
  <c r="E65" i="2"/>
  <c r="H68" i="2" s="1"/>
  <c r="H71" i="2" s="1"/>
  <c r="G10" i="2" s="1"/>
  <c r="I43" i="2"/>
  <c r="I32" i="34"/>
  <c r="I33" i="34" s="1"/>
  <c r="C44" i="34"/>
  <c r="D246" i="20"/>
  <c r="J137" i="20"/>
  <c r="J138" i="20"/>
  <c r="J139" i="20"/>
  <c r="J140" i="20"/>
  <c r="J141" i="20"/>
  <c r="J142" i="20"/>
  <c r="J143" i="20"/>
  <c r="J144" i="20"/>
  <c r="J145" i="20"/>
  <c r="J148" i="20"/>
  <c r="D8" i="38"/>
  <c r="D87" i="38" s="1"/>
  <c r="C8" i="38"/>
  <c r="C87" i="38" s="1"/>
  <c r="P16" i="44"/>
  <c r="H173" i="31" s="1"/>
  <c r="A31" i="39"/>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G32" i="39"/>
  <c r="D32" i="39"/>
  <c r="C34" i="39"/>
  <c r="C35" i="39" s="1"/>
  <c r="H131" i="2"/>
  <c r="E69" i="31"/>
  <c r="D229" i="31"/>
  <c r="D158" i="46"/>
  <c r="E158" i="46"/>
  <c r="F158" i="46"/>
  <c r="G158" i="46"/>
  <c r="H158" i="46"/>
  <c r="C158" i="46"/>
  <c r="O146" i="46"/>
  <c r="N146" i="46"/>
  <c r="N147" i="46" s="1"/>
  <c r="N148" i="46" s="1"/>
  <c r="N149" i="46" s="1"/>
  <c r="N150" i="46" s="1"/>
  <c r="N151" i="46" s="1"/>
  <c r="N152" i="46" s="1"/>
  <c r="N153" i="46" s="1"/>
  <c r="N154" i="46" s="1"/>
  <c r="N155" i="46" s="1"/>
  <c r="N156" i="46" s="1"/>
  <c r="N157" i="46" s="1"/>
  <c r="M146" i="46"/>
  <c r="M147" i="46" s="1"/>
  <c r="L146" i="46"/>
  <c r="L147" i="46" s="1"/>
  <c r="K146" i="46"/>
  <c r="K147" i="46" s="1"/>
  <c r="K148" i="46" s="1"/>
  <c r="K149" i="46" s="1"/>
  <c r="K150" i="46" s="1"/>
  <c r="J146" i="46"/>
  <c r="J147" i="46" s="1"/>
  <c r="J148" i="46" s="1"/>
  <c r="J149" i="46" s="1"/>
  <c r="J150" i="46" s="1"/>
  <c r="J151" i="46" s="1"/>
  <c r="J152" i="46" s="1"/>
  <c r="J153" i="46" s="1"/>
  <c r="J154" i="46" s="1"/>
  <c r="J155" i="46" s="1"/>
  <c r="J156" i="46" s="1"/>
  <c r="J157" i="46" s="1"/>
  <c r="D44" i="46"/>
  <c r="E44" i="46"/>
  <c r="F44" i="46"/>
  <c r="G44" i="46"/>
  <c r="H44" i="46"/>
  <c r="C44" i="46"/>
  <c r="J32" i="46"/>
  <c r="J33" i="46" s="1"/>
  <c r="O32" i="46"/>
  <c r="O33" i="46" s="1"/>
  <c r="N32" i="46"/>
  <c r="N33" i="46" s="1"/>
  <c r="N34" i="46" s="1"/>
  <c r="N35" i="46" s="1"/>
  <c r="M32" i="46"/>
  <c r="M33" i="46" s="1"/>
  <c r="L32" i="46"/>
  <c r="L33" i="46" s="1"/>
  <c r="K32" i="46"/>
  <c r="K33" i="46" s="1"/>
  <c r="D178" i="34"/>
  <c r="E178" i="34"/>
  <c r="F178" i="34"/>
  <c r="G178" i="34"/>
  <c r="H178" i="34"/>
  <c r="C178" i="34"/>
  <c r="N166" i="34"/>
  <c r="N167" i="34" s="1"/>
  <c r="N168" i="34" s="1"/>
  <c r="O166" i="34"/>
  <c r="O167" i="34" s="1"/>
  <c r="O168" i="34" s="1"/>
  <c r="O169" i="34" s="1"/>
  <c r="O170" i="34" s="1"/>
  <c r="O171" i="34" s="1"/>
  <c r="M166" i="34"/>
  <c r="L166" i="34"/>
  <c r="L167" i="34" s="1"/>
  <c r="K166" i="34"/>
  <c r="K167" i="34" s="1"/>
  <c r="D44" i="45"/>
  <c r="E44" i="45"/>
  <c r="F44" i="45"/>
  <c r="G44" i="45"/>
  <c r="H44" i="45"/>
  <c r="C44" i="45"/>
  <c r="D159" i="45"/>
  <c r="E159" i="45"/>
  <c r="F159" i="45"/>
  <c r="G159" i="45"/>
  <c r="H159" i="45"/>
  <c r="C159" i="45"/>
  <c r="J147" i="45"/>
  <c r="J148" i="45" s="1"/>
  <c r="O147" i="45"/>
  <c r="O148" i="45" s="1"/>
  <c r="O149" i="45" s="1"/>
  <c r="N147" i="45"/>
  <c r="N148" i="45" s="1"/>
  <c r="M147" i="45"/>
  <c r="M148" i="45" s="1"/>
  <c r="M149" i="45" s="1"/>
  <c r="L147" i="45"/>
  <c r="L148" i="45" s="1"/>
  <c r="K147" i="45"/>
  <c r="K32" i="45"/>
  <c r="K33" i="45" s="1"/>
  <c r="K34" i="45" s="1"/>
  <c r="L32" i="45"/>
  <c r="L33" i="45" s="1"/>
  <c r="L34" i="45" s="1"/>
  <c r="L35" i="45" s="1"/>
  <c r="L36" i="45" s="1"/>
  <c r="L37" i="45" s="1"/>
  <c r="L38" i="45" s="1"/>
  <c r="L39" i="45" s="1"/>
  <c r="L40" i="45" s="1"/>
  <c r="L41" i="45" s="1"/>
  <c r="L42" i="45" s="1"/>
  <c r="L43" i="45" s="1"/>
  <c r="M32" i="45"/>
  <c r="N32" i="45"/>
  <c r="N33" i="45" s="1"/>
  <c r="N34" i="45" s="1"/>
  <c r="O32" i="45"/>
  <c r="O33" i="45" s="1"/>
  <c r="O34" i="45" s="1"/>
  <c r="O35" i="45" s="1"/>
  <c r="O36" i="45" s="1"/>
  <c r="O37" i="45" s="1"/>
  <c r="O38" i="45" s="1"/>
  <c r="O39" i="45" s="1"/>
  <c r="O40" i="45" s="1"/>
  <c r="O41" i="45" s="1"/>
  <c r="O42" i="45" s="1"/>
  <c r="O43" i="45" s="1"/>
  <c r="J32" i="45"/>
  <c r="J32" i="34"/>
  <c r="J33" i="34" s="1"/>
  <c r="K32" i="34"/>
  <c r="K33" i="34" s="1"/>
  <c r="K34" i="34" s="1"/>
  <c r="L32" i="34"/>
  <c r="L33" i="34" s="1"/>
  <c r="L34" i="34" s="1"/>
  <c r="M32" i="34"/>
  <c r="D136" i="45"/>
  <c r="D135" i="46"/>
  <c r="J115" i="46"/>
  <c r="J116" i="45"/>
  <c r="H79" i="20"/>
  <c r="J79" i="20" s="1"/>
  <c r="J135" i="34"/>
  <c r="D65" i="46"/>
  <c r="D15" i="46" s="1"/>
  <c r="D74" i="45"/>
  <c r="D65" i="45"/>
  <c r="D16" i="34"/>
  <c r="D15" i="34"/>
  <c r="D20" i="5"/>
  <c r="D19" i="5"/>
  <c r="D18" i="5"/>
  <c r="I129" i="2"/>
  <c r="H69" i="31" s="1"/>
  <c r="E129" i="2"/>
  <c r="G68" i="2"/>
  <c r="G71" i="2" s="1"/>
  <c r="F10" i="2" s="1"/>
  <c r="G106" i="2"/>
  <c r="G109" i="2" s="1"/>
  <c r="F11" i="2" s="1"/>
  <c r="G43" i="2"/>
  <c r="G46" i="2" s="1"/>
  <c r="F12" i="2" s="1"/>
  <c r="I68" i="2"/>
  <c r="I71" i="2" s="1"/>
  <c r="H10" i="2" s="1"/>
  <c r="I108" i="2"/>
  <c r="I44" i="2"/>
  <c r="I45" i="2"/>
  <c r="W10" i="23"/>
  <c r="L204" i="20"/>
  <c r="P5" i="44"/>
  <c r="H163" i="31" s="1"/>
  <c r="H169" i="31"/>
  <c r="H171" i="31"/>
  <c r="H164" i="31"/>
  <c r="H165" i="31"/>
  <c r="H166" i="31"/>
  <c r="P32" i="44"/>
  <c r="H186" i="31" s="1"/>
  <c r="P33" i="44"/>
  <c r="H187" i="31" s="1"/>
  <c r="P34" i="44"/>
  <c r="H188" i="31" s="1"/>
  <c r="P35" i="44"/>
  <c r="H189" i="31" s="1"/>
  <c r="P36" i="44"/>
  <c r="H190" i="31" s="1"/>
  <c r="P37" i="44"/>
  <c r="H191" i="31" s="1"/>
  <c r="P43" i="44"/>
  <c r="P15" i="44"/>
  <c r="H172" i="31" s="1"/>
  <c r="P39" i="44"/>
  <c r="H194" i="31" s="1"/>
  <c r="H209" i="31" s="1"/>
  <c r="G134" i="2"/>
  <c r="G136" i="2" s="1"/>
  <c r="G138" i="2" s="1"/>
  <c r="H121" i="20"/>
  <c r="J259" i="31" s="1"/>
  <c r="D17" i="5"/>
  <c r="A10" i="31"/>
  <c r="A11" i="31" s="1"/>
  <c r="F12" i="31" s="1"/>
  <c r="A16" i="31"/>
  <c r="A17" i="31" s="1"/>
  <c r="A18" i="31" s="1"/>
  <c r="F19" i="31" s="1"/>
  <c r="I132" i="2"/>
  <c r="H134" i="2"/>
  <c r="H136" i="2" s="1"/>
  <c r="H138" i="2" s="1"/>
  <c r="G40" i="22"/>
  <c r="D134" i="2"/>
  <c r="D136" i="2" s="1"/>
  <c r="E64" i="2"/>
  <c r="F68" i="2" s="1"/>
  <c r="F71" i="2" s="1"/>
  <c r="E210" i="31"/>
  <c r="I227" i="20"/>
  <c r="B56" i="3"/>
  <c r="B57" i="3" s="1"/>
  <c r="B58" i="3" s="1"/>
  <c r="B59" i="3" s="1"/>
  <c r="B60" i="3" s="1"/>
  <c r="B61" i="3" s="1"/>
  <c r="B62" i="3" s="1"/>
  <c r="B63" i="3" s="1"/>
  <c r="B64" i="3" s="1"/>
  <c r="B65" i="3" s="1"/>
  <c r="B66" i="3" s="1"/>
  <c r="B67" i="3" s="1"/>
  <c r="B68" i="3" s="1"/>
  <c r="B70" i="3" s="1"/>
  <c r="B72" i="3" s="1"/>
  <c r="B74" i="3" s="1"/>
  <c r="I73" i="41"/>
  <c r="J73" i="41"/>
  <c r="K49" i="41"/>
  <c r="K45" i="41"/>
  <c r="K37" i="41"/>
  <c r="K41" i="41"/>
  <c r="J49" i="41"/>
  <c r="J45" i="41"/>
  <c r="J37" i="41"/>
  <c r="G49" i="41"/>
  <c r="G45" i="41"/>
  <c r="G41" i="41"/>
  <c r="G37" i="41"/>
  <c r="F49" i="41"/>
  <c r="F45" i="41"/>
  <c r="F37" i="41"/>
  <c r="F41" i="41"/>
  <c r="I24" i="41"/>
  <c r="I20" i="41"/>
  <c r="I16" i="41"/>
  <c r="I12" i="41"/>
  <c r="J24" i="41"/>
  <c r="J12" i="41"/>
  <c r="G24" i="41"/>
  <c r="G20" i="41"/>
  <c r="G12" i="41"/>
  <c r="G16" i="41"/>
  <c r="H24" i="41"/>
  <c r="H20" i="41"/>
  <c r="H16" i="41"/>
  <c r="H12" i="41"/>
  <c r="H246" i="20"/>
  <c r="F246" i="20"/>
  <c r="G246" i="20"/>
  <c r="A1" i="22"/>
  <c r="A1" i="5"/>
  <c r="A1" i="3"/>
  <c r="A1" i="2"/>
  <c r="C272" i="31"/>
  <c r="E129" i="31"/>
  <c r="A2" i="40"/>
  <c r="C220" i="20"/>
  <c r="A1" i="20"/>
  <c r="C234" i="20"/>
  <c r="H232" i="20" s="1"/>
  <c r="G35" i="22"/>
  <c r="G34" i="22"/>
  <c r="G33" i="22"/>
  <c r="F78" i="31"/>
  <c r="J149" i="20"/>
  <c r="J136" i="20"/>
  <c r="E13" i="33"/>
  <c r="E16" i="33" s="1"/>
  <c r="E12" i="20"/>
  <c r="C282" i="31"/>
  <c r="E267" i="31"/>
  <c r="E259" i="31"/>
  <c r="C258" i="31"/>
  <c r="E228" i="31"/>
  <c r="E223" i="31"/>
  <c r="F149" i="31"/>
  <c r="E147" i="31"/>
  <c r="B139" i="31"/>
  <c r="E126" i="31"/>
  <c r="E125" i="31"/>
  <c r="F121" i="31"/>
  <c r="E119" i="31"/>
  <c r="E117" i="31"/>
  <c r="E96" i="31"/>
  <c r="E97" i="31" s="1"/>
  <c r="F85" i="31"/>
  <c r="E84" i="31"/>
  <c r="E78" i="31"/>
  <c r="F56" i="31"/>
  <c r="C56" i="31"/>
  <c r="E47" i="31"/>
  <c r="F40" i="31"/>
  <c r="E31" i="31"/>
  <c r="B30" i="31"/>
  <c r="E16" i="31"/>
  <c r="J155" i="20"/>
  <c r="J153" i="20"/>
  <c r="J152" i="20"/>
  <c r="E47" i="20"/>
  <c r="E43" i="20"/>
  <c r="E38" i="20"/>
  <c r="E24" i="20"/>
  <c r="E30" i="20" s="1"/>
  <c r="E20" i="20"/>
  <c r="A28" i="5"/>
  <c r="A30" i="5" s="1"/>
  <c r="I222" i="20"/>
  <c r="B16" i="19"/>
  <c r="J76" i="20"/>
  <c r="H221" i="20"/>
  <c r="H226" i="20"/>
  <c r="J84" i="20"/>
  <c r="J70" i="20"/>
  <c r="C228" i="20"/>
  <c r="A16" i="22"/>
  <c r="A17" i="22"/>
  <c r="A18" i="22" s="1"/>
  <c r="A20" i="22" s="1"/>
  <c r="A21" i="22" s="1"/>
  <c r="A22" i="22" s="1"/>
  <c r="A24" i="22" s="1"/>
  <c r="A25" i="22" s="1"/>
  <c r="A26" i="22" s="1"/>
  <c r="A27" i="22" s="1"/>
  <c r="C11" i="22"/>
  <c r="H118" i="20"/>
  <c r="E70" i="2"/>
  <c r="A116" i="2"/>
  <c r="E51" i="20"/>
  <c r="E16" i="20"/>
  <c r="G36" i="22"/>
  <c r="E138" i="2"/>
  <c r="O147" i="46"/>
  <c r="O148" i="46" s="1"/>
  <c r="M167" i="34"/>
  <c r="M168" i="34" s="1"/>
  <c r="M169" i="34" s="1"/>
  <c r="M170" i="34" s="1"/>
  <c r="M33" i="45"/>
  <c r="M34" i="45" s="1"/>
  <c r="M35" i="45" s="1"/>
  <c r="M36" i="45" s="1"/>
  <c r="M37" i="45" s="1"/>
  <c r="M38" i="45" s="1"/>
  <c r="M39" i="45" s="1"/>
  <c r="M40" i="45" s="1"/>
  <c r="M41" i="45" s="1"/>
  <c r="M42" i="45" s="1"/>
  <c r="M43" i="45" s="1"/>
  <c r="O34" i="46"/>
  <c r="O35" i="46" s="1"/>
  <c r="O36" i="46" s="1"/>
  <c r="M33" i="34"/>
  <c r="M34" i="34" s="1"/>
  <c r="M35" i="34" s="1"/>
  <c r="M36" i="34" s="1"/>
  <c r="J16" i="41"/>
  <c r="J20" i="41"/>
  <c r="K148" i="45"/>
  <c r="K149" i="45" s="1"/>
  <c r="J33" i="45"/>
  <c r="J34" i="45" s="1"/>
  <c r="J35" i="45" s="1"/>
  <c r="J36" i="45" s="1"/>
  <c r="J37" i="45" s="1"/>
  <c r="J38" i="45" s="1"/>
  <c r="J39" i="45" s="1"/>
  <c r="J40" i="45" s="1"/>
  <c r="J41" i="45" s="1"/>
  <c r="J42" i="45" s="1"/>
  <c r="J43" i="45" s="1"/>
  <c r="J158" i="46"/>
  <c r="I134" i="2" l="1"/>
  <c r="F106" i="2"/>
  <c r="E70" i="3"/>
  <c r="H50" i="31"/>
  <c r="H52" i="31" s="1"/>
  <c r="H179" i="31"/>
  <c r="P29" i="44"/>
  <c r="H180" i="31"/>
  <c r="I106" i="2"/>
  <c r="I109" i="2" s="1"/>
  <c r="H11" i="2" s="1"/>
  <c r="A29" i="22"/>
  <c r="A33" i="22" s="1"/>
  <c r="A34" i="22" s="1"/>
  <c r="A35" i="22" s="1"/>
  <c r="A36" i="22" s="1"/>
  <c r="A37" i="22" s="1"/>
  <c r="E29" i="22"/>
  <c r="A19" i="31"/>
  <c r="A20" i="31" s="1"/>
  <c r="A22" i="31" s="1"/>
  <c r="G50" i="41"/>
  <c r="A5" i="38"/>
  <c r="A6" i="38" s="1"/>
  <c r="J196" i="20"/>
  <c r="L196" i="20" s="1"/>
  <c r="H198" i="31"/>
  <c r="H201" i="31" s="1"/>
  <c r="P46" i="44"/>
  <c r="H25" i="41"/>
  <c r="H87" i="31"/>
  <c r="H88" i="31" s="1"/>
  <c r="J87" i="31"/>
  <c r="H115" i="31"/>
  <c r="H120" i="31" s="1"/>
  <c r="F17" i="31"/>
  <c r="J167" i="34"/>
  <c r="J168" i="34" s="1"/>
  <c r="J169" i="34" s="1"/>
  <c r="J170" i="34" s="1"/>
  <c r="J171" i="34" s="1"/>
  <c r="J172" i="34" s="1"/>
  <c r="J173" i="34" s="1"/>
  <c r="J174" i="34" s="1"/>
  <c r="J175" i="34" s="1"/>
  <c r="J176" i="34" s="1"/>
  <c r="J177" i="34" s="1"/>
  <c r="H98" i="31"/>
  <c r="H192" i="31"/>
  <c r="H167" i="31"/>
  <c r="H174" i="31" s="1"/>
  <c r="K31" i="31"/>
  <c r="K33" i="31" s="1"/>
  <c r="K35" i="31"/>
  <c r="H35" i="31"/>
  <c r="H37" i="31" s="1"/>
  <c r="L15" i="19"/>
  <c r="H83" i="46"/>
  <c r="J83" i="46" s="1"/>
  <c r="G108" i="34"/>
  <c r="H108" i="34" s="1"/>
  <c r="J108" i="34" s="1"/>
  <c r="G107" i="34"/>
  <c r="H107" i="34" s="1"/>
  <c r="J107" i="34" s="1"/>
  <c r="H89" i="34"/>
  <c r="J89" i="34" s="1"/>
  <c r="G106" i="34"/>
  <c r="H106" i="34" s="1"/>
  <c r="J106" i="34" s="1"/>
  <c r="H88" i="34"/>
  <c r="J88" i="34" s="1"/>
  <c r="G105" i="34"/>
  <c r="H105" i="34" s="1"/>
  <c r="J105" i="34" s="1"/>
  <c r="K17" i="19"/>
  <c r="L17" i="19" s="1"/>
  <c r="V5" i="23"/>
  <c r="V6" i="23" s="1"/>
  <c r="F107" i="2"/>
  <c r="C49" i="41"/>
  <c r="K25" i="41"/>
  <c r="L44" i="45"/>
  <c r="G45" i="3"/>
  <c r="D16" i="5"/>
  <c r="J50" i="41"/>
  <c r="H43" i="2"/>
  <c r="H46" i="2" s="1"/>
  <c r="G12" i="2" s="1"/>
  <c r="D74" i="46"/>
  <c r="L34" i="46"/>
  <c r="L35" i="46" s="1"/>
  <c r="L36" i="46" s="1"/>
  <c r="L37" i="46" s="1"/>
  <c r="L38" i="46" s="1"/>
  <c r="L39" i="46" s="1"/>
  <c r="L40" i="46" s="1"/>
  <c r="L41" i="46" s="1"/>
  <c r="L42" i="46" s="1"/>
  <c r="L43" i="46" s="1"/>
  <c r="K93" i="31"/>
  <c r="H106" i="2"/>
  <c r="H109" i="2" s="1"/>
  <c r="G11" i="2" s="1"/>
  <c r="E106" i="2"/>
  <c r="F20" i="31"/>
  <c r="M44" i="45"/>
  <c r="J25" i="41"/>
  <c r="E26" i="22"/>
  <c r="N158" i="46"/>
  <c r="F7" i="5"/>
  <c r="D7" i="5" s="1"/>
  <c r="C45" i="41"/>
  <c r="G85" i="46"/>
  <c r="H85" i="46" s="1"/>
  <c r="J85" i="46" s="1"/>
  <c r="E27" i="22"/>
  <c r="E43" i="2"/>
  <c r="E46" i="2" s="1"/>
  <c r="A12" i="31"/>
  <c r="F13" i="31" s="1"/>
  <c r="C37" i="41"/>
  <c r="G79" i="46"/>
  <c r="H79" i="46" s="1"/>
  <c r="J79" i="46" s="1"/>
  <c r="K158" i="31"/>
  <c r="C41" i="41"/>
  <c r="E68" i="2"/>
  <c r="E71" i="2" s="1"/>
  <c r="K111" i="31"/>
  <c r="J54" i="31"/>
  <c r="J38" i="31"/>
  <c r="J39" i="31" s="1"/>
  <c r="H120" i="20"/>
  <c r="K259" i="31" s="1"/>
  <c r="H259" i="31" s="1"/>
  <c r="L13" i="19"/>
  <c r="K54" i="31"/>
  <c r="K38" i="31"/>
  <c r="K50" i="41"/>
  <c r="E8" i="38"/>
  <c r="H50" i="41"/>
  <c r="G25" i="41"/>
  <c r="J133" i="20"/>
  <c r="L133" i="20" s="1"/>
  <c r="K150" i="45"/>
  <c r="K151" i="45" s="1"/>
  <c r="K152" i="45" s="1"/>
  <c r="K153" i="45" s="1"/>
  <c r="K154" i="45" s="1"/>
  <c r="K155" i="45" s="1"/>
  <c r="K156" i="45" s="1"/>
  <c r="K157" i="45" s="1"/>
  <c r="K158" i="45" s="1"/>
  <c r="M171" i="34"/>
  <c r="M172" i="34" s="1"/>
  <c r="M173" i="34" s="1"/>
  <c r="M174" i="34" s="1"/>
  <c r="M175" i="34" s="1"/>
  <c r="M176" i="34" s="1"/>
  <c r="M177" i="34" s="1"/>
  <c r="A23" i="31"/>
  <c r="A25" i="31" s="1"/>
  <c r="A26" i="31" s="1"/>
  <c r="F23" i="31"/>
  <c r="I25" i="41"/>
  <c r="F50" i="41"/>
  <c r="I136" i="2"/>
  <c r="I138" i="2" s="1"/>
  <c r="P10" i="44"/>
  <c r="P17" i="44" s="1"/>
  <c r="H81" i="45"/>
  <c r="J81" i="45" s="1"/>
  <c r="K48" i="31"/>
  <c r="H80" i="45"/>
  <c r="J80" i="45" s="1"/>
  <c r="J145" i="31"/>
  <c r="J12" i="31"/>
  <c r="G41" i="22"/>
  <c r="H90" i="34"/>
  <c r="J90" i="34" s="1"/>
  <c r="F25" i="41"/>
  <c r="I50" i="41"/>
  <c r="C36" i="39"/>
  <c r="J131" i="31"/>
  <c r="Q215" i="20"/>
  <c r="F43" i="2"/>
  <c r="F46" i="2" s="1"/>
  <c r="K151" i="46"/>
  <c r="K152" i="46" s="1"/>
  <c r="K153" i="46" s="1"/>
  <c r="K154" i="46" s="1"/>
  <c r="K155" i="46" s="1"/>
  <c r="K156" i="46" s="1"/>
  <c r="K157" i="46" s="1"/>
  <c r="A40" i="22"/>
  <c r="A41" i="22" s="1"/>
  <c r="A42" i="22" s="1"/>
  <c r="A43" i="22" s="1"/>
  <c r="E49" i="22"/>
  <c r="M150" i="45"/>
  <c r="M151" i="45" s="1"/>
  <c r="M152" i="45" s="1"/>
  <c r="M153" i="45" s="1"/>
  <c r="M154" i="45" s="1"/>
  <c r="M155" i="45" s="1"/>
  <c r="M156" i="45" s="1"/>
  <c r="M157" i="45" s="1"/>
  <c r="M158" i="45" s="1"/>
  <c r="O37" i="46"/>
  <c r="O38" i="46" s="1"/>
  <c r="O39" i="46" s="1"/>
  <c r="O40" i="46" s="1"/>
  <c r="O41" i="46" s="1"/>
  <c r="O42" i="46" s="1"/>
  <c r="O43" i="46" s="1"/>
  <c r="O149" i="46"/>
  <c r="O150" i="46" s="1"/>
  <c r="O151" i="46" s="1"/>
  <c r="O152" i="46" s="1"/>
  <c r="O153" i="46" s="1"/>
  <c r="O154" i="46" s="1"/>
  <c r="O155" i="46" s="1"/>
  <c r="O156" i="46" s="1"/>
  <c r="O157" i="46" s="1"/>
  <c r="K35" i="45"/>
  <c r="K36" i="45" s="1"/>
  <c r="K37" i="45" s="1"/>
  <c r="K38" i="45" s="1"/>
  <c r="K39" i="45" s="1"/>
  <c r="K40" i="45" s="1"/>
  <c r="K41" i="45" s="1"/>
  <c r="K42" i="45" s="1"/>
  <c r="K43" i="45" s="1"/>
  <c r="F26" i="31"/>
  <c r="J156" i="34"/>
  <c r="I10" i="2"/>
  <c r="F13" i="2"/>
  <c r="K35" i="34"/>
  <c r="K36" i="34" s="1"/>
  <c r="K37" i="34" s="1"/>
  <c r="K38" i="34" s="1"/>
  <c r="K39" i="34" s="1"/>
  <c r="K40" i="34" s="1"/>
  <c r="K41" i="34" s="1"/>
  <c r="K42" i="34" s="1"/>
  <c r="K43" i="34" s="1"/>
  <c r="L35" i="34"/>
  <c r="L36" i="34" s="1"/>
  <c r="L37" i="34" s="1"/>
  <c r="L38" i="34" s="1"/>
  <c r="L39" i="34" s="1"/>
  <c r="L40" i="34" s="1"/>
  <c r="L41" i="34" s="1"/>
  <c r="L42" i="34" s="1"/>
  <c r="L43" i="34" s="1"/>
  <c r="O150" i="45"/>
  <c r="O151" i="45" s="1"/>
  <c r="O152" i="45" s="1"/>
  <c r="O153" i="45" s="1"/>
  <c r="O154" i="45" s="1"/>
  <c r="O155" i="45" s="1"/>
  <c r="O156" i="45" s="1"/>
  <c r="O157" i="45" s="1"/>
  <c r="O158" i="45" s="1"/>
  <c r="J149" i="45"/>
  <c r="J150" i="45" s="1"/>
  <c r="J151" i="45" s="1"/>
  <c r="J152" i="45" s="1"/>
  <c r="J153" i="45" s="1"/>
  <c r="J154" i="45" s="1"/>
  <c r="J155" i="45" s="1"/>
  <c r="J156" i="45" s="1"/>
  <c r="J157" i="45" s="1"/>
  <c r="J158" i="45" s="1"/>
  <c r="L168" i="34"/>
  <c r="L169" i="34" s="1"/>
  <c r="L170" i="34" s="1"/>
  <c r="L171" i="34" s="1"/>
  <c r="L172" i="34" s="1"/>
  <c r="L173" i="34" s="1"/>
  <c r="L174" i="34" s="1"/>
  <c r="L175" i="34" s="1"/>
  <c r="L176" i="34" s="1"/>
  <c r="L177" i="34" s="1"/>
  <c r="N169" i="34"/>
  <c r="N170" i="34" s="1"/>
  <c r="N171" i="34" s="1"/>
  <c r="N172" i="34" s="1"/>
  <c r="N173" i="34" s="1"/>
  <c r="N174" i="34" s="1"/>
  <c r="N175" i="34" s="1"/>
  <c r="N176" i="34" s="1"/>
  <c r="N177" i="34" s="1"/>
  <c r="K34" i="46"/>
  <c r="K35" i="46" s="1"/>
  <c r="K36" i="46" s="1"/>
  <c r="K37" i="46" s="1"/>
  <c r="K38" i="46" s="1"/>
  <c r="K39" i="46" s="1"/>
  <c r="K40" i="46" s="1"/>
  <c r="K41" i="46" s="1"/>
  <c r="K42" i="46" s="1"/>
  <c r="K43" i="46" s="1"/>
  <c r="M34" i="46"/>
  <c r="M35" i="46" s="1"/>
  <c r="M36" i="46" s="1"/>
  <c r="M37" i="46" s="1"/>
  <c r="M38" i="46" s="1"/>
  <c r="M39" i="46" s="1"/>
  <c r="M40" i="46" s="1"/>
  <c r="M41" i="46" s="1"/>
  <c r="M42" i="46" s="1"/>
  <c r="M43" i="46" s="1"/>
  <c r="J34" i="46"/>
  <c r="J35" i="46" s="1"/>
  <c r="J36" i="46" s="1"/>
  <c r="J37" i="46" s="1"/>
  <c r="J38" i="46" s="1"/>
  <c r="J39" i="46" s="1"/>
  <c r="J40" i="46" s="1"/>
  <c r="J41" i="46" s="1"/>
  <c r="J42" i="46" s="1"/>
  <c r="J43" i="46" s="1"/>
  <c r="M148" i="46"/>
  <c r="M149" i="46" s="1"/>
  <c r="M150" i="46" s="1"/>
  <c r="M151" i="46" s="1"/>
  <c r="M152" i="46" s="1"/>
  <c r="M153" i="46" s="1"/>
  <c r="M154" i="46" s="1"/>
  <c r="M155" i="46" s="1"/>
  <c r="M156" i="46" s="1"/>
  <c r="M157" i="46" s="1"/>
  <c r="O172" i="34"/>
  <c r="O173" i="34" s="1"/>
  <c r="O174" i="34" s="1"/>
  <c r="O175" i="34" s="1"/>
  <c r="O176" i="34" s="1"/>
  <c r="O177" i="34" s="1"/>
  <c r="O178" i="34" s="1"/>
  <c r="N36" i="46"/>
  <c r="N37" i="46" s="1"/>
  <c r="N38" i="46" s="1"/>
  <c r="N39" i="46" s="1"/>
  <c r="N40" i="46" s="1"/>
  <c r="N41" i="46" s="1"/>
  <c r="N42" i="46" s="1"/>
  <c r="N43" i="46" s="1"/>
  <c r="M37" i="34"/>
  <c r="M38" i="34" s="1"/>
  <c r="M39" i="34" s="1"/>
  <c r="M40" i="34" s="1"/>
  <c r="M41" i="34" s="1"/>
  <c r="M42" i="34" s="1"/>
  <c r="M43" i="34" s="1"/>
  <c r="J34" i="34"/>
  <c r="J35" i="34" s="1"/>
  <c r="J36" i="34" s="1"/>
  <c r="J37" i="34" s="1"/>
  <c r="J38" i="34" s="1"/>
  <c r="J39" i="34" s="1"/>
  <c r="J40" i="34" s="1"/>
  <c r="J41" i="34" s="1"/>
  <c r="J42" i="34" s="1"/>
  <c r="J43" i="34" s="1"/>
  <c r="N35" i="45"/>
  <c r="N36" i="45" s="1"/>
  <c r="N37" i="45" s="1"/>
  <c r="N38" i="45" s="1"/>
  <c r="N39" i="45" s="1"/>
  <c r="N40" i="45" s="1"/>
  <c r="N41" i="45" s="1"/>
  <c r="N42" i="45" s="1"/>
  <c r="N43" i="45" s="1"/>
  <c r="L149" i="45"/>
  <c r="L150" i="45" s="1"/>
  <c r="L151" i="45" s="1"/>
  <c r="L152" i="45" s="1"/>
  <c r="L153" i="45" s="1"/>
  <c r="L154" i="45" s="1"/>
  <c r="L155" i="45" s="1"/>
  <c r="L156" i="45" s="1"/>
  <c r="L157" i="45" s="1"/>
  <c r="L158" i="45" s="1"/>
  <c r="N149" i="45"/>
  <c r="N150" i="45" s="1"/>
  <c r="N151" i="45" s="1"/>
  <c r="N152" i="45" s="1"/>
  <c r="N153" i="45" s="1"/>
  <c r="N154" i="45" s="1"/>
  <c r="N155" i="45" s="1"/>
  <c r="N156" i="45" s="1"/>
  <c r="N157" i="45" s="1"/>
  <c r="N158" i="45" s="1"/>
  <c r="K168" i="34"/>
  <c r="K169" i="34" s="1"/>
  <c r="K170" i="34" s="1"/>
  <c r="K171" i="34" s="1"/>
  <c r="K172" i="34" s="1"/>
  <c r="K173" i="34" s="1"/>
  <c r="K174" i="34" s="1"/>
  <c r="K175" i="34" s="1"/>
  <c r="K176" i="34" s="1"/>
  <c r="K177" i="34" s="1"/>
  <c r="L148" i="46"/>
  <c r="L149" i="46" s="1"/>
  <c r="L150" i="46" s="1"/>
  <c r="L151" i="46" s="1"/>
  <c r="L152" i="46" s="1"/>
  <c r="L153" i="46" s="1"/>
  <c r="L154" i="46" s="1"/>
  <c r="L155" i="46" s="1"/>
  <c r="L156" i="46" s="1"/>
  <c r="L157" i="46" s="1"/>
  <c r="I34" i="34"/>
  <c r="I35" i="34" s="1"/>
  <c r="I36" i="34" s="1"/>
  <c r="I37" i="34" s="1"/>
  <c r="I38" i="34" s="1"/>
  <c r="I39" i="34" s="1"/>
  <c r="I40" i="34" s="1"/>
  <c r="I41" i="34" s="1"/>
  <c r="I42" i="34" s="1"/>
  <c r="I43" i="34" s="1"/>
  <c r="O44" i="45"/>
  <c r="J44" i="45"/>
  <c r="I46" i="2"/>
  <c r="H12" i="2" s="1"/>
  <c r="E4" i="19"/>
  <c r="G13" i="5" s="1"/>
  <c r="P21" i="44"/>
  <c r="D33" i="39"/>
  <c r="G33" i="39"/>
  <c r="H82" i="45"/>
  <c r="J82" i="45" s="1"/>
  <c r="G37" i="22"/>
  <c r="J98" i="31"/>
  <c r="J84" i="31"/>
  <c r="J50" i="31"/>
  <c r="H47" i="31"/>
  <c r="H48" i="31" s="1"/>
  <c r="H59" i="31" s="1"/>
  <c r="J47" i="31"/>
  <c r="J37" i="31"/>
  <c r="J31" i="31"/>
  <c r="G82" i="34"/>
  <c r="H80" i="34"/>
  <c r="J80" i="34" s="1"/>
  <c r="G97" i="34"/>
  <c r="H97" i="34" s="1"/>
  <c r="J97" i="34" s="1"/>
  <c r="G83" i="34"/>
  <c r="G86" i="34"/>
  <c r="H84" i="46"/>
  <c r="J84" i="46" s="1"/>
  <c r="H91" i="34"/>
  <c r="J91" i="34" s="1"/>
  <c r="C12" i="41"/>
  <c r="G81" i="34"/>
  <c r="C16" i="41"/>
  <c r="G84" i="34"/>
  <c r="C20" i="41"/>
  <c r="G87" i="34"/>
  <c r="C24" i="41"/>
  <c r="E74" i="3" l="1"/>
  <c r="J273" i="31"/>
  <c r="H183" i="31"/>
  <c r="H208" i="31" s="1"/>
  <c r="A7" i="38"/>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J203" i="20"/>
  <c r="H204" i="31"/>
  <c r="H213" i="31" s="1"/>
  <c r="J120" i="31"/>
  <c r="H122" i="31"/>
  <c r="L120" i="31"/>
  <c r="L122" i="31" s="1"/>
  <c r="K37" i="31"/>
  <c r="L35" i="31"/>
  <c r="L37" i="31" s="1"/>
  <c r="L43" i="31" s="1"/>
  <c r="J178" i="34"/>
  <c r="H205" i="31"/>
  <c r="H214" i="31" s="1"/>
  <c r="K273" i="31"/>
  <c r="K282" i="31" s="1"/>
  <c r="F4" i="19"/>
  <c r="H13" i="5" s="1"/>
  <c r="H86" i="34"/>
  <c r="J86" i="34" s="1"/>
  <c r="G103" i="34"/>
  <c r="H103" i="34" s="1"/>
  <c r="J103" i="34" s="1"/>
  <c r="H87" i="34"/>
  <c r="J87" i="34" s="1"/>
  <c r="G104" i="34"/>
  <c r="H104" i="34" s="1"/>
  <c r="J104" i="34" s="1"/>
  <c r="H84" i="34"/>
  <c r="J84" i="34" s="1"/>
  <c r="G101" i="34"/>
  <c r="H101" i="34" s="1"/>
  <c r="J101" i="34" s="1"/>
  <c r="H83" i="34"/>
  <c r="J83" i="34" s="1"/>
  <c r="G100" i="34"/>
  <c r="H100" i="34" s="1"/>
  <c r="J100" i="34" s="1"/>
  <c r="H85" i="34"/>
  <c r="J85" i="34" s="1"/>
  <c r="G102" i="34"/>
  <c r="H102" i="34" s="1"/>
  <c r="J102" i="34" s="1"/>
  <c r="H82" i="34"/>
  <c r="J82" i="34" s="1"/>
  <c r="G99" i="34"/>
  <c r="H99" i="34" s="1"/>
  <c r="J99" i="34" s="1"/>
  <c r="H81" i="34"/>
  <c r="J81" i="34" s="1"/>
  <c r="G98" i="34"/>
  <c r="H98" i="34" s="1"/>
  <c r="J98" i="34" s="1"/>
  <c r="E109" i="2"/>
  <c r="H14" i="2"/>
  <c r="M44" i="46"/>
  <c r="L44" i="46"/>
  <c r="C50" i="41"/>
  <c r="K98" i="20" s="1"/>
  <c r="G13" i="2"/>
  <c r="F109" i="2"/>
  <c r="I11" i="2"/>
  <c r="K258" i="31"/>
  <c r="K55" i="31"/>
  <c r="K57" i="31" s="1"/>
  <c r="J13" i="31"/>
  <c r="J149" i="31" s="1"/>
  <c r="F31" i="3"/>
  <c r="G31" i="3" s="1"/>
  <c r="K44" i="46"/>
  <c r="J55" i="31"/>
  <c r="K251" i="31"/>
  <c r="K150" i="31"/>
  <c r="N178" i="34"/>
  <c r="K39" i="31"/>
  <c r="K41" i="31" s="1"/>
  <c r="L44" i="34"/>
  <c r="K44" i="34"/>
  <c r="K120" i="31"/>
  <c r="H123" i="20"/>
  <c r="G21" i="22"/>
  <c r="J48" i="31"/>
  <c r="J52" i="31"/>
  <c r="K202" i="20"/>
  <c r="K149" i="20"/>
  <c r="K99" i="20"/>
  <c r="C29" i="41"/>
  <c r="E87" i="38"/>
  <c r="H13" i="2"/>
  <c r="C25" i="41"/>
  <c r="I99" i="20" s="1"/>
  <c r="J44" i="34"/>
  <c r="J159" i="45"/>
  <c r="O159" i="45"/>
  <c r="C38" i="39"/>
  <c r="C37" i="39"/>
  <c r="M178" i="34"/>
  <c r="K159" i="45"/>
  <c r="N159" i="45"/>
  <c r="L159" i="45"/>
  <c r="O158" i="46"/>
  <c r="K158" i="46"/>
  <c r="F59" i="20"/>
  <c r="K84" i="31"/>
  <c r="L84" i="31" s="1"/>
  <c r="L86" i="31" s="1"/>
  <c r="L88" i="31" s="1"/>
  <c r="L100" i="31" s="1"/>
  <c r="L246" i="31" s="1"/>
  <c r="H83" i="45"/>
  <c r="J83" i="45" s="1"/>
  <c r="I44" i="34"/>
  <c r="L158" i="46"/>
  <c r="K178" i="34"/>
  <c r="N44" i="45"/>
  <c r="I12" i="2"/>
  <c r="M44" i="34"/>
  <c r="N44" i="46"/>
  <c r="J44" i="46"/>
  <c r="F16" i="2"/>
  <c r="H86" i="46"/>
  <c r="J86" i="46" s="1"/>
  <c r="M158" i="46"/>
  <c r="L178" i="34"/>
  <c r="F132" i="31"/>
  <c r="A31" i="31"/>
  <c r="F231" i="31"/>
  <c r="K44" i="45"/>
  <c r="M46" i="45" s="1"/>
  <c r="O44" i="46"/>
  <c r="M159" i="45"/>
  <c r="A49" i="22"/>
  <c r="A51" i="22" s="1"/>
  <c r="E9" i="22" s="1"/>
  <c r="H18" i="31" l="1"/>
  <c r="H19" i="31" s="1"/>
  <c r="L149" i="20"/>
  <c r="L197" i="20" s="1"/>
  <c r="M161" i="45"/>
  <c r="L61" i="31"/>
  <c r="L245" i="31" s="1"/>
  <c r="L22" i="31"/>
  <c r="M180" i="34"/>
  <c r="F9" i="20"/>
  <c r="H203" i="31"/>
  <c r="H212" i="31" s="1"/>
  <c r="J109" i="34"/>
  <c r="F114" i="34" s="1"/>
  <c r="J92" i="34"/>
  <c r="F113" i="34" s="1"/>
  <c r="H113" i="34" s="1"/>
  <c r="L113" i="34" s="1"/>
  <c r="I98" i="20"/>
  <c r="H98" i="20" s="1"/>
  <c r="H99" i="20"/>
  <c r="I13" i="2"/>
  <c r="H16" i="2"/>
  <c r="J56" i="31"/>
  <c r="J57" i="31" s="1"/>
  <c r="J59" i="31" s="1"/>
  <c r="J121" i="31"/>
  <c r="J122" i="31" s="1"/>
  <c r="M160" i="46"/>
  <c r="D4" i="19"/>
  <c r="F13" i="5" s="1"/>
  <c r="D13" i="5" s="1"/>
  <c r="K100" i="20"/>
  <c r="C51" i="41"/>
  <c r="L293" i="31" s="1"/>
  <c r="K59" i="31"/>
  <c r="K43" i="31"/>
  <c r="K22" i="31" s="1"/>
  <c r="K152" i="31"/>
  <c r="K122" i="31"/>
  <c r="J150" i="31"/>
  <c r="J40" i="31"/>
  <c r="J85" i="31"/>
  <c r="K260" i="31"/>
  <c r="J282" i="31"/>
  <c r="C26" i="41"/>
  <c r="C28" i="41"/>
  <c r="C39" i="39"/>
  <c r="C40" i="39"/>
  <c r="H87" i="46"/>
  <c r="J87" i="46" s="1"/>
  <c r="M46" i="46"/>
  <c r="H84" i="45"/>
  <c r="J84" i="45" s="1"/>
  <c r="A32" i="31"/>
  <c r="A33" i="31" s="1"/>
  <c r="L46" i="34"/>
  <c r="K86" i="31"/>
  <c r="J18" i="31" l="1"/>
  <c r="J19" i="31" s="1"/>
  <c r="H31" i="31"/>
  <c r="J72" i="31"/>
  <c r="H72" i="31"/>
  <c r="H215" i="31"/>
  <c r="L25" i="31"/>
  <c r="L102" i="31"/>
  <c r="L247" i="31" s="1"/>
  <c r="H33" i="31"/>
  <c r="J33" i="31"/>
  <c r="J258" i="31" s="1"/>
  <c r="J260" i="31" s="1"/>
  <c r="J261" i="31" s="1"/>
  <c r="F28" i="20"/>
  <c r="H273" i="31"/>
  <c r="H282" i="31" s="1"/>
  <c r="I100" i="20"/>
  <c r="I103" i="20" s="1"/>
  <c r="F115" i="34"/>
  <c r="H114" i="34"/>
  <c r="H293" i="31"/>
  <c r="J293" i="31" s="1"/>
  <c r="J41" i="31"/>
  <c r="J152" i="31"/>
  <c r="J250" i="31" s="1"/>
  <c r="K261" i="31"/>
  <c r="K250" i="31"/>
  <c r="J86" i="31"/>
  <c r="K61" i="31"/>
  <c r="K88" i="31"/>
  <c r="G18" i="22"/>
  <c r="G26" i="22" s="1"/>
  <c r="C42" i="39"/>
  <c r="C41" i="39"/>
  <c r="F33" i="31"/>
  <c r="J102" i="20"/>
  <c r="J103" i="20"/>
  <c r="K103" i="20"/>
  <c r="K102" i="20"/>
  <c r="A35" i="31"/>
  <c r="A36" i="31" s="1"/>
  <c r="A37" i="31" s="1"/>
  <c r="A38" i="31" s="1"/>
  <c r="F258" i="31"/>
  <c r="H85" i="45"/>
  <c r="J85" i="45" s="1"/>
  <c r="H88" i="46"/>
  <c r="J88" i="46" s="1"/>
  <c r="K18" i="31" l="1"/>
  <c r="L18" i="31" s="1"/>
  <c r="L19" i="31" s="1"/>
  <c r="H16" i="31"/>
  <c r="H17" i="31" s="1"/>
  <c r="H20" i="31" s="1"/>
  <c r="H43" i="31"/>
  <c r="H258" i="31"/>
  <c r="H260" i="31" s="1"/>
  <c r="H261" i="31" s="1"/>
  <c r="J43" i="31"/>
  <c r="J22" i="31" s="1"/>
  <c r="J16" i="31"/>
  <c r="K16" i="31" s="1"/>
  <c r="L16" i="31" s="1"/>
  <c r="L17" i="31" s="1"/>
  <c r="L23" i="31" s="1"/>
  <c r="E22" i="33"/>
  <c r="E26" i="33" s="1"/>
  <c r="I102" i="20"/>
  <c r="I109" i="20" s="1"/>
  <c r="J125" i="31" s="1"/>
  <c r="H115" i="34"/>
  <c r="L115" i="34" s="1"/>
  <c r="F122" i="34" s="1"/>
  <c r="L114" i="34"/>
  <c r="K245" i="31"/>
  <c r="K25" i="31"/>
  <c r="J88" i="31"/>
  <c r="K100" i="31"/>
  <c r="K102" i="31" s="1"/>
  <c r="K247" i="31" s="1"/>
  <c r="G20" i="22"/>
  <c r="G16" i="22"/>
  <c r="G17" i="22"/>
  <c r="J109" i="20"/>
  <c r="K125" i="31" s="1"/>
  <c r="C44" i="39"/>
  <c r="C43" i="39"/>
  <c r="H89" i="46"/>
  <c r="J89" i="46" s="1"/>
  <c r="H90" i="46"/>
  <c r="J90" i="46" s="1"/>
  <c r="H103" i="20"/>
  <c r="A39" i="31"/>
  <c r="F39" i="31"/>
  <c r="K109" i="20"/>
  <c r="L125" i="31" s="1"/>
  <c r="L127" i="31" s="1"/>
  <c r="L135" i="31" s="1"/>
  <c r="L249" i="31" s="1"/>
  <c r="H86" i="45"/>
  <c r="J86" i="45" s="1"/>
  <c r="K19" i="31" l="1"/>
  <c r="L20" i="31"/>
  <c r="L26" i="31" s="1"/>
  <c r="H61" i="31"/>
  <c r="H22" i="31"/>
  <c r="H23" i="31" s="1"/>
  <c r="J17" i="31"/>
  <c r="J20" i="31" s="1"/>
  <c r="K17" i="31"/>
  <c r="K23" i="31" s="1"/>
  <c r="H102" i="20"/>
  <c r="H109" i="20" s="1"/>
  <c r="E25" i="33"/>
  <c r="E27" i="33"/>
  <c r="F123" i="34"/>
  <c r="I122" i="34"/>
  <c r="J122" i="34" s="1"/>
  <c r="G24" i="22"/>
  <c r="K217" i="31"/>
  <c r="K246" i="31"/>
  <c r="K127" i="31"/>
  <c r="J61" i="31"/>
  <c r="J91" i="46"/>
  <c r="F95" i="46" s="1"/>
  <c r="G25" i="22"/>
  <c r="J127" i="31"/>
  <c r="C45" i="39"/>
  <c r="C46" i="39"/>
  <c r="H87" i="45"/>
  <c r="J87" i="45" s="1"/>
  <c r="A40" i="31"/>
  <c r="A41" i="31" s="1"/>
  <c r="J25" i="31" l="1"/>
  <c r="J245" i="31"/>
  <c r="H125" i="31"/>
  <c r="H127" i="31" s="1"/>
  <c r="G27" i="22"/>
  <c r="F19" i="3"/>
  <c r="F40" i="3" s="1"/>
  <c r="G40" i="3" s="1"/>
  <c r="F251" i="20"/>
  <c r="F14" i="3"/>
  <c r="G15" i="2"/>
  <c r="G16" i="2" s="1"/>
  <c r="I16" i="2" s="1"/>
  <c r="H245" i="31"/>
  <c r="H26" i="31"/>
  <c r="K203" i="20" s="1"/>
  <c r="L203" i="20" s="1"/>
  <c r="K20" i="31"/>
  <c r="K26" i="31" s="1"/>
  <c r="E3" i="19" s="1"/>
  <c r="E8" i="19" s="1"/>
  <c r="G8" i="5" s="1"/>
  <c r="F3" i="19"/>
  <c r="E30" i="33"/>
  <c r="E33" i="33" s="1"/>
  <c r="E29" i="33"/>
  <c r="E32" i="33" s="1"/>
  <c r="F124" i="34"/>
  <c r="I123" i="34"/>
  <c r="J123" i="34" s="1"/>
  <c r="K135" i="31"/>
  <c r="J23" i="31"/>
  <c r="K252" i="31"/>
  <c r="C47" i="39"/>
  <c r="C48" i="39"/>
  <c r="A43" i="31"/>
  <c r="F43" i="31"/>
  <c r="H88" i="45"/>
  <c r="J88" i="45" s="1"/>
  <c r="F41" i="31"/>
  <c r="H66" i="31" l="1"/>
  <c r="H67" i="31" s="1"/>
  <c r="G19" i="3"/>
  <c r="F18" i="3"/>
  <c r="F17" i="3" s="1"/>
  <c r="F252" i="20"/>
  <c r="H252" i="20" s="1"/>
  <c r="H251" i="20"/>
  <c r="H132" i="31"/>
  <c r="H133" i="31" s="1"/>
  <c r="J133" i="31" s="1"/>
  <c r="H231" i="31"/>
  <c r="H232" i="31" s="1"/>
  <c r="G43" i="22" s="1"/>
  <c r="E9" i="19"/>
  <c r="G9" i="5" s="1"/>
  <c r="G10" i="5" s="1"/>
  <c r="G22" i="5" s="1"/>
  <c r="F8" i="19"/>
  <c r="H8" i="5" s="1"/>
  <c r="F9" i="19"/>
  <c r="H9" i="5" s="1"/>
  <c r="F125" i="34"/>
  <c r="I124" i="34"/>
  <c r="J124" i="34" s="1"/>
  <c r="K249" i="31"/>
  <c r="J26" i="31"/>
  <c r="C49" i="39"/>
  <c r="C50" i="39"/>
  <c r="A47" i="31"/>
  <c r="F22" i="31"/>
  <c r="H89" i="45"/>
  <c r="J89" i="45" s="1"/>
  <c r="H90" i="45"/>
  <c r="J90" i="45" s="1"/>
  <c r="K266" i="31" l="1"/>
  <c r="H254" i="20"/>
  <c r="J66" i="31"/>
  <c r="J67" i="31" s="1"/>
  <c r="G18" i="3"/>
  <c r="G42" i="22"/>
  <c r="J132" i="31"/>
  <c r="H10" i="5"/>
  <c r="H22" i="5" s="1"/>
  <c r="F126" i="34"/>
  <c r="I125" i="34"/>
  <c r="J125" i="34" s="1"/>
  <c r="D3" i="19"/>
  <c r="C52" i="39"/>
  <c r="C51" i="39"/>
  <c r="F16" i="3"/>
  <c r="F15" i="3" s="1"/>
  <c r="G17" i="3"/>
  <c r="J91" i="45"/>
  <c r="F96" i="45" s="1"/>
  <c r="A48" i="31"/>
  <c r="F48" i="31"/>
  <c r="F273" i="31"/>
  <c r="F282" i="31"/>
  <c r="L266" i="31" l="1"/>
  <c r="H235" i="31"/>
  <c r="I126" i="34"/>
  <c r="J126" i="34" s="1"/>
  <c r="F127" i="34"/>
  <c r="D9" i="19"/>
  <c r="F9" i="5" s="1"/>
  <c r="D9" i="5" s="1"/>
  <c r="D8" i="19"/>
  <c r="F8" i="5" s="1"/>
  <c r="C54" i="39"/>
  <c r="C53" i="39"/>
  <c r="A50" i="31"/>
  <c r="A51" i="31" s="1"/>
  <c r="A52" i="31" s="1"/>
  <c r="A53" i="31" s="1"/>
  <c r="G16" i="3"/>
  <c r="G46" i="22" l="1"/>
  <c r="G47" i="22" s="1"/>
  <c r="H236" i="31"/>
  <c r="F128" i="34"/>
  <c r="I127" i="34"/>
  <c r="J127" i="34" s="1"/>
  <c r="D8" i="5"/>
  <c r="D10" i="5" s="1"/>
  <c r="D22" i="5" s="1"/>
  <c r="F10" i="5"/>
  <c r="F22" i="5" s="1"/>
  <c r="J266" i="31" s="1"/>
  <c r="C55" i="39"/>
  <c r="C56" i="39"/>
  <c r="G14" i="3"/>
  <c r="G15" i="3"/>
  <c r="A54" i="31"/>
  <c r="A55" i="31" s="1"/>
  <c r="H266" i="31" l="1"/>
  <c r="F129" i="34"/>
  <c r="I128" i="34"/>
  <c r="J128" i="34" s="1"/>
  <c r="F55" i="31"/>
  <c r="C58" i="39"/>
  <c r="C57" i="39"/>
  <c r="A56" i="31"/>
  <c r="A57" i="31" s="1"/>
  <c r="G20" i="3"/>
  <c r="G47" i="3" l="1"/>
  <c r="G52" i="3" s="1"/>
  <c r="F130" i="34"/>
  <c r="I129" i="34"/>
  <c r="J129" i="34" s="1"/>
  <c r="C59" i="39"/>
  <c r="C60" i="39"/>
  <c r="A59" i="31"/>
  <c r="F59" i="31"/>
  <c r="F57" i="31"/>
  <c r="J156" i="31" l="1"/>
  <c r="J158" i="31" s="1"/>
  <c r="J251" i="31" s="1"/>
  <c r="I130" i="34"/>
  <c r="J130" i="34" s="1"/>
  <c r="F131" i="34"/>
  <c r="C61" i="39"/>
  <c r="C62" i="39"/>
  <c r="A61" i="31"/>
  <c r="F25" i="31" s="1"/>
  <c r="F61" i="31"/>
  <c r="H156" i="31" l="1"/>
  <c r="H158" i="31" s="1"/>
  <c r="H251" i="31" s="1"/>
  <c r="I131" i="34"/>
  <c r="J131" i="34" s="1"/>
  <c r="F132" i="34"/>
  <c r="C64" i="39"/>
  <c r="C63" i="39"/>
  <c r="F245" i="31"/>
  <c r="A66" i="31"/>
  <c r="I132" i="34" l="1"/>
  <c r="J132" i="34" s="1"/>
  <c r="F133" i="34"/>
  <c r="I133" i="34" s="1"/>
  <c r="J133" i="34" s="1"/>
  <c r="C66" i="39"/>
  <c r="C65" i="39"/>
  <c r="A67" i="31"/>
  <c r="F67" i="31"/>
  <c r="J134" i="34" l="1"/>
  <c r="F136" i="34" s="1"/>
  <c r="I136" i="34" s="1"/>
  <c r="J136" i="34" s="1"/>
  <c r="F137" i="34" s="1"/>
  <c r="C67" i="39"/>
  <c r="C68" i="39"/>
  <c r="A69" i="31"/>
  <c r="A72" i="31" s="1"/>
  <c r="I137" i="34" l="1"/>
  <c r="J137" i="34" s="1"/>
  <c r="F138" i="34" s="1"/>
  <c r="C69" i="39"/>
  <c r="C70" i="39"/>
  <c r="A75" i="31"/>
  <c r="A128" i="20"/>
  <c r="I138" i="34" l="1"/>
  <c r="J138" i="34" s="1"/>
  <c r="C71" i="39"/>
  <c r="C72" i="39"/>
  <c r="C73" i="39" s="1"/>
  <c r="F76" i="31"/>
  <c r="A76" i="31"/>
  <c r="A201" i="20"/>
  <c r="F139" i="34" l="1"/>
  <c r="A78" i="31"/>
  <c r="I139" i="34" l="1"/>
  <c r="J139" i="34" s="1"/>
  <c r="A76" i="20"/>
  <c r="A80" i="31"/>
  <c r="F140" i="34" l="1"/>
  <c r="A81" i="31"/>
  <c r="A84" i="31" s="1"/>
  <c r="I140" i="34" l="1"/>
  <c r="J140" i="34" s="1"/>
  <c r="H141" i="34" s="1"/>
  <c r="A85" i="31"/>
  <c r="A86" i="31" s="1"/>
  <c r="H142" i="34" l="1"/>
  <c r="H143" i="34" s="1"/>
  <c r="H144" i="34" s="1"/>
  <c r="H145" i="34" s="1"/>
  <c r="H146" i="34" s="1"/>
  <c r="H147" i="34" s="1"/>
  <c r="H148" i="34" s="1"/>
  <c r="H149" i="34" s="1"/>
  <c r="H150" i="34" s="1"/>
  <c r="H151" i="34" s="1"/>
  <c r="H152" i="34" s="1"/>
  <c r="F141" i="34"/>
  <c r="A87" i="31"/>
  <c r="A88" i="31" s="1"/>
  <c r="F86" i="31"/>
  <c r="H153" i="34" l="1"/>
  <c r="H155" i="34" s="1"/>
  <c r="F88" i="31"/>
  <c r="I141" i="34"/>
  <c r="J141" i="34" s="1"/>
  <c r="A91" i="31"/>
  <c r="I155" i="34" l="1"/>
  <c r="J287" i="31" s="1"/>
  <c r="J155" i="34"/>
  <c r="E17" i="33" s="1"/>
  <c r="F142" i="34"/>
  <c r="A92" i="31"/>
  <c r="A93" i="31" s="1"/>
  <c r="E18" i="33" l="1"/>
  <c r="J157" i="34"/>
  <c r="I142" i="34"/>
  <c r="J142" i="34" s="1"/>
  <c r="F143" i="34" s="1"/>
  <c r="A96" i="31"/>
  <c r="F93" i="31"/>
  <c r="J109" i="31" l="1"/>
  <c r="H109" i="31" s="1"/>
  <c r="H111" i="31" s="1"/>
  <c r="H135" i="31" s="1"/>
  <c r="H91" i="31" s="1"/>
  <c r="H93" i="31" s="1"/>
  <c r="I143" i="34"/>
  <c r="J143" i="34" s="1"/>
  <c r="F144" i="34" s="1"/>
  <c r="A97" i="31"/>
  <c r="A220" i="20"/>
  <c r="F98" i="31"/>
  <c r="J111" i="31" l="1"/>
  <c r="J135" i="31" s="1"/>
  <c r="J249" i="31" s="1"/>
  <c r="H249" i="31"/>
  <c r="I144" i="34"/>
  <c r="J144" i="34" s="1"/>
  <c r="F145" i="34" s="1"/>
  <c r="A98" i="31"/>
  <c r="A225" i="20"/>
  <c r="J91" i="31" l="1"/>
  <c r="I145" i="34"/>
  <c r="J145" i="34" s="1"/>
  <c r="F146" i="34" s="1"/>
  <c r="A100" i="31"/>
  <c r="F100" i="31"/>
  <c r="J93" i="31" l="1"/>
  <c r="I146" i="34"/>
  <c r="J146" i="34" s="1"/>
  <c r="A102" i="31"/>
  <c r="E14" i="22" s="1"/>
  <c r="F246" i="31"/>
  <c r="F102" i="31"/>
  <c r="F147" i="34" l="1"/>
  <c r="F247" i="31"/>
  <c r="A107" i="31"/>
  <c r="I147" i="34" l="1"/>
  <c r="J147" i="34" s="1"/>
  <c r="A108" i="31"/>
  <c r="A109" i="31" s="1"/>
  <c r="A110" i="31" s="1"/>
  <c r="F111" i="31" s="1"/>
  <c r="F148" i="34" l="1"/>
  <c r="A241" i="20"/>
  <c r="A111" i="31"/>
  <c r="I148" i="34" l="1"/>
  <c r="J148" i="34" s="1"/>
  <c r="A114" i="31"/>
  <c r="F149" i="34" l="1"/>
  <c r="A115" i="31"/>
  <c r="I149" i="34" l="1"/>
  <c r="J149" i="34" s="1"/>
  <c r="A116" i="31"/>
  <c r="A83" i="20"/>
  <c r="F150" i="34" l="1"/>
  <c r="A117" i="31"/>
  <c r="A118" i="31" s="1"/>
  <c r="A119" i="31" s="1"/>
  <c r="F129" i="31"/>
  <c r="I150" i="34" l="1"/>
  <c r="J150" i="34" s="1"/>
  <c r="A120" i="31"/>
  <c r="A93" i="20"/>
  <c r="F120" i="31"/>
  <c r="H95" i="46" l="1"/>
  <c r="L95" i="46" s="1"/>
  <c r="F102" i="46" s="1"/>
  <c r="F151" i="34"/>
  <c r="A121" i="31"/>
  <c r="A122" i="31" s="1"/>
  <c r="I102" i="46" l="1"/>
  <c r="J102" i="46" s="1"/>
  <c r="F103" i="46"/>
  <c r="I151" i="34"/>
  <c r="J151" i="34" s="1"/>
  <c r="A125" i="31"/>
  <c r="F122" i="31"/>
  <c r="F104" i="46" l="1"/>
  <c r="I103" i="46"/>
  <c r="J103" i="46" s="1"/>
  <c r="F152" i="34"/>
  <c r="A126" i="31"/>
  <c r="F127" i="31" s="1"/>
  <c r="I104" i="46" l="1"/>
  <c r="J104" i="46" s="1"/>
  <c r="F105" i="46"/>
  <c r="I152" i="34"/>
  <c r="J152" i="34" s="1"/>
  <c r="A127" i="31"/>
  <c r="A109" i="20"/>
  <c r="I105" i="46" l="1"/>
  <c r="J105" i="46" s="1"/>
  <c r="F106" i="46"/>
  <c r="A129" i="31"/>
  <c r="I106" i="46" l="1"/>
  <c r="J106" i="46" s="1"/>
  <c r="F107" i="46"/>
  <c r="A130" i="31"/>
  <c r="A131" i="31" s="1"/>
  <c r="I107" i="46" l="1"/>
  <c r="J107" i="46" s="1"/>
  <c r="F108" i="46"/>
  <c r="F131" i="31"/>
  <c r="A132" i="31"/>
  <c r="A133" i="31" s="1"/>
  <c r="I108" i="46" l="1"/>
  <c r="J108" i="46" s="1"/>
  <c r="F109" i="46"/>
  <c r="F133" i="31"/>
  <c r="A135" i="31"/>
  <c r="F135" i="31"/>
  <c r="F110" i="46" l="1"/>
  <c r="I109" i="46"/>
  <c r="J109" i="46" s="1"/>
  <c r="F91" i="31"/>
  <c r="A140" i="31"/>
  <c r="F249" i="31"/>
  <c r="I110" i="46" l="1"/>
  <c r="J110" i="46" s="1"/>
  <c r="F111" i="46"/>
  <c r="A141" i="31"/>
  <c r="A143" i="31"/>
  <c r="A144" i="31" s="1"/>
  <c r="A145" i="31" s="1"/>
  <c r="A146" i="31" s="1"/>
  <c r="F141" i="31"/>
  <c r="I111" i="46" l="1"/>
  <c r="J111" i="46" s="1"/>
  <c r="F112" i="46"/>
  <c r="A147" i="31"/>
  <c r="A148" i="31" s="1"/>
  <c r="F148" i="31" l="1"/>
  <c r="I112" i="46"/>
  <c r="J112" i="46" s="1"/>
  <c r="F113" i="46"/>
  <c r="I113" i="46" s="1"/>
  <c r="J113" i="46" s="1"/>
  <c r="A149" i="31"/>
  <c r="A150" i="31" s="1"/>
  <c r="F150" i="31" l="1"/>
  <c r="J114" i="46"/>
  <c r="A152" i="31"/>
  <c r="F152" i="31"/>
  <c r="F116" i="46" l="1"/>
  <c r="H118" i="46"/>
  <c r="H119" i="46" s="1"/>
  <c r="H120" i="46" s="1"/>
  <c r="H118" i="45"/>
  <c r="H119" i="45" s="1"/>
  <c r="H120" i="45" s="1"/>
  <c r="H121" i="45" s="1"/>
  <c r="A156" i="31"/>
  <c r="F250" i="31"/>
  <c r="I116" i="46" l="1"/>
  <c r="A158" i="31"/>
  <c r="F158" i="31"/>
  <c r="J116" i="46" l="1"/>
  <c r="F117" i="46" s="1"/>
  <c r="F251" i="31"/>
  <c r="A163" i="31"/>
  <c r="I117" i="46" l="1"/>
  <c r="J117" i="46" s="1"/>
  <c r="A164" i="31"/>
  <c r="A165" i="31" s="1"/>
  <c r="A166" i="31" s="1"/>
  <c r="A167" i="31" s="1"/>
  <c r="A169" i="31" s="1"/>
  <c r="D167" i="31" l="1"/>
  <c r="F118" i="46"/>
  <c r="A170" i="31"/>
  <c r="A171" i="31" s="1"/>
  <c r="A172" i="31" s="1"/>
  <c r="A173" i="31" s="1"/>
  <c r="A174" i="31" s="1"/>
  <c r="A177" i="31" s="1"/>
  <c r="I118" i="46" l="1"/>
  <c r="J118" i="46" s="1"/>
  <c r="F119" i="46" s="1"/>
  <c r="D174" i="31"/>
  <c r="A178" i="31"/>
  <c r="A179" i="31" s="1"/>
  <c r="A180" i="31" s="1"/>
  <c r="A181" i="31" s="1"/>
  <c r="A182" i="31" s="1"/>
  <c r="A183" i="31" s="1"/>
  <c r="D183" i="31" s="1"/>
  <c r="I119" i="46" l="1"/>
  <c r="J119" i="46" s="1"/>
  <c r="F120" i="46" s="1"/>
  <c r="F208" i="31"/>
  <c r="A186" i="31"/>
  <c r="I120" i="46" l="1"/>
  <c r="J120" i="46" s="1"/>
  <c r="A187" i="31"/>
  <c r="A188" i="31" s="1"/>
  <c r="A189" i="31" s="1"/>
  <c r="A190" i="31" s="1"/>
  <c r="A191" i="31" s="1"/>
  <c r="A192" i="31" s="1"/>
  <c r="F121" i="46" l="1"/>
  <c r="I121" i="46" s="1"/>
  <c r="H121" i="46"/>
  <c r="D192" i="31"/>
  <c r="A194" i="31"/>
  <c r="J121" i="46" l="1"/>
  <c r="F122" i="46" s="1"/>
  <c r="I122" i="46" s="1"/>
  <c r="H122" i="46"/>
  <c r="H123" i="46" s="1"/>
  <c r="H124" i="46" s="1"/>
  <c r="H125" i="46" s="1"/>
  <c r="H126" i="46" s="1"/>
  <c r="H127" i="46" s="1"/>
  <c r="H128" i="46" s="1"/>
  <c r="H129" i="46" s="1"/>
  <c r="H130" i="46" s="1"/>
  <c r="H131" i="46" s="1"/>
  <c r="H132" i="46" s="1"/>
  <c r="F209" i="31"/>
  <c r="A197" i="31"/>
  <c r="J122" i="46" l="1"/>
  <c r="F123" i="46" s="1"/>
  <c r="I123" i="46" s="1"/>
  <c r="J123" i="46" s="1"/>
  <c r="F124" i="46" s="1"/>
  <c r="H133" i="46"/>
  <c r="H135" i="46" s="1"/>
  <c r="L287" i="31" s="1"/>
  <c r="A198" i="31"/>
  <c r="A199" i="31" s="1"/>
  <c r="A200" i="31" s="1"/>
  <c r="A201" i="31" s="1"/>
  <c r="D201" i="31"/>
  <c r="I124" i="46" l="1"/>
  <c r="J124" i="46" s="1"/>
  <c r="F125" i="46" s="1"/>
  <c r="F205" i="31"/>
  <c r="A203" i="31"/>
  <c r="E16" i="22" s="1"/>
  <c r="F204" i="31"/>
  <c r="I125" i="46" l="1"/>
  <c r="J125" i="46" s="1"/>
  <c r="F126" i="46" s="1"/>
  <c r="A204" i="31"/>
  <c r="E17" i="22" s="1"/>
  <c r="I126" i="46" l="1"/>
  <c r="J126" i="46" s="1"/>
  <c r="F127" i="46" s="1"/>
  <c r="I127" i="46" s="1"/>
  <c r="A205" i="31"/>
  <c r="E18" i="22" s="1"/>
  <c r="J127" i="46" l="1"/>
  <c r="F128" i="46" s="1"/>
  <c r="A208" i="31"/>
  <c r="E20" i="22" s="1"/>
  <c r="F203" i="31"/>
  <c r="I128" i="46" l="1"/>
  <c r="J128" i="46" s="1"/>
  <c r="A209" i="31"/>
  <c r="E21" i="22" s="1"/>
  <c r="F212" i="31"/>
  <c r="F129" i="46" l="1"/>
  <c r="A210" i="31"/>
  <c r="E22" i="22" s="1"/>
  <c r="F213" i="31"/>
  <c r="I129" i="46" l="1"/>
  <c r="J129" i="46" s="1"/>
  <c r="A212" i="31"/>
  <c r="E24" i="22" s="1"/>
  <c r="F214" i="31"/>
  <c r="F130" i="46" l="1"/>
  <c r="A213" i="31"/>
  <c r="E25" i="22" s="1"/>
  <c r="I130" i="46" l="1"/>
  <c r="J130" i="46" s="1"/>
  <c r="A214" i="31"/>
  <c r="F131" i="46" l="1"/>
  <c r="A215" i="31"/>
  <c r="F215" i="31"/>
  <c r="I131" i="46" l="1"/>
  <c r="J131" i="46" s="1"/>
  <c r="A217" i="31"/>
  <c r="F217" i="31"/>
  <c r="F132" i="46" l="1"/>
  <c r="A222" i="31"/>
  <c r="E33" i="22" s="1"/>
  <c r="F252" i="31"/>
  <c r="I132" i="46" l="1"/>
  <c r="J132" i="46" s="1"/>
  <c r="A223" i="31"/>
  <c r="E34" i="22" s="1"/>
  <c r="A224" i="31" l="1"/>
  <c r="E35" i="22" s="1"/>
  <c r="A225" i="31" l="1"/>
  <c r="E36" i="22" s="1"/>
  <c r="A226" i="31" l="1"/>
  <c r="E37" i="22" s="1"/>
  <c r="F230" i="31"/>
  <c r="A229" i="31" l="1"/>
  <c r="E40" i="22" s="1"/>
  <c r="F238" i="31"/>
  <c r="A230" i="31" l="1"/>
  <c r="E41" i="22" s="1"/>
  <c r="A231" i="31" l="1"/>
  <c r="E42" i="22" s="1"/>
  <c r="A232" i="31" l="1"/>
  <c r="E43" i="22" s="1"/>
  <c r="F232" i="31"/>
  <c r="A238" i="31" l="1"/>
  <c r="A240" i="31" s="1"/>
  <c r="A245" i="31" l="1"/>
  <c r="A246" i="31" s="1"/>
  <c r="A247" i="31" s="1"/>
  <c r="A249" i="31" s="1"/>
  <c r="F253" i="31"/>
  <c r="A250" i="31" l="1"/>
  <c r="A251" i="31" s="1"/>
  <c r="A252" i="31" s="1"/>
  <c r="A253" i="31" s="1"/>
  <c r="A255" i="31" s="1"/>
  <c r="F255" i="31" l="1"/>
  <c r="F279" i="31"/>
  <c r="A258" i="31"/>
  <c r="F262" i="31"/>
  <c r="F272" i="31"/>
  <c r="A259" i="31" l="1"/>
  <c r="F260" i="31" s="1"/>
  <c r="A260" i="31" l="1"/>
  <c r="A120" i="20"/>
  <c r="F261" i="31" l="1"/>
  <c r="A261" i="31"/>
  <c r="A262" i="31" l="1"/>
  <c r="A263" i="31" s="1"/>
  <c r="F263" i="31" l="1"/>
  <c r="A266" i="31"/>
  <c r="A267" i="31" s="1"/>
  <c r="F269" i="31"/>
  <c r="A269" i="31" l="1"/>
  <c r="A234" i="20"/>
  <c r="F286" i="31" l="1"/>
  <c r="A272" i="31"/>
  <c r="A273" i="31" s="1"/>
  <c r="A274" i="31" l="1"/>
  <c r="A275" i="31" s="1"/>
  <c r="F275" i="31"/>
  <c r="F274" i="31"/>
  <c r="F276" i="31"/>
  <c r="C8" i="39" l="1"/>
  <c r="A276" i="31"/>
  <c r="C12" i="39" l="1"/>
  <c r="A279" i="31"/>
  <c r="A280" i="31" l="1"/>
  <c r="A281" i="31" s="1"/>
  <c r="F281" i="31" l="1"/>
  <c r="A282" i="31"/>
  <c r="A283" i="31" s="1"/>
  <c r="A284" i="31" s="1"/>
  <c r="F284" i="31"/>
  <c r="F283" i="31"/>
  <c r="A286" i="31" l="1"/>
  <c r="C9" i="39"/>
  <c r="A287" i="31" l="1"/>
  <c r="A288" i="31" s="1"/>
  <c r="A289" i="31" s="1"/>
  <c r="F290" i="31" l="1"/>
  <c r="A290" i="31"/>
  <c r="FH289" i="31"/>
  <c r="A293" i="31" l="1"/>
  <c r="F294" i="31" s="1"/>
  <c r="F295" i="31" l="1"/>
  <c r="A294" i="31"/>
  <c r="A295" i="31" s="1"/>
  <c r="W22" i="23"/>
  <c r="J202" i="20" l="1"/>
  <c r="L202" i="20" s="1"/>
  <c r="L205" i="20"/>
  <c r="L207" i="20" l="1"/>
  <c r="H75" i="31" l="1"/>
  <c r="H76" i="31" s="1"/>
  <c r="J75" i="31"/>
  <c r="J76" i="31" s="1"/>
  <c r="J100" i="31" s="1"/>
  <c r="J102" i="31" l="1"/>
  <c r="J247" i="31" s="1"/>
  <c r="J246" i="31"/>
  <c r="H100" i="31"/>
  <c r="H246" i="31" s="1"/>
  <c r="H102" i="31" l="1"/>
  <c r="H247" i="31" s="1"/>
  <c r="H217" i="31" l="1"/>
  <c r="H238" i="31" s="1"/>
  <c r="H240" i="31" s="1"/>
  <c r="H253" i="31" s="1"/>
  <c r="G14" i="22"/>
  <c r="G29" i="22" s="1"/>
  <c r="G49" i="22" s="1"/>
  <c r="G51" i="22" s="1"/>
  <c r="K103" i="31"/>
  <c r="L103" i="31"/>
  <c r="J103" i="31"/>
  <c r="J240" i="31" l="1"/>
  <c r="J253" i="31" s="1"/>
  <c r="H252" i="31"/>
  <c r="H255" i="31" s="1"/>
  <c r="H262" i="31" s="1"/>
  <c r="H263" i="31" s="1"/>
  <c r="L240" i="31"/>
  <c r="L253" i="31" s="1"/>
  <c r="K240" i="31"/>
  <c r="K253" i="31" s="1"/>
  <c r="K255" i="31" s="1"/>
  <c r="K262" i="31" s="1"/>
  <c r="K263" i="31" s="1"/>
  <c r="K269" i="31" s="1"/>
  <c r="K286" i="31" s="1"/>
  <c r="G9" i="22"/>
  <c r="J217" i="31"/>
  <c r="J252" i="31" s="1"/>
  <c r="L217" i="31"/>
  <c r="L252" i="31" s="1"/>
  <c r="H280" i="31" l="1"/>
  <c r="J280" i="31" s="1"/>
  <c r="J255" i="31"/>
  <c r="J262" i="31" s="1"/>
  <c r="J263" i="31" s="1"/>
  <c r="J272" i="31" s="1"/>
  <c r="L255" i="31"/>
  <c r="L262" i="31" s="1"/>
  <c r="L263" i="31" s="1"/>
  <c r="L269" i="31" s="1"/>
  <c r="L286" i="31" s="1"/>
  <c r="L290" i="31" s="1"/>
  <c r="L294" i="31" s="1"/>
  <c r="L295" i="31" s="1"/>
  <c r="K272" i="31"/>
  <c r="K274" i="31" s="1"/>
  <c r="K279" i="31"/>
  <c r="L280" i="31"/>
  <c r="H276" i="31"/>
  <c r="I12" i="39" s="1"/>
  <c r="H275" i="31"/>
  <c r="I8" i="39" s="1"/>
  <c r="H279" i="31"/>
  <c r="H274" i="31"/>
  <c r="H269" i="31"/>
  <c r="H286" i="31" s="1"/>
  <c r="H272" i="31"/>
  <c r="H137" i="45"/>
  <c r="D96" i="45"/>
  <c r="H96" i="45" s="1"/>
  <c r="L96" i="45" s="1"/>
  <c r="F103" i="45" s="1"/>
  <c r="H281" i="31" l="1"/>
  <c r="H283" i="31" s="1"/>
  <c r="K280" i="31"/>
  <c r="J269" i="31"/>
  <c r="J286" i="31" s="1"/>
  <c r="I156" i="34" s="1"/>
  <c r="I157" i="34" s="1"/>
  <c r="C185" i="34" s="1"/>
  <c r="D189" i="34" s="1"/>
  <c r="J279" i="31"/>
  <c r="J281" i="31" s="1"/>
  <c r="J284" i="31" s="1"/>
  <c r="J9" i="39" s="1"/>
  <c r="H136" i="46"/>
  <c r="H137" i="46" s="1"/>
  <c r="L279" i="31"/>
  <c r="L281" i="31" s="1"/>
  <c r="L283" i="31" s="1"/>
  <c r="L272" i="31"/>
  <c r="L276" i="31" s="1"/>
  <c r="L12" i="39" s="1"/>
  <c r="K275" i="31"/>
  <c r="K8" i="39" s="1"/>
  <c r="K276" i="31"/>
  <c r="K12" i="39" s="1"/>
  <c r="K281" i="31"/>
  <c r="K284" i="31" s="1"/>
  <c r="K9" i="39" s="1"/>
  <c r="J275" i="31"/>
  <c r="J8" i="39" s="1"/>
  <c r="G26" i="39" s="1"/>
  <c r="J276" i="31"/>
  <c r="J12" i="39" s="1"/>
  <c r="J274" i="31"/>
  <c r="F104" i="45"/>
  <c r="I103" i="45"/>
  <c r="J103" i="45" s="1"/>
  <c r="H284" i="31" l="1"/>
  <c r="I9" i="39" s="1"/>
  <c r="I10" i="39" s="1"/>
  <c r="J283" i="31"/>
  <c r="L275" i="31"/>
  <c r="L8" i="39" s="1"/>
  <c r="L274" i="31"/>
  <c r="K10" i="39"/>
  <c r="K283" i="31"/>
  <c r="J10" i="39"/>
  <c r="G27" i="39" s="1"/>
  <c r="L284" i="31"/>
  <c r="L9" i="39" s="1"/>
  <c r="D26" i="39"/>
  <c r="F56" i="39" s="1"/>
  <c r="I56" i="39"/>
  <c r="I58" i="39"/>
  <c r="I32" i="39"/>
  <c r="I42" i="39"/>
  <c r="I46" i="39"/>
  <c r="I40" i="39"/>
  <c r="I38" i="39"/>
  <c r="I48" i="39"/>
  <c r="I52" i="39"/>
  <c r="I68" i="39"/>
  <c r="I62" i="39"/>
  <c r="I34" i="39"/>
  <c r="I60" i="39"/>
  <c r="I70" i="39"/>
  <c r="I64" i="39"/>
  <c r="I50" i="39"/>
  <c r="I36" i="39"/>
  <c r="I66" i="39"/>
  <c r="I44" i="39"/>
  <c r="I54" i="39"/>
  <c r="F105" i="45"/>
  <c r="I104" i="45"/>
  <c r="J104" i="45" s="1"/>
  <c r="L10" i="39" l="1"/>
  <c r="F44" i="39"/>
  <c r="J44" i="39" s="1"/>
  <c r="L44" i="39" s="1"/>
  <c r="F50" i="39"/>
  <c r="J50" i="39" s="1"/>
  <c r="L50" i="39" s="1"/>
  <c r="F68" i="39"/>
  <c r="J68" i="39" s="1"/>
  <c r="L68" i="39" s="1"/>
  <c r="F46" i="39"/>
  <c r="J46" i="39" s="1"/>
  <c r="L46" i="39" s="1"/>
  <c r="F70" i="39"/>
  <c r="J70" i="39" s="1"/>
  <c r="L70" i="39" s="1"/>
  <c r="F62" i="39"/>
  <c r="J62" i="39" s="1"/>
  <c r="L62" i="39" s="1"/>
  <c r="F34" i="39"/>
  <c r="J34" i="39" s="1"/>
  <c r="L34" i="39" s="1"/>
  <c r="F52" i="39"/>
  <c r="J52" i="39" s="1"/>
  <c r="L52" i="39" s="1"/>
  <c r="F40" i="39"/>
  <c r="J40" i="39" s="1"/>
  <c r="L40" i="39" s="1"/>
  <c r="F60" i="39"/>
  <c r="J60" i="39" s="1"/>
  <c r="L60" i="39" s="1"/>
  <c r="F36" i="39"/>
  <c r="J36" i="39" s="1"/>
  <c r="L36" i="39" s="1"/>
  <c r="D27" i="39"/>
  <c r="F47" i="39" s="1"/>
  <c r="F58" i="39"/>
  <c r="J58" i="39" s="1"/>
  <c r="L58" i="39" s="1"/>
  <c r="F64" i="39"/>
  <c r="J64" i="39" s="1"/>
  <c r="L64" i="39" s="1"/>
  <c r="F38" i="39"/>
  <c r="J38" i="39" s="1"/>
  <c r="L38" i="39" s="1"/>
  <c r="F42" i="39"/>
  <c r="J42" i="39" s="1"/>
  <c r="L42" i="39" s="1"/>
  <c r="F66" i="39"/>
  <c r="J66" i="39" s="1"/>
  <c r="L66" i="39" s="1"/>
  <c r="F54" i="39"/>
  <c r="J54" i="39" s="1"/>
  <c r="L54" i="39" s="1"/>
  <c r="F48" i="39"/>
  <c r="J48" i="39" s="1"/>
  <c r="L48" i="39" s="1"/>
  <c r="F32" i="39"/>
  <c r="J32" i="39" s="1"/>
  <c r="L32" i="39" s="1"/>
  <c r="J56" i="39"/>
  <c r="L56" i="39" s="1"/>
  <c r="F106" i="45"/>
  <c r="I105" i="45"/>
  <c r="J105" i="45" s="1"/>
  <c r="I47" i="39"/>
  <c r="I41" i="39"/>
  <c r="I43" i="39"/>
  <c r="I71" i="39"/>
  <c r="I33" i="39"/>
  <c r="I57" i="39"/>
  <c r="I55" i="39"/>
  <c r="I39" i="39"/>
  <c r="I59" i="39"/>
  <c r="I49" i="39"/>
  <c r="I35" i="39"/>
  <c r="I53" i="39"/>
  <c r="I63" i="39"/>
  <c r="I65" i="39"/>
  <c r="I67" i="39"/>
  <c r="I51" i="39"/>
  <c r="I45" i="39"/>
  <c r="I69" i="39"/>
  <c r="I61" i="39"/>
  <c r="I37" i="39"/>
  <c r="F41" i="39" l="1"/>
  <c r="J41" i="39" s="1"/>
  <c r="K41" i="39" s="1"/>
  <c r="M40" i="39" s="1"/>
  <c r="F57" i="39"/>
  <c r="J57" i="39" s="1"/>
  <c r="K57" i="39" s="1"/>
  <c r="M56" i="39" s="1"/>
  <c r="F55" i="39"/>
  <c r="J55" i="39" s="1"/>
  <c r="K55" i="39" s="1"/>
  <c r="M54" i="39" s="1"/>
  <c r="F71" i="39"/>
  <c r="J71" i="39" s="1"/>
  <c r="K71" i="39" s="1"/>
  <c r="M70" i="39" s="1"/>
  <c r="F51" i="39"/>
  <c r="J51" i="39" s="1"/>
  <c r="K51" i="39" s="1"/>
  <c r="M50" i="39" s="1"/>
  <c r="F45" i="39"/>
  <c r="J45" i="39" s="1"/>
  <c r="K45" i="39" s="1"/>
  <c r="M44" i="39" s="1"/>
  <c r="F37" i="39"/>
  <c r="J37" i="39" s="1"/>
  <c r="K37" i="39" s="1"/>
  <c r="M36" i="39" s="1"/>
  <c r="F53" i="39"/>
  <c r="J53" i="39" s="1"/>
  <c r="K53" i="39" s="1"/>
  <c r="M52" i="39" s="1"/>
  <c r="F35" i="39"/>
  <c r="J35" i="39" s="1"/>
  <c r="K35" i="39" s="1"/>
  <c r="M34" i="39" s="1"/>
  <c r="F39" i="39"/>
  <c r="J39" i="39" s="1"/>
  <c r="K39" i="39" s="1"/>
  <c r="M38" i="39" s="1"/>
  <c r="F61" i="39"/>
  <c r="J61" i="39" s="1"/>
  <c r="K61" i="39" s="1"/>
  <c r="M60" i="39" s="1"/>
  <c r="F63" i="39"/>
  <c r="J63" i="39" s="1"/>
  <c r="K63" i="39" s="1"/>
  <c r="M62" i="39" s="1"/>
  <c r="F49" i="39"/>
  <c r="J49" i="39" s="1"/>
  <c r="K49" i="39" s="1"/>
  <c r="M48" i="39" s="1"/>
  <c r="F65" i="39"/>
  <c r="J65" i="39" s="1"/>
  <c r="K65" i="39" s="1"/>
  <c r="M64" i="39" s="1"/>
  <c r="F43" i="39"/>
  <c r="J43" i="39" s="1"/>
  <c r="K43" i="39" s="1"/>
  <c r="M42" i="39" s="1"/>
  <c r="F67" i="39"/>
  <c r="J67" i="39" s="1"/>
  <c r="K67" i="39" s="1"/>
  <c r="M66" i="39" s="1"/>
  <c r="F59" i="39"/>
  <c r="J59" i="39" s="1"/>
  <c r="K59" i="39" s="1"/>
  <c r="M58" i="39" s="1"/>
  <c r="F69" i="39"/>
  <c r="J69" i="39" s="1"/>
  <c r="K69" i="39" s="1"/>
  <c r="M68" i="39" s="1"/>
  <c r="F33" i="39"/>
  <c r="J33" i="39" s="1"/>
  <c r="K33" i="39" s="1"/>
  <c r="M32" i="39" s="1"/>
  <c r="I106" i="45"/>
  <c r="J106" i="45" s="1"/>
  <c r="F107" i="45"/>
  <c r="J47" i="39"/>
  <c r="K47" i="39" s="1"/>
  <c r="M46" i="39" s="1"/>
  <c r="H288" i="31" l="1"/>
  <c r="J288" i="31" s="1"/>
  <c r="J290" i="31" s="1"/>
  <c r="J294" i="31" s="1"/>
  <c r="J295" i="31" s="1"/>
  <c r="F108" i="45"/>
  <c r="I107" i="45"/>
  <c r="J107" i="45" s="1"/>
  <c r="F109" i="45" l="1"/>
  <c r="I108" i="45"/>
  <c r="J108" i="45" s="1"/>
  <c r="I109" i="45" l="1"/>
  <c r="J109" i="45" s="1"/>
  <c r="F110" i="45"/>
  <c r="I110" i="45" l="1"/>
  <c r="J110" i="45" s="1"/>
  <c r="F111" i="45"/>
  <c r="I111" i="45" l="1"/>
  <c r="J111" i="45" s="1"/>
  <c r="F112" i="45"/>
  <c r="I112" i="45" l="1"/>
  <c r="J112" i="45" s="1"/>
  <c r="F113" i="45"/>
  <c r="I113" i="45" l="1"/>
  <c r="J113" i="45" s="1"/>
  <c r="F114" i="45"/>
  <c r="I114" i="45" s="1"/>
  <c r="J114" i="45" s="1"/>
  <c r="J115" i="45" l="1"/>
  <c r="F117" i="45" s="1"/>
  <c r="I117" i="45" s="1"/>
  <c r="J117" i="45" s="1"/>
  <c r="F118" i="45" s="1"/>
  <c r="I118" i="45" s="1"/>
  <c r="J118" i="45" s="1"/>
  <c r="F119" i="45" s="1"/>
  <c r="I119" i="45" s="1"/>
  <c r="J119" i="45" s="1"/>
  <c r="F120" i="45" s="1"/>
  <c r="I120" i="45" s="1"/>
  <c r="J120" i="45" s="1"/>
  <c r="F121" i="45" s="1"/>
  <c r="I121" i="45" s="1"/>
  <c r="J121" i="45" s="1"/>
  <c r="H122" i="45" l="1"/>
  <c r="F122" i="45"/>
  <c r="I122" i="45" l="1"/>
  <c r="J122" i="45" s="1"/>
  <c r="F123" i="45" s="1"/>
  <c r="I123" i="45" s="1"/>
  <c r="H123" i="45"/>
  <c r="H124" i="45" s="1"/>
  <c r="H125" i="45" s="1"/>
  <c r="H126" i="45" s="1"/>
  <c r="H127" i="45" s="1"/>
  <c r="H128" i="45" s="1"/>
  <c r="H129" i="45" s="1"/>
  <c r="H130" i="45" s="1"/>
  <c r="H131" i="45" s="1"/>
  <c r="H132" i="45" s="1"/>
  <c r="H133" i="45" s="1"/>
  <c r="H134" i="45" l="1"/>
  <c r="H136" i="45" s="1"/>
  <c r="K287" i="31" s="1"/>
  <c r="H287" i="31" s="1"/>
  <c r="J123" i="45"/>
  <c r="F124" i="45" s="1"/>
  <c r="I124" i="45" s="1"/>
  <c r="J124" i="45" s="1"/>
  <c r="F125" i="45" s="1"/>
  <c r="I125" i="45" s="1"/>
  <c r="J125" i="45" s="1"/>
  <c r="F126" i="45" s="1"/>
  <c r="I126" i="45" s="1"/>
  <c r="J126" i="45" s="1"/>
  <c r="F127" i="45" s="1"/>
  <c r="I127" i="45" s="1"/>
  <c r="J127" i="45" s="1"/>
  <c r="F128" i="45" s="1"/>
  <c r="I128" i="45" s="1"/>
  <c r="J128" i="45" s="1"/>
  <c r="F129" i="45" s="1"/>
  <c r="I129" i="45" s="1"/>
  <c r="J129" i="45" s="1"/>
  <c r="F130" i="45" s="1"/>
  <c r="I130" i="45" s="1"/>
  <c r="J130" i="45" s="1"/>
  <c r="F131" i="45" s="1"/>
  <c r="I131" i="45" s="1"/>
  <c r="J131" i="45" s="1"/>
  <c r="F132" i="45" s="1"/>
  <c r="I132" i="45" s="1"/>
  <c r="J132" i="45" s="1"/>
  <c r="F133" i="45" s="1"/>
  <c r="I133" i="45" s="1"/>
  <c r="J133" i="45" s="1"/>
  <c r="H290" i="31" l="1"/>
  <c r="H138" i="45"/>
  <c r="K290" i="31" l="1"/>
  <c r="K294" i="31" s="1"/>
  <c r="K295" i="31" s="1"/>
</calcChain>
</file>

<file path=xl/sharedStrings.xml><?xml version="1.0" encoding="utf-8"?>
<sst xmlns="http://schemas.openxmlformats.org/spreadsheetml/2006/main" count="3155" uniqueCount="1356">
  <si>
    <t>E3539 (GIF) Sta Eq, Upper Baker</t>
  </si>
  <si>
    <t>E3539 (GIF) Sta Eq, WHDE sub@plant</t>
  </si>
  <si>
    <t>E3539 (GIF) Sta Eq, Whitehorn</t>
  </si>
  <si>
    <t>E3539 (GIF) Sta Eq, Wild H sub@plt</t>
  </si>
  <si>
    <t>E3539 (GIF) Sta Eq, Wild Horse Exp</t>
  </si>
  <si>
    <t>E3539 (GIF) Sta Eq, Wind Ridge</t>
  </si>
  <si>
    <t>E3539 (GIF) Sta Eq, WindRid NonProj</t>
  </si>
  <si>
    <t>E3559 (GIF) Poles, Hopkins Ridge</t>
  </si>
  <si>
    <t>E3559 (GIF) Poles, Lower Baker</t>
  </si>
  <si>
    <t>E3559 (GIF) Poles, Poison Spring</t>
  </si>
  <si>
    <t>E3559 (GIF) Poles, Scl-Tolt</t>
  </si>
  <si>
    <t>E3559 (GIF) Poles, Snoqualmie 2</t>
  </si>
  <si>
    <t>E3559 (GIF) Poles, Sumas</t>
  </si>
  <si>
    <t>E3559 (GIF) Poles, Upper Baker</t>
  </si>
  <si>
    <t>E3559 (GIF) Poles, Wild Horse</t>
  </si>
  <si>
    <t>E3569 (GIF) O/H Cond, Hopkins</t>
  </si>
  <si>
    <t>E3569 (GIF) O/H Cond, Poison Spring</t>
  </si>
  <si>
    <t>E3569 (GIF) O/H Cond, Scl-Tolt</t>
  </si>
  <si>
    <t>E3569 (GIF) O/H Cond, Snoqualmie 1</t>
  </si>
  <si>
    <t>E3569 (GIF) O/H Cond, Snoqualmie 2</t>
  </si>
  <si>
    <t>E3569 (GIF) O/H Cond, Sumas</t>
  </si>
  <si>
    <t>E3569 (GIF) O/H Cond, Upper Baker</t>
  </si>
  <si>
    <t>E3569 (GIF) O/H Cond, Wild Horse</t>
  </si>
  <si>
    <t>E35999 (GIF) Rd/Trail, Upper Baker</t>
  </si>
  <si>
    <t>"Pursuant to the Settlement Agreement approved by the Commission in Docket No. ER12-778-000 et al. PSE is entitled to earn a return of 10.3 percent with respect to its transmission rate base comprising those facilities identified in the Memorandum of Agreement between BPA, PSE, and Seattle City Light dated 1/1/2012.  The Increased ROE (Basis Points) for PSE's share of the PSANI Project in Line 7 of this Attachment 7 shall be calculated by subtracting the ROE stated in Note J of Attachment H Direct from 10.3." </t>
  </si>
  <si>
    <t>ROE of 9.8%.  Changes to the ROE require a filing under Section 205 or 206 of the Federal Power Act after the Moratorium in Article II, Section F.1. of the settlement agreement in Docket No. ER12-778 et al. The equity component of the capital structure is capped at 50%.  If the actual equity ratio exceeds 50%, the debt ratio will be equal to 1 minus sum of the preferred stock ratio and common stock ratio.</t>
  </si>
  <si>
    <t>Reference</t>
  </si>
  <si>
    <t>p.256, various lines, col a,b</t>
  </si>
  <si>
    <t>p.112.22.c,d</t>
  </si>
  <si>
    <t>p.113.61.c,d</t>
  </si>
  <si>
    <t>p.257.33.i</t>
  </si>
  <si>
    <t>p.112.18.c,d</t>
  </si>
  <si>
    <t>p.112.19.c,d</t>
  </si>
  <si>
    <t>p.112.21.c,d</t>
  </si>
  <si>
    <t>p.112.23.c,d</t>
  </si>
  <si>
    <t>p.111.69.c,d</t>
  </si>
  <si>
    <t>p.111.81.c,d</t>
  </si>
  <si>
    <t>p.117.63.c</t>
  </si>
  <si>
    <t>p.117.64.c</t>
  </si>
  <si>
    <t>p.117.65.c</t>
  </si>
  <si>
    <t>p.117.66.c</t>
  </si>
  <si>
    <t>p.112.3.c,d</t>
  </si>
  <si>
    <t>p.112.13.c,d (portion)</t>
  </si>
  <si>
    <t>p112.6.c,d (portion)</t>
  </si>
  <si>
    <t>p.112.7.c,d (portion)</t>
  </si>
  <si>
    <t>p.112.9.c,d (portion)</t>
  </si>
  <si>
    <t>p.118.29.c</t>
  </si>
  <si>
    <t>p.112.16.c,d</t>
  </si>
  <si>
    <t>p.112.12.c,d</t>
  </si>
  <si>
    <t>p.112.15.c,d</t>
  </si>
  <si>
    <t>p.112.10.c,d (portion)</t>
  </si>
  <si>
    <t>Acct 208-211 Other Paid in Capital (Pfd)</t>
  </si>
  <si>
    <t>p.112.2.c,d</t>
  </si>
  <si>
    <t>p.112.11.c,d</t>
  </si>
  <si>
    <t>p.112.6.c,d (portion)</t>
  </si>
  <si>
    <t>Other Service                  (j)</t>
  </si>
  <si>
    <t>Monthly Peak MW - Total</t>
  </si>
  <si>
    <t>Day of Monthly Peak</t>
  </si>
  <si>
    <t>Hour of Monthly Peak</t>
  </si>
  <si>
    <t>Firm Network Service for Others</t>
  </si>
  <si>
    <t>Long-Term Firm Point-to-point Reservations</t>
  </si>
  <si>
    <t>Short-Term Firm Point-to-Point Reservation</t>
  </si>
  <si>
    <t>Total for Quarter</t>
  </si>
  <si>
    <t>Total for Year</t>
  </si>
  <si>
    <t xml:space="preserve">NAME OF SYSTEM:  Southern Intertie </t>
  </si>
  <si>
    <t>NAME OF SYSTEM:  WA Area Facilities</t>
  </si>
  <si>
    <t>Rev Req based on Year 2 data with estimated Cap Adds and CWIP for Year 3 (Step 9)</t>
  </si>
  <si>
    <t>Revenue Requirement for Year 3</t>
  </si>
  <si>
    <t>Non-Incentive</t>
  </si>
  <si>
    <t>Project 1</t>
  </si>
  <si>
    <t>Project 2</t>
  </si>
  <si>
    <t>Project 3</t>
  </si>
  <si>
    <t>Cumulative</t>
  </si>
  <si>
    <t>Column (A)</t>
  </si>
  <si>
    <t>Column (B)</t>
  </si>
  <si>
    <t>Column (C)</t>
  </si>
  <si>
    <t>Column (D)</t>
  </si>
  <si>
    <t>Column (E)</t>
  </si>
  <si>
    <t>Column (F)</t>
  </si>
  <si>
    <t>Average</t>
  </si>
  <si>
    <t>Sum average from Columns H-M</t>
  </si>
  <si>
    <t xml:space="preserve">New Transmission Plant Additions </t>
  </si>
  <si>
    <t>Note 1: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</si>
  <si>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 xml:space="preserve">Note 2: If the facilities associated with the revenues are not included in the formula, the revenue is shown here but not included in the total above and is explained in the Cost Support; for example revenues associated with LV distribution facilities.   </t>
  </si>
  <si>
    <t>Liability Reserve - Electric</t>
  </si>
  <si>
    <t>SERP Pension &amp; Benefit Plan Liability</t>
  </si>
  <si>
    <t>Postretirement Benefit Plan Liability</t>
  </si>
  <si>
    <t>Residential Exchange</t>
  </si>
  <si>
    <t>Gas</t>
  </si>
  <si>
    <t>Pension and other compensation</t>
  </si>
  <si>
    <t>Derivative Instruments</t>
  </si>
  <si>
    <t>Production Tax Credits</t>
  </si>
  <si>
    <t>Regulatory Assets</t>
  </si>
  <si>
    <t xml:space="preserve">Land Held for Future Use </t>
  </si>
  <si>
    <t>Total Transmission and Distribution</t>
  </si>
  <si>
    <t>Total Allocated to Transmission</t>
  </si>
  <si>
    <t>Losses on sales of land</t>
  </si>
  <si>
    <t>Multiplier</t>
  </si>
  <si>
    <t>Formula rate and OATT compliance matters</t>
  </si>
  <si>
    <t xml:space="preserve">Puget Sound Energy, Inc. </t>
  </si>
  <si>
    <t xml:space="preserve">NAME OF SYSTEM:  Colstrip </t>
  </si>
  <si>
    <t>Sum of Total for Year of: (f) Firm Network Service for Others + (g) Long-Term Firm Point-to-Point Reservations + (h) Other Long-Term Firm Service</t>
  </si>
  <si>
    <t>Worksheet 4</t>
  </si>
  <si>
    <t xml:space="preserve">Total </t>
  </si>
  <si>
    <t>Colstrip Property Tax</t>
  </si>
  <si>
    <t>Southern Intertie Property Tax</t>
  </si>
  <si>
    <t>WA Area Total</t>
  </si>
  <si>
    <t>(Note J)</t>
  </si>
  <si>
    <t>Gains on sales of land</t>
  </si>
  <si>
    <t>Cash Working Capital Allowance</t>
  </si>
  <si>
    <t>Cash working capital allowance is 0.00% of O&amp;M</t>
  </si>
  <si>
    <t>Gas related</t>
  </si>
  <si>
    <t>Employee benefit</t>
  </si>
  <si>
    <t xml:space="preserve">(Note A)             </t>
  </si>
  <si>
    <t>Facility Credits</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</si>
  <si>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</si>
  <si>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</si>
  <si>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</si>
  <si>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</si>
  <si>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</si>
  <si>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</si>
  <si>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</si>
  <si>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</si>
  <si>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</si>
  <si>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</si>
  <si>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</si>
  <si>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</si>
  <si>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</si>
  <si>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</si>
  <si>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</si>
  <si>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</si>
  <si>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</si>
  <si>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</si>
  <si>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</si>
  <si>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</si>
  <si>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</si>
  <si>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</si>
  <si>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</si>
  <si>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Net Transmission Plant</t>
  </si>
  <si>
    <t>Details</t>
  </si>
  <si>
    <t>Network Credits</t>
  </si>
  <si>
    <t>Line No.</t>
  </si>
  <si>
    <t>Facility Name</t>
  </si>
  <si>
    <t>Generation Interconnection Facilities - Colstrip - Transmission</t>
  </si>
  <si>
    <t>Outstanding Network Credits</t>
  </si>
  <si>
    <t>p219.20 thru 219.24</t>
  </si>
  <si>
    <t>p205.46.g</t>
  </si>
  <si>
    <t>Seattle City Light</t>
  </si>
  <si>
    <t>Snohomish County PUD</t>
  </si>
  <si>
    <t>Tacoma City Light</t>
  </si>
  <si>
    <t>Air Liquide</t>
  </si>
  <si>
    <t>Boeing</t>
  </si>
  <si>
    <t>Tesoro</t>
  </si>
  <si>
    <t>Net Outstanding Credits</t>
  </si>
  <si>
    <t>Interest on Network Credits</t>
  </si>
  <si>
    <t>Revenue Credits &amp; Interest on Network Credits</t>
  </si>
  <si>
    <t>Prior Year True Up</t>
  </si>
  <si>
    <t>Total Account 454 (p300,19.b.)</t>
  </si>
  <si>
    <t>Total Account 456 (p300,21.b.)</t>
  </si>
  <si>
    <t>CUSTOMER</t>
  </si>
  <si>
    <t>AD</t>
  </si>
  <si>
    <t>Account 456.1 (p300,22.b.)</t>
  </si>
  <si>
    <t>FERC Form 1  Page # or Instruction</t>
  </si>
  <si>
    <t>Electric Portion</t>
  </si>
  <si>
    <t>Form 1 Amount</t>
  </si>
  <si>
    <t>Non-electric  Portion</t>
  </si>
  <si>
    <t>Transmission Related</t>
  </si>
  <si>
    <t>Safety Related</t>
  </si>
  <si>
    <t>Education &amp; Outreach</t>
  </si>
  <si>
    <t>Other</t>
  </si>
  <si>
    <t>Enter $</t>
  </si>
  <si>
    <t>Description of the Facilities</t>
  </si>
  <si>
    <t>Add more lines if necessary</t>
  </si>
  <si>
    <t>General Description of the Credits</t>
  </si>
  <si>
    <t>Description of the Credits</t>
  </si>
  <si>
    <t>F</t>
  </si>
  <si>
    <t>N</t>
  </si>
  <si>
    <t>Rent from Electric Property - Pole Contacts</t>
  </si>
  <si>
    <t>Rent from PCS (personal cell sites)</t>
  </si>
  <si>
    <t>(Sum Lines 1-3)</t>
  </si>
  <si>
    <t>In filling out this attachment, a full and complete description of each item and justification for the allocation to Columns B-E and each separate ADIT item will be listed, dissimilar items</t>
  </si>
  <si>
    <t>Excludes prior period adjustments in the first year of the formula's operation and reconciliation for the first year</t>
  </si>
  <si>
    <t>Plant in Service Worksheet</t>
  </si>
  <si>
    <t>Source</t>
  </si>
  <si>
    <t>December</t>
  </si>
  <si>
    <t>Distribution Plant In Service</t>
  </si>
  <si>
    <t>Calculation of Intangible Plant In Service</t>
  </si>
  <si>
    <t>Related to</t>
  </si>
  <si>
    <t>GL</t>
  </si>
  <si>
    <t>Texts</t>
  </si>
  <si>
    <t>Not Include</t>
  </si>
  <si>
    <t>100% Trans</t>
  </si>
  <si>
    <t>Plant</t>
  </si>
  <si>
    <t xml:space="preserve">  Easements</t>
  </si>
  <si>
    <t xml:space="preserve">  Structures and Improvements</t>
  </si>
  <si>
    <t xml:space="preserve">  Station Equipment</t>
  </si>
  <si>
    <t xml:space="preserve">  Towers and Fixtures</t>
  </si>
  <si>
    <t xml:space="preserve">  Overhead Conductors and Devices</t>
  </si>
  <si>
    <t xml:space="preserve">  Underground Conductors and Devices</t>
  </si>
  <si>
    <t xml:space="preserve">  Roads and Trails</t>
  </si>
  <si>
    <t>Transportation Equipment</t>
  </si>
  <si>
    <t>Stores and Equipment</t>
  </si>
  <si>
    <t>Power Operated Equipment</t>
  </si>
  <si>
    <t>data</t>
  </si>
  <si>
    <t>WA area credits</t>
  </si>
  <si>
    <t>Colstrip area credits</t>
  </si>
  <si>
    <t>Southern Intertie area credits</t>
  </si>
  <si>
    <t xml:space="preserve">  Poles and Fixtures</t>
  </si>
  <si>
    <t>ASCM Allocation</t>
  </si>
  <si>
    <t>Common Plant Allocated to Transmission</t>
  </si>
  <si>
    <t>Common Plant Depreciation Allocated to Transmission</t>
  </si>
  <si>
    <t>Prepaid - Mint Farm Capital FFH</t>
  </si>
  <si>
    <t>Plant Related:</t>
  </si>
  <si>
    <t>Labor Related:</t>
  </si>
  <si>
    <t>Total Transmission Related:</t>
  </si>
  <si>
    <t>Average balance</t>
  </si>
  <si>
    <t>Excluded:</t>
  </si>
  <si>
    <t>Total Excluded</t>
  </si>
  <si>
    <t>Transmission related</t>
  </si>
  <si>
    <t>Monthly Additions</t>
  </si>
  <si>
    <t>Intangible Plant In Service</t>
  </si>
  <si>
    <t>Calculation of General Plant In Service</t>
  </si>
  <si>
    <t>General Plant In Service</t>
  </si>
  <si>
    <t>Calculation of Production Plant In Service</t>
  </si>
  <si>
    <t>Production Plant In Service</t>
  </si>
  <si>
    <t>Accumulated Depreciation Worksheet</t>
  </si>
  <si>
    <t>Distribution Accumulated Depreciation</t>
  </si>
  <si>
    <t>Calculation of Intangible Accumulated Depreciation</t>
  </si>
  <si>
    <t>Calculation of General Accumulated Depreciation</t>
  </si>
  <si>
    <t>Calculation of Production Accumulated Depreciation</t>
  </si>
  <si>
    <t>Production Accumulated Depreciation</t>
  </si>
  <si>
    <t>p200.21.c</t>
  </si>
  <si>
    <t>p227.6c &amp; 15.c</t>
  </si>
  <si>
    <t>p336.1d&amp;e</t>
  </si>
  <si>
    <t>Beg of year</t>
  </si>
  <si>
    <t>End of Year</t>
  </si>
  <si>
    <t>End of Year for Est. Average for Final</t>
  </si>
  <si>
    <t>PBOPs Cost Support</t>
  </si>
  <si>
    <t>PBOBs</t>
  </si>
  <si>
    <t>All other</t>
  </si>
  <si>
    <t>Account 926 (Current Year)</t>
  </si>
  <si>
    <t>Current Year</t>
  </si>
  <si>
    <t>Change in PBOP Expense</t>
  </si>
  <si>
    <t>General Description of the Facilities</t>
  </si>
  <si>
    <t>Materials &amp; Supplies</t>
  </si>
  <si>
    <t>Description of the Interest on the  Credits</t>
  </si>
  <si>
    <t>Credits</t>
  </si>
  <si>
    <t>Transmission of Electricity By Others; Account 565</t>
  </si>
  <si>
    <t xml:space="preserve">  Total</t>
  </si>
  <si>
    <t>FERC Form 1 p321.96b</t>
  </si>
  <si>
    <t>BPA O&amp;M</t>
  </si>
  <si>
    <t>Total 565 to Reduce O&amp;M</t>
  </si>
  <si>
    <t>Whatcom PUD Line Loss</t>
  </si>
  <si>
    <t>BPA Lease Rights</t>
  </si>
  <si>
    <t>Northwestern O&amp;M</t>
  </si>
  <si>
    <t>Common Plant</t>
  </si>
  <si>
    <t>Accumulated Common Plant</t>
  </si>
  <si>
    <t>Excluded Transmission Facilities - Colstrip Facilities</t>
  </si>
  <si>
    <t>Excluded Transmission Facilities - WA Area Transmission</t>
  </si>
  <si>
    <t>Deferred Compensation - Salary Deferred</t>
  </si>
  <si>
    <t>Other Deferred Credits - LTIP Liability</t>
  </si>
  <si>
    <t>Firm Network Service for Self</t>
  </si>
  <si>
    <t>(F)</t>
  </si>
  <si>
    <t>(A)</t>
  </si>
  <si>
    <t>(B)</t>
  </si>
  <si>
    <t>(D)</t>
  </si>
  <si>
    <t>(E)</t>
  </si>
  <si>
    <t>Income Tax Component = CIT=(T/1-T) * Investment Return * (1-(WCLTD/R)) =</t>
  </si>
  <si>
    <t>(B) Sum Labor Related</t>
  </si>
  <si>
    <t>(A) Total</t>
  </si>
  <si>
    <t>(A) - (B)</t>
  </si>
  <si>
    <t>100% Transmission Related</t>
  </si>
  <si>
    <t>Other (Excluded)</t>
  </si>
  <si>
    <t>Average Beginning and End of Year</t>
  </si>
  <si>
    <t xml:space="preserve"> Accumulated Depreciation Associated with Facilities with Outstanding Network Credits</t>
  </si>
  <si>
    <t>p   (percent of federal income tax deductible for state purposes)</t>
  </si>
  <si>
    <t>T   =1 - {[(1 - SIT) * (1 - FIT)] / (1 - SIT * FIT * p)} =</t>
  </si>
  <si>
    <t>1/(1-T)</t>
  </si>
  <si>
    <t>Accumulated Intangible Depreciation</t>
  </si>
  <si>
    <t>A&amp;G</t>
  </si>
  <si>
    <t>Trans Related</t>
  </si>
  <si>
    <t>Total Transmission Accumulated Depreciation</t>
  </si>
  <si>
    <t>Total Transmission Depreciation Expense</t>
  </si>
  <si>
    <t>O</t>
  </si>
  <si>
    <t>Land Held for Future Use</t>
  </si>
  <si>
    <t>FNO</t>
  </si>
  <si>
    <t>LFP</t>
  </si>
  <si>
    <t>OLF</t>
  </si>
  <si>
    <t>NF</t>
  </si>
  <si>
    <t>OS</t>
  </si>
  <si>
    <t>SFP</t>
  </si>
  <si>
    <t>Powerex</t>
  </si>
  <si>
    <t>Rent from Electric Property - Pole Contacts - J</t>
  </si>
  <si>
    <t>Rent from Electric Property - Transformers</t>
  </si>
  <si>
    <t>Difference (must be zero)</t>
  </si>
  <si>
    <t>Total Revenues</t>
  </si>
  <si>
    <t>Other Charges</t>
  </si>
  <si>
    <t>Energy Charges</t>
  </si>
  <si>
    <t>$ Included on Attachment 3</t>
  </si>
  <si>
    <t>Classification</t>
  </si>
  <si>
    <t>Less Account 561.0 to 561.5</t>
  </si>
  <si>
    <t>Sch 1</t>
  </si>
  <si>
    <t xml:space="preserve">  Transmission future use</t>
  </si>
  <si>
    <t>AFUDC shall not be applied to the portion of a Network Upgrade for which the customer has provided the funds.</t>
  </si>
  <si>
    <t>Changes in depreciation or amortization rates must be filed with the Commission, as well as any new depreciation or amortization rates.</t>
  </si>
  <si>
    <t>P</t>
  </si>
  <si>
    <t>Acc 221 Bonds</t>
  </si>
  <si>
    <t>Less Acc 222 Reacq'd Bonds</t>
  </si>
  <si>
    <t>Acc 223 LT Advances from Assoc Cos.</t>
  </si>
  <si>
    <t>Acc 224 Other LT Debt</t>
  </si>
  <si>
    <t>Less Acc 226 Unamort Discount</t>
  </si>
  <si>
    <t>Less Acc 181 Unamort Debt Expense</t>
  </si>
  <si>
    <t>Less Acc 189 Unamort Loss on Reacqd Debt</t>
  </si>
  <si>
    <t>Plus Acc 225 Unamort Premium</t>
  </si>
  <si>
    <t>Plus Acc 257 Unamort Gain on Reacqd Debt</t>
  </si>
  <si>
    <t>Acc 427 and Acc 430 Interest Expense</t>
  </si>
  <si>
    <t>Acc 428 Amort Debt Discount and Expense</t>
  </si>
  <si>
    <t>Acc 428.1 Amort Loss on Reacqd Debt</t>
  </si>
  <si>
    <t>Less Acc 429 Amort Premium</t>
  </si>
  <si>
    <t>Less Acc 429.1 Amort Gain on Reacqd Debt</t>
  </si>
  <si>
    <t>Acc 204 Preferred Stock Issued</t>
  </si>
  <si>
    <t>Less Acc 217 Reacq Capital Stock (Pfd)</t>
  </si>
  <si>
    <t>Acc 207 Premium on Pfd Stock</t>
  </si>
  <si>
    <t>Acc 207-208 Other Paid In Capital (Pfd)</t>
  </si>
  <si>
    <t>Less Acc 213 discount on Capital Stock (Pfd)</t>
  </si>
  <si>
    <t>Less Acc 214 Capital Stock Expense (Pfd)</t>
  </si>
  <si>
    <t xml:space="preserve">Total Preferred Stock </t>
  </si>
  <si>
    <t>Enter Positive</t>
  </si>
  <si>
    <t>Less: Preferred Stock</t>
  </si>
  <si>
    <t>Less Acc 216.1 Unap Undis Subsidiary Earnings</t>
  </si>
  <si>
    <t>Less:  Account 219 (enter negative)</t>
  </si>
  <si>
    <t>Debt percent</t>
  </si>
  <si>
    <t>Preferred percent</t>
  </si>
  <si>
    <t>Common percent</t>
  </si>
  <si>
    <t>Long Term Debt Cost = 
Long Term Debt Cost / 
Net Proceeds Long Term Debt</t>
  </si>
  <si>
    <t>Preferred Stock cost  =  Preferred Dividends / 
Total Preferred Stock</t>
  </si>
  <si>
    <t>Less Hedging Adjustment</t>
  </si>
  <si>
    <t>Q</t>
  </si>
  <si>
    <t>These line items will include only the balances associated with long-term debt and shall exclude balances associated with short-term debt.</t>
  </si>
  <si>
    <t>R</t>
  </si>
  <si>
    <t xml:space="preserve">The gains and losses on hedges, except for interest rate locks for new debt issuances, are removed from the revenue requirement on this line. </t>
  </si>
  <si>
    <t>(Note R)</t>
  </si>
  <si>
    <t>(Notes R &amp; Q)</t>
  </si>
  <si>
    <t>Wksht 6</t>
  </si>
  <si>
    <t xml:space="preserve"> Long Term Debt</t>
  </si>
  <si>
    <t>Preferred Stock and Dividend</t>
  </si>
  <si>
    <t>Beginning of Year</t>
  </si>
  <si>
    <t>Avg BOY EOY</t>
  </si>
  <si>
    <t>BOY</t>
  </si>
  <si>
    <t>EOY</t>
  </si>
  <si>
    <t>avg BOY EOY</t>
  </si>
  <si>
    <t>Attachment 4 - Calculation of 100 Basis Point Increase in ROE</t>
  </si>
  <si>
    <t>Attachment 5 - Cost Support</t>
  </si>
  <si>
    <t>Attachment 6 - Estimate and Reconciliation Worksheet</t>
  </si>
  <si>
    <t>Base year</t>
  </si>
  <si>
    <t>(G)</t>
  </si>
  <si>
    <t>(C)</t>
  </si>
  <si>
    <t>Total General</t>
  </si>
  <si>
    <t>General Allocated to Transmission</t>
  </si>
  <si>
    <t>Allocated General Expenses</t>
  </si>
  <si>
    <t>General Expenses</t>
  </si>
  <si>
    <t>General Plant Allocated to Transmission</t>
  </si>
  <si>
    <t>General Expenses Allocated to Transmission</t>
  </si>
  <si>
    <t>Labor Related, or General plant related</t>
  </si>
  <si>
    <t>Account 253</t>
  </si>
  <si>
    <t>Attachment 7</t>
  </si>
  <si>
    <t>Rev Req based on Year 1 data</t>
  </si>
  <si>
    <t>Year 1</t>
  </si>
  <si>
    <t>Increased Return and Taxes</t>
  </si>
  <si>
    <t>True-up amount</t>
  </si>
  <si>
    <t>Scheduling, System Control and Dispatch Service</t>
  </si>
  <si>
    <t>Schedule 1</t>
  </si>
  <si>
    <t>Line</t>
  </si>
  <si>
    <t>FERC Form 1 page #/ Ref.</t>
  </si>
  <si>
    <t>(561.0) Load Dispatching</t>
  </si>
  <si>
    <t>pg. 321.84b</t>
  </si>
  <si>
    <t>(561.1) Load Dispatch-Reliability</t>
  </si>
  <si>
    <t>pg. 321.85b</t>
  </si>
  <si>
    <t>(561.2) Load Dispatch-Monitor and Operate Transmission System</t>
  </si>
  <si>
    <t>pg. 321.86b</t>
  </si>
  <si>
    <t>(561.3) Load Dispatch-Transmission Service and Scheduling</t>
  </si>
  <si>
    <t>pg. 321.87b</t>
  </si>
  <si>
    <t>(561.4) Scheduling, System Control and Dispatch Services</t>
  </si>
  <si>
    <t>pg. 321.88b</t>
  </si>
  <si>
    <t>(561.5) Reliability, Planning and Standards Development</t>
  </si>
  <si>
    <t>pg. 321.89b</t>
  </si>
  <si>
    <t>Total 561 Costs for Schedule 1 Annual Revenue Requirement</t>
  </si>
  <si>
    <t>(sum of Ln 1 through Ln 6)</t>
  </si>
  <si>
    <t>Schedule 1 Annual Revenue Requirement</t>
  </si>
  <si>
    <t>(Ln 7)</t>
  </si>
  <si>
    <t>Attachment 6 of OATT Attachment H-1</t>
  </si>
  <si>
    <t>(ln 8 + Ln 9)</t>
  </si>
  <si>
    <t>Schedule 1 - Rate Calculations:</t>
  </si>
  <si>
    <t>Average 12-Month Demand - Current Year (kW)</t>
  </si>
  <si>
    <t>Divisor</t>
  </si>
  <si>
    <t>Rate in $/kW - Yearly</t>
  </si>
  <si>
    <t>Rate in $/kW - Monthly</t>
  </si>
  <si>
    <t>Rate in $/kW - Weekly</t>
  </si>
  <si>
    <t>Rate in $/kW - Daily On-Peak</t>
  </si>
  <si>
    <t>Rate in $/kW - Daily Off-Peak</t>
  </si>
  <si>
    <t>(Ln 12/7)</t>
  </si>
  <si>
    <t>Rate in $/MW - Hourly On-Peak</t>
  </si>
  <si>
    <t>((Ln 13/16) * 1000)</t>
  </si>
  <si>
    <t>Rate in $/MW - Hourly Off-Peak</t>
  </si>
  <si>
    <t>((Ln 14/24) * 1000)</t>
  </si>
  <si>
    <t>Notes:</t>
  </si>
  <si>
    <t xml:space="preserve">Prior year True-up Adjustment is calculated on Attachment 6 as well as the related interest on prior year true-up. </t>
  </si>
  <si>
    <t>Puget Sound Energy</t>
  </si>
  <si>
    <t>Account 456 - Other Electric Revenues (Note 1)</t>
  </si>
  <si>
    <t>Wash St Annual Filing Fee-Electric</t>
  </si>
  <si>
    <t>Gross Book Value</t>
  </si>
  <si>
    <t>Undistr. Stores Exp, Account 163</t>
  </si>
  <si>
    <t>Transmission Plant materials from Account 154</t>
  </si>
  <si>
    <t xml:space="preserve">13 month </t>
  </si>
  <si>
    <t>system</t>
  </si>
  <si>
    <t>labor</t>
  </si>
  <si>
    <t>13 month average</t>
  </si>
  <si>
    <t>Monthly rate</t>
  </si>
  <si>
    <t>Attachment 6A - Estimate and Reconciliation Worksheet - Colstrip</t>
  </si>
  <si>
    <t>Note 1</t>
  </si>
  <si>
    <t>PSANI Project (Note 1)</t>
  </si>
  <si>
    <t xml:space="preserve">Schedule 1 Reconciliation </t>
  </si>
  <si>
    <t>-</t>
  </si>
  <si>
    <t>=</t>
  </si>
  <si>
    <t>FCR W base ROE</t>
  </si>
  <si>
    <t xml:space="preserve">FERC/NERC Expenses directly related to transmission service, RTO filings, OATT compliance, costs in maintaining the formula, transmission siting, FERC annual fee, and any other transmission related expenses itemized in Form 1 at 351.h. </t>
  </si>
  <si>
    <t>Wage Alloc</t>
  </si>
  <si>
    <t>E35016 TSM Easements</t>
  </si>
  <si>
    <t>E3526 TSM Structures &amp; Improvement</t>
  </si>
  <si>
    <t>E3566 TSM O/H Conductor/Devices</t>
  </si>
  <si>
    <t>Depreciation (Note 2)</t>
  </si>
  <si>
    <t>FERC Fees Payable - Power Supply Transaction</t>
  </si>
  <si>
    <t>Stays in rate base</t>
  </si>
  <si>
    <t>Average of the 12 CP</t>
  </si>
  <si>
    <t>p219.28</t>
  </si>
  <si>
    <t>WA Area Transmission</t>
  </si>
  <si>
    <t>Worksheet 5</t>
  </si>
  <si>
    <t>Colstrip</t>
  </si>
  <si>
    <t>Southern Intertie</t>
  </si>
  <si>
    <t xml:space="preserve">Includes all annual membership dues for EPRI and EEI. </t>
  </si>
  <si>
    <t>Property Insurance excludes prior period adjustment in the first year of the formula's operation and reconciliation for the first year.</t>
  </si>
  <si>
    <t xml:space="preserve">Includes all Regulatory Commission Expenses </t>
  </si>
  <si>
    <t xml:space="preserve">Education and outreach expenses relating to transmission, for example siting or billing </t>
  </si>
  <si>
    <t>Gross Revenue Requirement Less Return and Taxes</t>
  </si>
  <si>
    <t>Revenue Requirement per 100 Basis Point increase in ROE</t>
  </si>
  <si>
    <t>Gas Amortization</t>
  </si>
  <si>
    <t>Electric Amortization</t>
  </si>
  <si>
    <t xml:space="preserve">Puget Sound Energy </t>
  </si>
  <si>
    <t>Attachment 8 - Depreciation Rates</t>
  </si>
  <si>
    <t>Plant Type</t>
  </si>
  <si>
    <t>General &amp; Common</t>
  </si>
  <si>
    <t>Structures and Improvements</t>
  </si>
  <si>
    <t>Office Furniture</t>
  </si>
  <si>
    <t>Office Equipment</t>
  </si>
  <si>
    <t>Tools, Shop, Garage and Other Tangible Equipment</t>
  </si>
  <si>
    <t>Laboratory Equipment</t>
  </si>
  <si>
    <t>Communications Equipment</t>
  </si>
  <si>
    <t>Miscellaneous Equipment</t>
  </si>
  <si>
    <t>PSE</t>
  </si>
  <si>
    <t>Projected ARR is based on prior year FERC Form 1 data (lines 1-6 for the prior year) becomes effective with the projected 2012 rate.</t>
  </si>
  <si>
    <t>Post results of Step 9 on OASIS web site</t>
  </si>
  <si>
    <t>Plant related</t>
  </si>
  <si>
    <t>FAS 109 is excluded per note below</t>
  </si>
  <si>
    <t xml:space="preserve">    Less Post Retirement Benefits Other Than Pensions (PBOP) Adjustment</t>
  </si>
  <si>
    <t>Allocator for Pole Contact Rental Revenues:</t>
  </si>
  <si>
    <t>(Ln 8/Ln 11)</t>
  </si>
  <si>
    <t>((Ln 8/Ln 11)/12)</t>
  </si>
  <si>
    <t>((Ln 8/Ln 11)/52)</t>
  </si>
  <si>
    <t>Common Plant Electric Depreciation</t>
  </si>
  <si>
    <t>p336.11f</t>
  </si>
  <si>
    <t xml:space="preserve">  Less Acct 213 discount on Capital Stock (Common)</t>
  </si>
  <si>
    <t>Beginning = 13 month Plant CWIP or Plant balance</t>
  </si>
  <si>
    <t xml:space="preserve">    Less Fish Friendly hydropower turbine development and deployment</t>
  </si>
  <si>
    <t>Hydro power expense</t>
  </si>
  <si>
    <t>Total Transmission</t>
  </si>
  <si>
    <t>January</t>
  </si>
  <si>
    <t>February</t>
  </si>
  <si>
    <t>March</t>
  </si>
  <si>
    <t>July</t>
  </si>
  <si>
    <t>August</t>
  </si>
  <si>
    <t>September</t>
  </si>
  <si>
    <t>October</t>
  </si>
  <si>
    <t>November</t>
  </si>
  <si>
    <t>Amortized Investment Tax Credit-Electric</t>
  </si>
  <si>
    <t>Attachment 7 - Transmission Enhancement Charge Worksheet</t>
  </si>
  <si>
    <t>line #</t>
  </si>
  <si>
    <t>E3500 TSM Land &amp; Land Rights</t>
  </si>
  <si>
    <t>E35017 TSM Easements</t>
  </si>
  <si>
    <t>E3507 TSM Land &amp; Land Rights</t>
  </si>
  <si>
    <t>E352 TSM Str/Impv, 3rd AC Line</t>
  </si>
  <si>
    <t>E352 TSM Str/Impv, Colstrip 3-4 Com</t>
  </si>
  <si>
    <t>E352 TSM Structures &amp; Improvement</t>
  </si>
  <si>
    <t>E3527 TSM Structures &amp; Improvement</t>
  </si>
  <si>
    <t>E353 TSM Sta Eq, 3rd AC Line</t>
  </si>
  <si>
    <t>E353 TSM Sta Eq, Wind Ridge-NonProj</t>
  </si>
  <si>
    <t>E353 TSM Station Equipment</t>
  </si>
  <si>
    <t>E3537 TSM Sta Eq, Fredonia3&amp;4 OP</t>
  </si>
  <si>
    <t>E3537 TSM Substation Equipment</t>
  </si>
  <si>
    <t>E354 TSM Towers &amp; Fixtures</t>
  </si>
  <si>
    <t>E354 TSM Twr/Fixt, 3rd AC Line</t>
  </si>
  <si>
    <t>E354 TSM Twr/Fixt, Colstrip 1-2 Com</t>
  </si>
  <si>
    <t>E354 TSM Twr/Fixt, Colstrip 3-4 Com</t>
  </si>
  <si>
    <t>E354 TSM Twr/Fixt, N Intertie</t>
  </si>
  <si>
    <t>E3547 TSM Towers/Fixtures</t>
  </si>
  <si>
    <t>E355 TSM Poles &amp; Fixtures</t>
  </si>
  <si>
    <t>E355 TSM Poles, 3rd AC Line</t>
  </si>
  <si>
    <t>E355 TSM Poles, N Intertie</t>
  </si>
  <si>
    <t>E355 TSM Poles, Wind Ridge-NonProje</t>
  </si>
  <si>
    <t>E356 TSM O/H Cond, 3rd AC Line</t>
  </si>
  <si>
    <t>E356 TSM O/H Cond, Colstrip 1-2 Com</t>
  </si>
  <si>
    <t>E356 TSM O/H Cond, Colstrip 3-4 Com</t>
  </si>
  <si>
    <t>E356 TSM O/H Cond, N Intertie</t>
  </si>
  <si>
    <t>E356 TSM O/H Cond, Wind Ridge-NonPr</t>
  </si>
  <si>
    <t>E356 TSM O/H Conductor &amp; Devices</t>
  </si>
  <si>
    <t>E3567 TSM O/H Conductor/Devices</t>
  </si>
  <si>
    <t>Exclude Construction Work In Progress expensed as O&amp;M (rather than amortized).  New Transmission plant that is expected to be placed in service in the current calendar year weighted by number of months it is expected to be in-service.  New Transmission plant expected to be placed in service in the current calendar year that is not included in the Transmission Plan must be separately detailed on Attachment 5.  For the Reconciliation, new transmission plant that was actually placed in service weighted by the number of months it was actually in service</t>
  </si>
  <si>
    <t>The currently effective income tax rate,  where FIT is the Federal income tax rate; SIT is the State income tax rate, and p ="the percentage of federal income tax deductible for state income taxes".  If the utility includes taxes in more than one state, it must explain in  Attachment 5 the name of each state and how the blended or composite SIT was developed.  Furthermore, a utility that  elected to use amortization of tax credits against taxable income, rather than book tax credits to Account No. 255 and reduce   rate base, must reduce its income tax expense by the amount of the Amortized Investment Tax Credit (Form 1, 266.8.f) multiplied by (1/1-T).  A utility must not include tax credits as a reduction to rate base and as an amortization against taxable income.   If the tax rates change during a calendar year, an average tax rate will be used - calculated based on the number of days each was effective in the calendar year.</t>
  </si>
  <si>
    <t>The 12 CP monthly peak is the average of the 12 monthly system peaks calculated as the Network customers monthly network load plus the reserve capacity of all long term firm point-to-Point customers.</t>
  </si>
  <si>
    <t>H</t>
  </si>
  <si>
    <t>(Note H)</t>
  </si>
  <si>
    <t>69, 75, 78</t>
  </si>
  <si>
    <t>Qualified Pension Plan Liability</t>
  </si>
  <si>
    <t/>
  </si>
  <si>
    <t>Bonneville Power Admin</t>
  </si>
  <si>
    <t>Macquarie Energy, LLC</t>
  </si>
  <si>
    <t>Morgan Stanley Capital</t>
  </si>
  <si>
    <t>Shell Energy North America</t>
  </si>
  <si>
    <t>Sierra Pacific Industries</t>
  </si>
  <si>
    <t>The Energy Authority</t>
  </si>
  <si>
    <t>TransAlta Energy</t>
  </si>
  <si>
    <t>Whatcom County PUD</t>
  </si>
  <si>
    <t>E3577 TSM U/G Conduit</t>
  </si>
  <si>
    <t>E3587 TSM U/G Conductor/Devices</t>
  </si>
  <si>
    <t>E3590 TSM Roads &amp; Trails</t>
  </si>
  <si>
    <t>E3590 TSM Roads, 3rd AC Line</t>
  </si>
  <si>
    <t>E3590 TSM Roads, Colstrip 1-2 Com</t>
  </si>
  <si>
    <t>E3590 TSM Roads, Colstrip 3-4 Com</t>
  </si>
  <si>
    <t>E3597 TSM Roads &amp; Trails</t>
  </si>
  <si>
    <t>in Thousands</t>
  </si>
  <si>
    <t>Formula Line</t>
  </si>
  <si>
    <t>Fixed Charge Rate (FCR) if not a CIAC</t>
  </si>
  <si>
    <t xml:space="preserve">Line B less Line A </t>
  </si>
  <si>
    <t>Note 3</t>
  </si>
  <si>
    <t>CWIP is a placeholder that is zero until PSE receives authorization by FERC to include amounts.</t>
  </si>
  <si>
    <t>Worksheet 2 - Prepayments</t>
  </si>
  <si>
    <t>Worksheet 1 - Revenue Credits</t>
  </si>
  <si>
    <t>Worksheet 3 - Generator Interconnection Facilities - Transmission Plant</t>
  </si>
  <si>
    <t>Worksheet 4 - Monthly Transmission System Peak Worksheet</t>
  </si>
  <si>
    <t>Worksheet 5 - Transmission Plant Average Balances</t>
  </si>
  <si>
    <t>Worksheet 6 - Cost of Capital</t>
  </si>
  <si>
    <t>FCR if a CIAC</t>
  </si>
  <si>
    <t>The FCR resulting from Formula in a given year is used for that year only.</t>
  </si>
  <si>
    <t>Therefore actual revenues collected in a year do not change based on cost data for subsequent years</t>
  </si>
  <si>
    <t>Common Plant not allocated to gas or electric</t>
  </si>
  <si>
    <t>p356</t>
  </si>
  <si>
    <t xml:space="preserve">  Common Plant in Service</t>
  </si>
  <si>
    <t xml:space="preserve">  Accumulated Depreciation common plant</t>
  </si>
  <si>
    <t>4 factor allocator</t>
  </si>
  <si>
    <t>Deprec = 13 month avg Accumulated Depreciation</t>
  </si>
  <si>
    <t>Project B</t>
  </si>
  <si>
    <t>Life</t>
  </si>
  <si>
    <t>CIAC</t>
  </si>
  <si>
    <t>Increased ROE (Basis Points)</t>
  </si>
  <si>
    <t>FCR W increased ROE</t>
  </si>
  <si>
    <t>Annual Depreciation Exp</t>
  </si>
  <si>
    <t>Invest Yr</t>
  </si>
  <si>
    <t>W Increased ROE</t>
  </si>
  <si>
    <t>….</t>
  </si>
  <si>
    <t>…..</t>
  </si>
  <si>
    <t>Washington</t>
  </si>
  <si>
    <t>(H)</t>
  </si>
  <si>
    <t>(I)</t>
  </si>
  <si>
    <t>Taxes Other than Income - Transmission</t>
  </si>
  <si>
    <t>1.  ADIT items related only to Non-Electric Operations (e.g., Gas, Water, Sewer) or Production are directly assigned to Column C</t>
  </si>
  <si>
    <t>2.  ADIT items related only to Transmission are directly assigned to Column D</t>
  </si>
  <si>
    <t xml:space="preserve">Short term firm and nonfirm transmission purchased by PSE merchant </t>
  </si>
  <si>
    <t>(Ln 12/6)</t>
  </si>
  <si>
    <t>Green Energy Option</t>
  </si>
  <si>
    <t>Other Electric Revenues - Sale of Non Core Gas</t>
  </si>
  <si>
    <t>Other Electric Revenues - Cost Non Core Gas Sold</t>
  </si>
  <si>
    <t>Lifetime O&amp;M Revenue - Elec</t>
  </si>
  <si>
    <t>5. Deferred income taxes arise when items are included in taxable income in different periods than they are included in rates, therefore if the item giving rise to the ADIT is not included in the formula, the associated ADIT amount shall be excluded</t>
  </si>
  <si>
    <t>Other taxes that are assessed based on labor will be allocated based on the Wages and Salary Allocator</t>
  </si>
  <si>
    <t>Allocator.  If the taxes are 100% recovered at retail they will not be included</t>
  </si>
  <si>
    <t>p205.5.g</t>
  </si>
  <si>
    <t>p207.96.g</t>
  </si>
  <si>
    <t>p323.191.b</t>
  </si>
  <si>
    <t>Tacoma Power</t>
  </si>
  <si>
    <t>Bellingham Cold Storage - Orchard</t>
  </si>
  <si>
    <t>Bellingham Cold Storage - Roeder</t>
  </si>
  <si>
    <t>Rent from Electric Property - Land and Buildings</t>
  </si>
  <si>
    <t>Rent from PCS</t>
  </si>
  <si>
    <t>Rent from Common Property - Land and Buildings</t>
  </si>
  <si>
    <t>p207.75.g</t>
  </si>
  <si>
    <t>Calculation of Distribution Plant In Service</t>
  </si>
  <si>
    <t>Calculation of Total Transmission Plant In Service</t>
  </si>
  <si>
    <t>Calculation of Total Transmission Accumulated Depreciation</t>
  </si>
  <si>
    <t>p219.26</t>
  </si>
  <si>
    <t>Calculation of Distribution Accumulated Depreciation</t>
  </si>
  <si>
    <t>Other Electric Revenues - Summit Buyout</t>
  </si>
  <si>
    <t>100 Basis Point increase in ROE and Income Taxes</t>
  </si>
  <si>
    <t>Year 2</t>
  </si>
  <si>
    <t>Year 3</t>
  </si>
  <si>
    <t xml:space="preserve">Composite Income Taxes                                                                                                       </t>
  </si>
  <si>
    <t>p354.21.b</t>
  </si>
  <si>
    <t>p354.28b</t>
  </si>
  <si>
    <t>p354.27b</t>
  </si>
  <si>
    <t>p321.112.b</t>
  </si>
  <si>
    <t>p323.197.b</t>
  </si>
  <si>
    <t>p323.185b</t>
  </si>
  <si>
    <t>p323.189b</t>
  </si>
  <si>
    <t>p323.191b</t>
  </si>
  <si>
    <t xml:space="preserve">Plus any increased ROE calculated on Attachment 7 </t>
  </si>
  <si>
    <t>p323.187b</t>
  </si>
  <si>
    <t>p350.1 thru 350.21</t>
  </si>
  <si>
    <t>Production related</t>
  </si>
  <si>
    <t>Net Adjusted Revenue Requirement</t>
  </si>
  <si>
    <t>T = 1-{[(1-SIT) * (1-FIT)]/(1-SIT * FIT * p)}</t>
  </si>
  <si>
    <t>p336.7f</t>
  </si>
  <si>
    <t>p336.10f</t>
  </si>
  <si>
    <t>p336.1f</t>
  </si>
  <si>
    <t>Step</t>
  </si>
  <si>
    <t>Month</t>
  </si>
  <si>
    <t>Year</t>
  </si>
  <si>
    <t>Action</t>
  </si>
  <si>
    <t>Exec Summary</t>
  </si>
  <si>
    <t>April</t>
  </si>
  <si>
    <t>May</t>
  </si>
  <si>
    <t>June</t>
  </si>
  <si>
    <t>Jan</t>
  </si>
  <si>
    <t>Feb</t>
  </si>
  <si>
    <t>Mar</t>
  </si>
  <si>
    <t>Apr</t>
  </si>
  <si>
    <t>Jun</t>
  </si>
  <si>
    <t>Jul</t>
  </si>
  <si>
    <t>Aug</t>
  </si>
  <si>
    <t>Sep</t>
  </si>
  <si>
    <t>Oct</t>
  </si>
  <si>
    <t>Nov</t>
  </si>
  <si>
    <t>Dec</t>
  </si>
  <si>
    <t>Interest on Amount of Refunds or Surcharges</t>
  </si>
  <si>
    <t>Yr</t>
  </si>
  <si>
    <t>Interest</t>
  </si>
  <si>
    <t>Months</t>
  </si>
  <si>
    <t>Balance</t>
  </si>
  <si>
    <t>Total Transmission Plant In Service</t>
  </si>
  <si>
    <t>New Transmission Plant Additions for Current Calendar Year  (weighted by months in service)</t>
  </si>
  <si>
    <t xml:space="preserve">    Less Accumulated Depreciation Associated with Facilities with Outstanding Network Credits</t>
  </si>
  <si>
    <t>Non-safety Related</t>
  </si>
  <si>
    <t>Electric / Non-electric Cost Support</t>
  </si>
  <si>
    <t>Transmission / Non-transmission Cost Support</t>
  </si>
  <si>
    <t>Regulatory Expense Related to Transmission Cost Support</t>
  </si>
  <si>
    <t>Safety Related Advertising Cost Support</t>
  </si>
  <si>
    <t>Excluded Plant Cost Support</t>
  </si>
  <si>
    <t>Outstanding Network Credits Cost Support</t>
  </si>
  <si>
    <t>Interest on Outstanding Network Credits Cost Support</t>
  </si>
  <si>
    <t>Return Calculation</t>
  </si>
  <si>
    <t>Rev Req based on Prior Year data</t>
  </si>
  <si>
    <t>Total with interest</t>
  </si>
  <si>
    <t xml:space="preserve">Taxes Other than Income                                                    </t>
  </si>
  <si>
    <t>Account 454 - Rent from Electric Property</t>
  </si>
  <si>
    <t>Total Rent Revenues</t>
  </si>
  <si>
    <t>None</t>
  </si>
  <si>
    <t>Shaded cells are input cells</t>
  </si>
  <si>
    <t>Attachment 1 - Accumulated Deferred Income Taxes (ADIT) Worksheet</t>
  </si>
  <si>
    <t>Attachment 2 - Taxes Other Than Income Worksheet</t>
  </si>
  <si>
    <t>Attachment 6</t>
  </si>
  <si>
    <t>Attachment 1</t>
  </si>
  <si>
    <t>Attachment 5</t>
  </si>
  <si>
    <t>Attachment 3</t>
  </si>
  <si>
    <t>Attachment 2</t>
  </si>
  <si>
    <t>Less FASB 109 Above if not separately removed</t>
  </si>
  <si>
    <t>Less FASB 106 Above if not separately removed</t>
  </si>
  <si>
    <t>Gross Proceeds Outstanding LT Debt</t>
  </si>
  <si>
    <t>Net Proceeds Long Term Debt</t>
  </si>
  <si>
    <t>Total Long Term Debt Cost</t>
  </si>
  <si>
    <t>Preferred Dividend</t>
  </si>
  <si>
    <t>Total Common Stock</t>
  </si>
  <si>
    <t>Acct 221 - Bonds</t>
  </si>
  <si>
    <t>Acct 223 LT Advances from Assoc Cos.</t>
  </si>
  <si>
    <t xml:space="preserve">  Less Acct 222 Reaq'd Bonds</t>
  </si>
  <si>
    <t>Acct 224 Other LT Debt</t>
  </si>
  <si>
    <t xml:space="preserve">  Less Acct 226 Unamort Discount</t>
  </si>
  <si>
    <t xml:space="preserve">  Less Acct 181 Unamort Debt Expense</t>
  </si>
  <si>
    <t xml:space="preserve">  Less Acct 189 Unamort Loss Reaq'd Debt</t>
  </si>
  <si>
    <t xml:space="preserve">  Plus Acct 225 Unamort Premium</t>
  </si>
  <si>
    <t xml:space="preserve">  Plus Acct 257 Unamort Gain Reaq'd Debt</t>
  </si>
  <si>
    <t>Long Term Debt Cost</t>
  </si>
  <si>
    <t>Acct 428 Amort Debt Discount &amp; Expense</t>
  </si>
  <si>
    <t>Acct 428.1 Amort Loss on Reaq'd Debt</t>
  </si>
  <si>
    <t>PSE merchant short term firm and nonfirm transmission is based on projected 2012 in line with PSE merchant's new business practice implemented in 2012. (No longer applicable after 2012)</t>
  </si>
  <si>
    <t xml:space="preserve">  Less Acct 429 Amort Premium</t>
  </si>
  <si>
    <t xml:space="preserve">  Less Acct 429.1 Amort Gain Reaq'd Debt</t>
  </si>
  <si>
    <t>Preferred Stock &amp; Dividend</t>
  </si>
  <si>
    <t>Acct 204 Preferred Stock Issued</t>
  </si>
  <si>
    <t xml:space="preserve">  Less Acct 217 Reaq'd Capital Stock (Pfd)</t>
  </si>
  <si>
    <t>Acct 207 Premium on Pfd Stock</t>
  </si>
  <si>
    <t xml:space="preserve">  Less Acct 213 discount on Capital Stock (Pfd)</t>
  </si>
  <si>
    <t xml:space="preserve">  Less Acct 214 Capital Stock Exp (Pfd)</t>
  </si>
  <si>
    <t>Total Preferred Stock</t>
  </si>
  <si>
    <t xml:space="preserve">  Less Preferred Stock</t>
  </si>
  <si>
    <t xml:space="preserve">  Less Acct 216.1 Unap Undis Subs Earnings</t>
  </si>
  <si>
    <t xml:space="preserve">  Less Acct 219 (enter negative)</t>
  </si>
  <si>
    <t xml:space="preserve"> Common Stock Issued (201)</t>
  </si>
  <si>
    <t xml:space="preserve"> Premium on Capital Stock (207)</t>
  </si>
  <si>
    <t xml:space="preserve"> Other Pd in Capital (208-211)</t>
  </si>
  <si>
    <t xml:space="preserve">   Less Stock Expense (214)</t>
  </si>
  <si>
    <t xml:space="preserve"> Retained Earnings (215, 215.1, 216)</t>
  </si>
  <si>
    <t>Unappr Undistr Sub Retnd Earn (216.1)</t>
  </si>
  <si>
    <t>Accumulated OCI (219)</t>
  </si>
  <si>
    <t xml:space="preserve">   Adjustments - Hedges</t>
  </si>
  <si>
    <t xml:space="preserve">   Adjustments - Accrued to Cash</t>
  </si>
  <si>
    <t>13 month</t>
  </si>
  <si>
    <t>Total Revenue Credits</t>
  </si>
  <si>
    <t>6.  Re:  Form 1-F filer:  Sum of subtotals for Accounts 282 and 283 should tie to Form No. 1-F, p.113.57.c</t>
  </si>
  <si>
    <t>Subtotal - p275  (Form 1-F filer:  see note 6 below)</t>
  </si>
  <si>
    <t>Subtotal - p277  (Form 1-F filer:  see note 6, below)</t>
  </si>
  <si>
    <t>Transmission O&amp;M Reserves</t>
  </si>
  <si>
    <t>Enter Negative</t>
  </si>
  <si>
    <t xml:space="preserve">Prepayments </t>
  </si>
  <si>
    <t xml:space="preserve">Attachment 5 </t>
  </si>
  <si>
    <t>Difference</t>
  </si>
  <si>
    <t xml:space="preserve">Other taxes that are incurred through ownership of plant including transmission plant will be allocated based on the Gross Plant </t>
  </si>
  <si>
    <t>Other taxes that are incurred through ownership of only general or intangible plant will be allocated based on the Wages and Salary</t>
  </si>
  <si>
    <t>Transmission Related Account 242 Reserves (exclude current year environmental site related reserves)</t>
  </si>
  <si>
    <t>Gross Revenue Credits</t>
  </si>
  <si>
    <t>NOL Carryforward</t>
  </si>
  <si>
    <t>FIT deductible for SIT</t>
  </si>
  <si>
    <t>Pursuant to state retail regulatory order</t>
  </si>
  <si>
    <t>Transmission for Others (Note 3)</t>
  </si>
  <si>
    <t>Net revenues associated with Network Integration Transmission Service (NITS) for which the load is not included in the divisor (Note 3)</t>
  </si>
  <si>
    <t>Attachment 3 - Revenue Credit Worksheet</t>
  </si>
  <si>
    <t>Facilities Charges including Interconnection Agreements (Note 2)</t>
  </si>
  <si>
    <t>Short-tern and non-firm service revenues for which the load is not included in the divisor received by Transmission Owner</t>
  </si>
  <si>
    <t>Air Products</t>
  </si>
  <si>
    <t>Justification</t>
  </si>
  <si>
    <t>Total Income Taxes</t>
  </si>
  <si>
    <t>Summary</t>
  </si>
  <si>
    <t>Net Property, Plant &amp; Equipment</t>
  </si>
  <si>
    <t>Taxes Other than Income</t>
  </si>
  <si>
    <t>Common Stock</t>
  </si>
  <si>
    <t>END</t>
  </si>
  <si>
    <t>Revenue Credits</t>
  </si>
  <si>
    <t>C</t>
  </si>
  <si>
    <t>Gross Plant Allocator</t>
  </si>
  <si>
    <t>Total Long Term Debt</t>
  </si>
  <si>
    <t>Total Return ( R )</t>
  </si>
  <si>
    <t>REVENUE REQUIREMENT</t>
  </si>
  <si>
    <t>I</t>
  </si>
  <si>
    <t>Transmission Storm O&amp;M Deferred to 182.1</t>
  </si>
  <si>
    <t>workpaper</t>
  </si>
  <si>
    <t>Total Taxes Other than Income</t>
  </si>
  <si>
    <t>J</t>
  </si>
  <si>
    <t>Long Term Debt</t>
  </si>
  <si>
    <t>Depreciation Expense</t>
  </si>
  <si>
    <t>Note L</t>
  </si>
  <si>
    <t>Accumulated Depreciation (Total Electric Plant)</t>
  </si>
  <si>
    <t>Transmission Depreciation Expense</t>
  </si>
  <si>
    <t>Transmission Wages Expense</t>
  </si>
  <si>
    <t>Total Wages Expense</t>
  </si>
  <si>
    <t xml:space="preserve"> </t>
  </si>
  <si>
    <t>E</t>
  </si>
  <si>
    <t>A</t>
  </si>
  <si>
    <t>D</t>
  </si>
  <si>
    <t>G</t>
  </si>
  <si>
    <t>Preferred Stock</t>
  </si>
  <si>
    <t>K</t>
  </si>
  <si>
    <t>Other Taxes</t>
  </si>
  <si>
    <t>Total Prepayments Allocated to Transmission</t>
  </si>
  <si>
    <t xml:space="preserve">Accumulated Deferred Income Taxes </t>
  </si>
  <si>
    <t>Common Stock (Note J)</t>
  </si>
  <si>
    <t>Revenue= FCR* 13 Month + Depreciation</t>
  </si>
  <si>
    <t>13 Month * FCR + Depreciation</t>
  </si>
  <si>
    <t>Line 179 Attach H</t>
  </si>
  <si>
    <t>Non-incentive</t>
  </si>
  <si>
    <t>Increase</t>
  </si>
  <si>
    <t>……</t>
  </si>
  <si>
    <t>Line 179 Attach H = Total for "W Increased ROE" row</t>
  </si>
  <si>
    <t>Non-Incentive = Total for ''FCR W base ROE'' row</t>
  </si>
  <si>
    <t>Total = Sum all projects</t>
  </si>
  <si>
    <t>13 Month Balance</t>
  </si>
  <si>
    <t>The depreciation expense will be the estimated amount for the projection based on the projected in-service dates and the actual depreciation expense for the year</t>
  </si>
  <si>
    <t>Note 2</t>
  </si>
  <si>
    <t>Total Cash Working Capital Allocated to Transmission</t>
  </si>
  <si>
    <t>Transmission Materials &amp; Supplies</t>
  </si>
  <si>
    <t>Directly Assigned A&amp;G</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</si>
  <si>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</si>
  <si>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</si>
  <si>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</si>
  <si>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</si>
  <si>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</si>
  <si>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</si>
  <si>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</si>
  <si>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</si>
  <si>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</si>
  <si>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</si>
  <si>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</si>
  <si>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FERC 354 Towers and Fixtures  (p.207.51.g)</t>
  </si>
  <si>
    <t>FERC 364 Poles, Towers, and Fixtures (p.207.64.g)</t>
  </si>
  <si>
    <t>Allocators</t>
  </si>
  <si>
    <t>Less A&amp;G Wages Expense</t>
  </si>
  <si>
    <t>Transmission Gross Plant</t>
  </si>
  <si>
    <t>Transmission Net Plant</t>
  </si>
  <si>
    <t>Total Accumulated Depreciation</t>
  </si>
  <si>
    <t>Total Plant In Service</t>
  </si>
  <si>
    <t>Wages &amp; Salary Allocation Factor</t>
  </si>
  <si>
    <t>TOTAL Plant In Service</t>
  </si>
  <si>
    <t>Adjustment To Rate Base</t>
  </si>
  <si>
    <t>Net Plant Allocation Factor</t>
  </si>
  <si>
    <t>Intangible Amortization</t>
  </si>
  <si>
    <t>Undistributed Stores Exp</t>
  </si>
  <si>
    <t>General Depreciation Allocated to Transmission</t>
  </si>
  <si>
    <t>Return / Capitalization Calculations</t>
  </si>
  <si>
    <t>ITC Adjustment</t>
  </si>
  <si>
    <t>ITC Adjustment Allocated to Transmission</t>
  </si>
  <si>
    <t>SIT=State Income Tax Rate or Composite</t>
  </si>
  <si>
    <t>FIT=Federal Income Tax Rate</t>
  </si>
  <si>
    <t>Investment Return = Rate Base * Rate of Return</t>
  </si>
  <si>
    <t>Income Tax Rates</t>
  </si>
  <si>
    <t>Depreciation &amp; Amortization</t>
  </si>
  <si>
    <t>Accumulated Deferred Income Taxes Allocated To Transmission</t>
  </si>
  <si>
    <t>Depreciation &amp; Amortization Expense</t>
  </si>
  <si>
    <t>Total Transmission Depreciation &amp; Amortization</t>
  </si>
  <si>
    <t>L</t>
  </si>
  <si>
    <t>M</t>
  </si>
  <si>
    <t>Transmission O&amp;M</t>
  </si>
  <si>
    <t>Wages &amp; Salary Allocator</t>
  </si>
  <si>
    <t>Total Transmission O&amp;M</t>
  </si>
  <si>
    <t>Total A&amp;G</t>
  </si>
  <si>
    <t>General &amp; Intangible</t>
  </si>
  <si>
    <t>Transmission Plant In Service</t>
  </si>
  <si>
    <t>TOTAL Accumulated Depreciation</t>
  </si>
  <si>
    <t>Prepmts - Interest</t>
  </si>
  <si>
    <t>TOTAL Net Property, Plant &amp; Equipment</t>
  </si>
  <si>
    <t>Adjustment to Rate Base</t>
  </si>
  <si>
    <t>Plant Calculations</t>
  </si>
  <si>
    <t>Net Plant</t>
  </si>
  <si>
    <t>Net Plant Allocator</t>
  </si>
  <si>
    <t>Rate Base</t>
  </si>
  <si>
    <t xml:space="preserve">Income Tax Component = </t>
  </si>
  <si>
    <t>p352-353</t>
  </si>
  <si>
    <t xml:space="preserve">     CIT=(T/1-T) * Investment Return * (1-(WCLTD/R)) =</t>
  </si>
  <si>
    <t>Plant Allocation Factors</t>
  </si>
  <si>
    <t>Wage &amp; Salary Allocation Factor</t>
  </si>
  <si>
    <t>TOTAL Adjustment to Rate Base</t>
  </si>
  <si>
    <t>Description</t>
  </si>
  <si>
    <t>Account 456 - Other Electric Revenues</t>
  </si>
  <si>
    <t>Account 456.1 - Revenues from Transmission of Electricity of Others</t>
  </si>
  <si>
    <t>Demand Charges</t>
  </si>
  <si>
    <t>Exclude PTP Scheduling from Ancillary Services</t>
  </si>
  <si>
    <t>General Depreciation</t>
  </si>
  <si>
    <t>Total</t>
  </si>
  <si>
    <t>B</t>
  </si>
  <si>
    <t>Proprietary Capital</t>
  </si>
  <si>
    <t>Operation &amp; Maintenance Expense</t>
  </si>
  <si>
    <t>Amortized Investment Tax Credit</t>
  </si>
  <si>
    <t>Direct Assigned</t>
  </si>
  <si>
    <t>Total Transmission Allocated</t>
  </si>
  <si>
    <t>Transmission Accumulated Depreciation</t>
  </si>
  <si>
    <t>Electric Plant in Service</t>
  </si>
  <si>
    <t>Investment Return</t>
  </si>
  <si>
    <t>Income Taxes</t>
  </si>
  <si>
    <t>Total Balance Transmission Related Account 242 Reserves</t>
  </si>
  <si>
    <t>ATTACHMENT H</t>
  </si>
  <si>
    <t>with amounts exceeding $100,000 will be listed separately.</t>
  </si>
  <si>
    <t>Attachment 1- Accumulated Deferred Income Taxes (ADIT) Worksheet</t>
  </si>
  <si>
    <t>ADITC-255</t>
  </si>
  <si>
    <t>Amortization</t>
  </si>
  <si>
    <t>Rate Base Treatment</t>
  </si>
  <si>
    <t>Difference  /1</t>
  </si>
  <si>
    <t>/1 Difference must be zero</t>
  </si>
  <si>
    <t>Criteria for Allocation:</t>
  </si>
  <si>
    <t xml:space="preserve">Wages &amp; Salary Allocator </t>
  </si>
  <si>
    <t>Transmission Related Account 242 Reserves</t>
  </si>
  <si>
    <t>Worksheet 2</t>
  </si>
  <si>
    <t>Worksheet 3</t>
  </si>
  <si>
    <t>Directly Assignable to Transmission</t>
  </si>
  <si>
    <t>Allocation</t>
  </si>
  <si>
    <t>Total "Other" Taxes (included on p. 263)</t>
  </si>
  <si>
    <t>Acct 427 &amp; Acc 430 Interest Expense</t>
  </si>
  <si>
    <t>NOTE: p.207.75.g  FERC Form 1 2010 balance was prior to reclass and totaled $3,508,513,900; classified as LV distribution for 2010 was $2,947,625,914 (No longer applicable after 2012)</t>
  </si>
  <si>
    <t>NOTE: p.207.75.g  FERC Form 1 2010 balance was prior to reclass and totaled $1,224,444,770; classified as LV distribution for 2010 was $1,053,043,130 (No longer applicable after 2012)</t>
  </si>
  <si>
    <t>Attachment 6B - Estimate and Reconciliation Worksheet - Southern Intertie</t>
  </si>
  <si>
    <t>Total "Taxes Other Than Income Taxes" - acct 408.10 (p. 114.14)</t>
  </si>
  <si>
    <t>Gross Revenue Requirement</t>
  </si>
  <si>
    <t xml:space="preserve">    Less EPRI Dues</t>
  </si>
  <si>
    <t>Subtotal - Transmission Related</t>
  </si>
  <si>
    <t>T/ (1-T)</t>
  </si>
  <si>
    <t>p</t>
  </si>
  <si>
    <t>(percent of federal income tax deductible for state purposes)</t>
  </si>
  <si>
    <t>Notes</t>
  </si>
  <si>
    <t>Allocator</t>
  </si>
  <si>
    <t>p214</t>
  </si>
  <si>
    <t>enter negative</t>
  </si>
  <si>
    <t>Fixed</t>
  </si>
  <si>
    <t>Net Revenue Requirement</t>
  </si>
  <si>
    <t>O&amp;M</t>
  </si>
  <si>
    <t xml:space="preserve">     Less Account 565</t>
  </si>
  <si>
    <t>p200.21c</t>
  </si>
  <si>
    <t>Subtotal</t>
  </si>
  <si>
    <t>Electric portion only</t>
  </si>
  <si>
    <t>Transmission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</si>
  <si>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</si>
  <si>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</si>
  <si>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</si>
  <si>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</si>
  <si>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</si>
  <si>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</si>
  <si>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</si>
  <si>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</si>
  <si>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</si>
  <si>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</si>
  <si>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</si>
  <si>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</si>
  <si>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</si>
  <si>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</si>
  <si>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</si>
  <si>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</si>
  <si>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</si>
  <si>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 xml:space="preserve">directly or indirectly related to transmission service will be allocated based on the Gross Plant Allocator; provided, however, that </t>
  </si>
  <si>
    <t xml:space="preserve">overheads shall be treated as in footnote B above </t>
  </si>
  <si>
    <t>3.  ADIT items related to Plant and not in Columns C &amp; D are included in Column E</t>
  </si>
  <si>
    <t>4.  ADIT items related to labor and not in Columns C &amp; D are included in Column F</t>
  </si>
  <si>
    <t>(Sum Lines 4-11)</t>
  </si>
  <si>
    <t>FERC  Annual Fees</t>
  </si>
  <si>
    <t>RTO Filings</t>
  </si>
  <si>
    <t>Transmission Siting</t>
  </si>
  <si>
    <t>Other Transmission regulatory Commission Expenses</t>
  </si>
  <si>
    <t>NERC Compliance</t>
  </si>
  <si>
    <t>Excluded Items</t>
  </si>
  <si>
    <t>Load paying the Formula Rate</t>
  </si>
  <si>
    <t>Total Transmission Load</t>
  </si>
  <si>
    <t>Gains/Losses sale of land held for future use</t>
  </si>
  <si>
    <t>50% of any gain or loss sales of land that have been in Account No. 105, Land Held for Future Use, at any time (gains will be positive numbers and losses will be negative numbers)</t>
  </si>
  <si>
    <t>Amount of transmission plant excluded from rates per Attachment 5.</t>
  </si>
  <si>
    <t>Total Form No. 1 (p 266 &amp; 267)</t>
  </si>
  <si>
    <t>Net Plant Carrying Charge</t>
  </si>
  <si>
    <t>Net Plant Carrying Charge Calculation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</si>
  <si>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</si>
  <si>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</si>
  <si>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</si>
  <si>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</si>
  <si>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</si>
  <si>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</si>
  <si>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</si>
  <si>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</si>
  <si>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</si>
  <si>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</si>
  <si>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Miscellaneous</t>
  </si>
  <si>
    <t>Accumulated Deferred Income Taxes</t>
  </si>
  <si>
    <t>Plant Gas</t>
  </si>
  <si>
    <t>Plant Electric</t>
  </si>
  <si>
    <t>Pension</t>
  </si>
  <si>
    <t>Employment</t>
  </si>
  <si>
    <t>State excise</t>
  </si>
  <si>
    <t>Municipal Excise</t>
  </si>
  <si>
    <t>SFAS 109</t>
  </si>
  <si>
    <t>Storm Damage</t>
  </si>
  <si>
    <t>Regulatory assets</t>
  </si>
  <si>
    <t>Derivative instruments</t>
  </si>
  <si>
    <t>TO populates the formula with Year 1 data from FERC Form No. 1 data for Year 1 (e.g., 2010)</t>
  </si>
  <si>
    <t>TO estimates all transmission Cap Adds and CWIP for Year 2 weighted based on Months expected to be in service in Year 2 (e.g., 2011)</t>
  </si>
  <si>
    <t>Post results of Step 3</t>
  </si>
  <si>
    <t>(J)</t>
  </si>
  <si>
    <t>(K)</t>
  </si>
  <si>
    <t>(L)</t>
  </si>
  <si>
    <t>(M)</t>
  </si>
  <si>
    <t>Other Included - Transmission</t>
  </si>
  <si>
    <t>State Utility Tax</t>
  </si>
  <si>
    <t>Total Other Transmission Included</t>
  </si>
  <si>
    <t>(Note S)</t>
  </si>
  <si>
    <t>S</t>
  </si>
  <si>
    <t>Electric Segment Allocation</t>
  </si>
  <si>
    <t>Total Common Plant</t>
  </si>
  <si>
    <t xml:space="preserve">WA Area </t>
  </si>
  <si>
    <t>End of Year Est. Average for Final</t>
  </si>
  <si>
    <t>WA Area</t>
  </si>
  <si>
    <t xml:space="preserve">Total Distribution </t>
  </si>
  <si>
    <t>13 Month</t>
  </si>
  <si>
    <t>Washington Area</t>
  </si>
  <si>
    <t>Result of Formula for Reconciliation</t>
  </si>
  <si>
    <t>True-Up Adjustment</t>
  </si>
  <si>
    <t xml:space="preserve">Total with Interest </t>
  </si>
  <si>
    <t>Actual Revenues Received Step 7</t>
  </si>
  <si>
    <t>Wash Area</t>
  </si>
  <si>
    <t>So. Intertie</t>
  </si>
  <si>
    <t>LT loads</t>
  </si>
  <si>
    <t>Long tern Loads charged under the OATT</t>
  </si>
  <si>
    <t>Yes</t>
  </si>
  <si>
    <t>The total is directly assigned to the three areas where</t>
  </si>
  <si>
    <t>possible, if not possible then allocated based on</t>
  </si>
  <si>
    <t>No</t>
  </si>
  <si>
    <t xml:space="preserve"> loads under the tariff</t>
  </si>
  <si>
    <t>NA</t>
  </si>
  <si>
    <t>Property Alloc</t>
  </si>
  <si>
    <t>Reconciliation</t>
  </si>
  <si>
    <t>Excluded Transmission Facilities - Southern Intertie</t>
  </si>
  <si>
    <t>Outstanding Network Credits is the balance of Network Facilities Upgrades Credits due Transmission Customers who have made lump-sum payments (net of accumulated depreciation) towards the construction of Network Transmission Facilities consistent with Paragraph 657 of Order 2003-A. Interest on the Network Credits as booked each year is added to the revenue requirement to make the Transmission Owner whole on Line "&amp;A262&amp;"."</t>
  </si>
  <si>
    <t>A&amp;G directly assigned to Transmission is for the WA area rate only as the Southern Intertie is 100% operated by BPA and Colstrip 100% operated by Northwestern</t>
  </si>
  <si>
    <t>Attachment 4 Alloc on Rate base</t>
  </si>
  <si>
    <t>(Year 2 data with total of Year 2 Cap Adds removed and monthly weighted average of Year 2 actual Cap Adds added in)</t>
  </si>
  <si>
    <t>Rates in effect in Prior Year times actual loads in each Month</t>
  </si>
  <si>
    <t>Rates Charged</t>
  </si>
  <si>
    <t>Actual Monthly Loads</t>
  </si>
  <si>
    <t>Rate x Loads</t>
  </si>
  <si>
    <t>Less any Prior Year True up</t>
  </si>
  <si>
    <t>Actual Revenues Received</t>
  </si>
  <si>
    <t>Sum</t>
  </si>
  <si>
    <t>The Reconciliation in Step 8</t>
  </si>
  <si>
    <t>Transmission Rate</t>
  </si>
  <si>
    <t>Interest rate pursuant to 35.19a for March of the Current Yr</t>
  </si>
  <si>
    <t>1/12 of Step 8</t>
  </si>
  <si>
    <t>Interest rate for</t>
  </si>
  <si>
    <t>Surcharge (Refund) Owed</t>
  </si>
  <si>
    <t>(See Note #1)</t>
  </si>
  <si>
    <t>March of the Current Yr</t>
  </si>
  <si>
    <t xml:space="preserve">Note #1:  For the initial rate year, enter zero for the first five months, </t>
  </si>
  <si>
    <t xml:space="preserve">              June Year 1 through October Year 1.  Enter 1/12 of Step 8</t>
  </si>
  <si>
    <t xml:space="preserve">             for the months Nov Year 1 through May Year 2.</t>
  </si>
  <si>
    <t>Interest rate from above</t>
  </si>
  <si>
    <t>Amortization over Rate Year</t>
  </si>
  <si>
    <t>FERC Form 1, Page 400</t>
  </si>
  <si>
    <t>Other Long Term Firm Service</t>
  </si>
  <si>
    <t>Other Service</t>
  </si>
  <si>
    <t>Monthly Peak MW - Total   (b)</t>
  </si>
  <si>
    <t>Month (a)</t>
  </si>
  <si>
    <t>Day of Monthly Peak      (c )</t>
  </si>
  <si>
    <t>Hour of Monthly Peak     (d)</t>
  </si>
  <si>
    <t>Firm Network Service for Self                      (e)</t>
  </si>
  <si>
    <t>Firm Network Service for Others                       (f)</t>
  </si>
  <si>
    <t>Long-Term Firm Point-to-point Reservations            (g)</t>
  </si>
  <si>
    <t>Other Long Term Firm Service                    (h)</t>
  </si>
  <si>
    <t>Short-Term Firm Point-to-Point Reservation                        (i)</t>
  </si>
  <si>
    <t xml:space="preserve">Total 427 Interest </t>
  </si>
  <si>
    <t>E3509 (GIF) Land, Wild Horse</t>
  </si>
  <si>
    <t>E35099 (GIF) Easement, Hopkins</t>
  </si>
  <si>
    <t>E35099 (GIF) Easement, Poison Sprin</t>
  </si>
  <si>
    <t>E35099 (GIF) Easement, Upper Baker</t>
  </si>
  <si>
    <t>E35099 (GIF) Easement, Wild Horse</t>
  </si>
  <si>
    <t>E3529 (GIF) Struc/Improv, Mint Farm</t>
  </si>
  <si>
    <t>E3529 (GIF) Struc/Improv, Whitehorn</t>
  </si>
  <si>
    <t>E3538 (LIF) Sta Eq, Sub-Txe</t>
  </si>
  <si>
    <t>E3539 (GIF) Sta Eq, Arco Central</t>
  </si>
  <si>
    <t>E3539 (GIF) Sta Eq, Baker River Sw</t>
  </si>
  <si>
    <t>E3539 (GIF) Sta Eq, Electron Height</t>
  </si>
  <si>
    <t>E3539 (GIF) Sta Eq, Encogen</t>
  </si>
  <si>
    <t>E3539 (GIF) Sta Eq, Frederickson</t>
  </si>
  <si>
    <t>E3539 (GIF) Sta Eq, Fredonia 1&amp;2</t>
  </si>
  <si>
    <t>E3539 (GIF) Sta Eq, Fredonia 3&amp;4</t>
  </si>
  <si>
    <t>E3539 (GIF) Sta Eq, Goldendale</t>
  </si>
  <si>
    <t>E3539 (GIF) Sta Eq, Hopkins Ridge</t>
  </si>
  <si>
    <t>E3539 (GIF) Sta Eq, HPK sub@plant</t>
  </si>
  <si>
    <t>E3539 (GIF) Sta Eq, Lower Baker</t>
  </si>
  <si>
    <t>E3539 (GIF) Sta Eq, Mint Farm</t>
  </si>
  <si>
    <t>E3539 (GIF) Sta Eq, Nooksack</t>
  </si>
  <si>
    <t>E3539 (GIF) Sta Eq, Poison Spring</t>
  </si>
  <si>
    <t>E3539 (GIF) Sta Eq, Shannon</t>
  </si>
  <si>
    <t>E3539 (GIF) Sta Eq, Snoqualmie 2</t>
  </si>
  <si>
    <t>E3539 (GIF) Sta Eq, Snoqualmie Sw</t>
  </si>
  <si>
    <t>E3539 (GIF) Sta Eq, Stillwater</t>
  </si>
  <si>
    <t>E3539 (GIF) Sta Eq, Sumas OP-SMC</t>
  </si>
  <si>
    <t>E3539 (GIF) Sta Eq, Terrell</t>
  </si>
  <si>
    <t>E3539 (GIF) Sta Eq, Texaco West</t>
  </si>
  <si>
    <t>E3539 (GIF) Sta Eq, Ferndale</t>
  </si>
  <si>
    <t>E3539 (GIF) Sta Eq, Snoq 1-2013</t>
  </si>
  <si>
    <t>E3539 (GIF) Sta Eq, Snoq 2-2013</t>
  </si>
  <si>
    <t>E3549 (GIF) Twr/Fixt, Ferndale</t>
  </si>
  <si>
    <t>PSE/16500373</t>
  </si>
  <si>
    <t>PSE/16501083</t>
  </si>
  <si>
    <t>PSE/16501003</t>
  </si>
  <si>
    <t>Prepaid Gas Options</t>
  </si>
  <si>
    <t>AMCOR Rigid Plastics USA</t>
  </si>
  <si>
    <t>Account 926 (2012)</t>
  </si>
  <si>
    <t>E3536 TSM Sta Eq, Sumas SMS</t>
  </si>
  <si>
    <t>Vantage Wind Energy LLC- Invenergy</t>
  </si>
  <si>
    <t>Bonneville Power Administration</t>
  </si>
  <si>
    <t xml:space="preserve">  Adjustments - Forward Swap</t>
  </si>
  <si>
    <t>E3529 (GIF) Struc/Improv, LSR</t>
  </si>
  <si>
    <t>E3539 (GIF) Sta Eq, LSR</t>
  </si>
  <si>
    <t>E3539 (GIF) Sta Eq, SUB-BRL4-2013</t>
  </si>
  <si>
    <t>E3559 (GIF) TSM Poles, LSR</t>
  </si>
  <si>
    <t>E3569 (GIF) O/H Conductor, LSR</t>
  </si>
  <si>
    <t>E3589 (GIF) UG Conductor, LSR</t>
  </si>
  <si>
    <t>WA Property taxes</t>
  </si>
  <si>
    <t>Annual Point-to-Point and Network Transmission Rate</t>
  </si>
  <si>
    <t>Formula Rate -- Attachment H-1</t>
  </si>
  <si>
    <t>Attachment H-1 % plus 100 Basis Pts</t>
  </si>
  <si>
    <t>Attachment H-1 Line #s, Descriptions, Notes, Form 1 Page #s and Instructions</t>
  </si>
  <si>
    <t>Must run Attachment H-1 to get this number (with input on line 16 of Attachment H-1)</t>
  </si>
  <si>
    <t>Must run Attachment H-1 to get this number (without inputs in line 16 of Attachment H-1 )</t>
  </si>
  <si>
    <t>Must run Attachment H-1 to get this number (without inputs on line 16 of Attachment H-1)</t>
  </si>
  <si>
    <t>Must run Attachment H-1 to get this number (with input in line 16 of Attachment H-1 )</t>
  </si>
  <si>
    <t>Transmission Provider (TP) populates the formula with Year 1 data from FERC Form No. 1 data for Year 1 (e.g., 2010)</t>
  </si>
  <si>
    <t>TP estimates all transmission Cap Adds and CWIP for Year 2 weighted based on Months expected to be in service in Year 2 (e.g., 2011)</t>
  </si>
  <si>
    <t>TP adds weighted Cap Adds to plant in service in Formula</t>
  </si>
  <si>
    <t>Results of Step 3 go into effect for the Rate Year 1 (e.g., June 1, 2011 - May 31, 2012)</t>
  </si>
  <si>
    <t>TP populates the formula with Year 2 data from FERC Form No. 1 for Year 2 (e.g., 2011)</t>
  </si>
  <si>
    <t>Reconciliation - TP adds the difference between the Reconciliation in Step 7 and the forecast in Line 5 with interest to the result of Step 7 (this difference is also added to Step 8 in the subsequent year)</t>
  </si>
  <si>
    <t>Results of Step 9 go into effect for the Rate Year 2 (e.g., June 1, 2012 - May 31, 2013)</t>
  </si>
  <si>
    <t>TP populates the formula with Year 1 data from FERC Form No. 1 data for Year 1 (e.g., 2010)</t>
  </si>
  <si>
    <t>Prior Period Adjustments Detail:</t>
  </si>
  <si>
    <t>Total Other Adjustment</t>
  </si>
  <si>
    <t>True Up</t>
  </si>
  <si>
    <t>Prior Period Adjustment</t>
  </si>
  <si>
    <t>Net True up</t>
  </si>
  <si>
    <t>Year 1=</t>
  </si>
  <si>
    <t>Year 2=</t>
  </si>
  <si>
    <t>Year 3=</t>
  </si>
  <si>
    <t>TP estimates Cap Adds and CWIP during Year 3 weighted based on Months expected to be in service in Year 3 (e.g., 2012)</t>
  </si>
  <si>
    <t>Input to Line 16 of Attachment H-1</t>
  </si>
  <si>
    <t>True up adjustments including any prior period adjustments</t>
  </si>
  <si>
    <t>Balance to line 40 of Attachment H-1</t>
  </si>
  <si>
    <t>Amortization to line 142 of Attachment H-1</t>
  </si>
  <si>
    <t>E35017 TSM Easements, Baker Com</t>
  </si>
  <si>
    <t>E35017 TSM Easements, Upper Baker</t>
  </si>
  <si>
    <t>E353 TSM Sta Eq, Wild Horse-WindRid</t>
  </si>
  <si>
    <t>E355 TSM Poles, Wild Horse-WindRidg</t>
  </si>
  <si>
    <t>E3557 TSM Poles, Baker Common</t>
  </si>
  <si>
    <t>E3557 TSM Poles, Upper Baker</t>
  </si>
  <si>
    <t>E356 TSM O/H Cond, Wild Horse-WindR</t>
  </si>
  <si>
    <t>E3567 TSM O/H Cond, Baker Common</t>
  </si>
  <si>
    <t>E3567 TSM O/H Cond, Upper Baker</t>
  </si>
  <si>
    <t>PSE/16502021</t>
  </si>
  <si>
    <t xml:space="preserve">   Total Colstrip</t>
  </si>
  <si>
    <t>E3529 (GIF) Str/Impr, Fredonia 1&amp;2</t>
  </si>
  <si>
    <t>E3559 (GIF) Poles, TLN-HPK@plant</t>
  </si>
  <si>
    <t>E3569 (GIF) O/H Cond, TLN-HPK@plant</t>
  </si>
  <si>
    <t>E3579 (GIF)U/G Conduit,TLN-WHD@plnt</t>
  </si>
  <si>
    <t>E3589 (GIF)U/G Cond,TLN-HPK@plt</t>
  </si>
  <si>
    <t>E3589 (GIF)U/G Cond,TLN-WHD@plnt</t>
  </si>
  <si>
    <t>E3589 (GIF)U/G Cond,TLN-WHDE@plt</t>
  </si>
  <si>
    <t>Total WA Transmission Plant</t>
  </si>
  <si>
    <t>Total Colstrip Transmission Plant</t>
  </si>
  <si>
    <t>Total Southern Intertie Plant</t>
  </si>
  <si>
    <t>Total Transmission Plant</t>
  </si>
  <si>
    <t>ties to FF1 p206.58(b)</t>
  </si>
  <si>
    <t>ties to FF1 p207.58(g)</t>
  </si>
  <si>
    <t>Transmission Plant in Service</t>
  </si>
  <si>
    <t>Transmission Plant Accumulated Depreciation</t>
  </si>
  <si>
    <t xml:space="preserve">  Total Southern Intertie</t>
  </si>
  <si>
    <t>WA Area Total Trans Depr Reserves</t>
  </si>
  <si>
    <t>Southern Intertie Total Depr Reserves</t>
  </si>
  <si>
    <t>Total Depreciation reserves</t>
  </si>
  <si>
    <t>Ties to FERC Form 1 p219.25.(c)</t>
  </si>
  <si>
    <t>PSE/16504201</t>
  </si>
  <si>
    <t>Prepaid - Art 312 Dev Rec- Camp - Major Maint - LT</t>
  </si>
  <si>
    <t>Electric Rate of Return Refund</t>
  </si>
  <si>
    <t xml:space="preserve">  Total Washington Area</t>
  </si>
  <si>
    <t xml:space="preserve">E353 TSM Sta Eq, Colstrip 3-4 </t>
  </si>
  <si>
    <t xml:space="preserve">  Total WA GIF</t>
  </si>
  <si>
    <t xml:space="preserve">  Total Colstrip GIF</t>
  </si>
  <si>
    <t xml:space="preserve">  Total WA Area</t>
  </si>
  <si>
    <t>E3500 TSM Land, N Intertie</t>
  </si>
  <si>
    <t>E3500 TSM Land, Wind Ridge</t>
  </si>
  <si>
    <t xml:space="preserve">E3556 TSM Poles </t>
  </si>
  <si>
    <t xml:space="preserve">E3557 TSM Poles </t>
  </si>
  <si>
    <t>E3500 TSM Land, Colstrip</t>
  </si>
  <si>
    <t xml:space="preserve">  Total Colstrip</t>
  </si>
  <si>
    <t>E3500 TSM Land, 3rd AC</t>
  </si>
  <si>
    <t xml:space="preserve">E3539 (GIF) Sta Eq, Wild Horse </t>
  </si>
  <si>
    <t>Colstrip Total Depr Reserves</t>
  </si>
  <si>
    <t>PSE/16502221</t>
  </si>
  <si>
    <t>PSE/16502261</t>
  </si>
  <si>
    <t>PSE/16502382</t>
  </si>
  <si>
    <t>E35010 TSM Easement</t>
  </si>
  <si>
    <t>E3539 (GIF) Sta Eq, Fred 1/APC</t>
  </si>
  <si>
    <t>E3569 (GIF) O/H Cond, Lower Baker</t>
  </si>
  <si>
    <t>E3589 (GIF) U/G Cond, Fred 1/APC</t>
  </si>
  <si>
    <t xml:space="preserve">E3539 (GIF) Sta Eq, Colstrip 3-4 </t>
  </si>
  <si>
    <t>E3559 (GIF) Poles, Colstrip 3-4</t>
  </si>
  <si>
    <t>E3569 (GIF) O/H Cond, Colstrip 3-4</t>
  </si>
  <si>
    <t>Total ARO Transmission Plant</t>
  </si>
  <si>
    <t>TSM ARO Transmission</t>
  </si>
  <si>
    <t>E353 TSM Sta Eq LSR</t>
  </si>
  <si>
    <t>E3537 TSM Sta Eq, Hopkins Ridge Exp</t>
  </si>
  <si>
    <t>E355 TSM Poles, Baker Common</t>
  </si>
  <si>
    <t>E35010 TSM Easement,Colstrip 1-2Com</t>
  </si>
  <si>
    <t>E35010 TSM Easement,Colstrip 3-4Com</t>
  </si>
  <si>
    <t>ARO Total</t>
  </si>
  <si>
    <t>Colstrip Generation Plant Property Tax</t>
  </si>
  <si>
    <t xml:space="preserve">Federal Income tax, (Account 409.1) </t>
  </si>
  <si>
    <t>E3536 TSM Substation Equipment</t>
  </si>
  <si>
    <t>Colstrip Trasmission Benefit Use Tax</t>
  </si>
  <si>
    <t>Baker SA 318 Law Enforcement Plan</t>
  </si>
  <si>
    <t>Wind Farm Maintenance Accrual</t>
  </si>
  <si>
    <t>LSR U.S. Treasury Grants</t>
  </si>
  <si>
    <t>FERC Annual Charge US Lands</t>
  </si>
  <si>
    <t>Lower Baker - FERC License Fees</t>
  </si>
  <si>
    <t>Upper Baker - FERC License Fees</t>
  </si>
  <si>
    <t>Snoqualmie #1 - FERC License Fees</t>
  </si>
  <si>
    <t>Snoqualmie #2 - FERC License Fees</t>
  </si>
  <si>
    <t>Accrued WUTC Fee - Gas</t>
  </si>
  <si>
    <t>Article 103 - O&amp;M Upstream Fish Passage Fund</t>
  </si>
  <si>
    <t>Article 105 - O&amp;M Downstream Fish Passage Fund</t>
  </si>
  <si>
    <t>Article 511 - O&amp;M Decaying Wood Fund</t>
  </si>
  <si>
    <t>Article 505 - O&amp;M Aquatic Riparian Habitat Fund</t>
  </si>
  <si>
    <t>Article 602 - O&amp;M Recration Adaptive Mgmt Fund</t>
  </si>
  <si>
    <t>Article 514 - O&amp;M Use of Habitat Evaluation</t>
  </si>
  <si>
    <t>Article 101-Fish Propagation O&amp;M Fund</t>
  </si>
  <si>
    <t>Article 110-Shoreline Erosion O&amp;M Fund</t>
  </si>
  <si>
    <t>Article 502-Forest Habitat Capital Fund</t>
  </si>
  <si>
    <t>Article 502-Forest Habitat O&amp;M Fund</t>
  </si>
  <si>
    <t>Article 503-Elk Habitat Capital Fund</t>
  </si>
  <si>
    <t>Article 503-Elk Habitat O&amp;M Fund</t>
  </si>
  <si>
    <t>Article 504-Wetland Habitat Capital Fund</t>
  </si>
  <si>
    <t>Article 504-Wetland Habitat O&amp;M Fund</t>
  </si>
  <si>
    <t>Article 505-Aquatic Riparian Habitat Capital Fund</t>
  </si>
  <si>
    <t>Article 508-Noxious Weeds O&amp;M Fund</t>
  </si>
  <si>
    <t>Article 602-Terrestrial Enhance &amp;Research Fund O&amp;M</t>
  </si>
  <si>
    <t>Article 302 - Aesthetics Mgmt O&amp;M</t>
  </si>
  <si>
    <t>Article 304 - Bak Resr Rec Water Safety Pln O&amp;M</t>
  </si>
  <si>
    <t>California Carbon Obligation</t>
  </si>
  <si>
    <t>Article 602 - O&amp;M Cultural Resource Enhansmnt Fund</t>
  </si>
  <si>
    <t xml:space="preserve">Prepmts -  Linked In Advertising </t>
  </si>
  <si>
    <t>E3506 TSM Land &amp; Land Rights</t>
  </si>
  <si>
    <t>Brookfield Renewables</t>
  </si>
  <si>
    <t>Other Misc</t>
  </si>
  <si>
    <t>Elec Decouling Revenue</t>
  </si>
  <si>
    <t>EV Revenues</t>
  </si>
  <si>
    <t>a</t>
  </si>
  <si>
    <t>b</t>
  </si>
  <si>
    <t>c</t>
  </si>
  <si>
    <t>d</t>
  </si>
  <si>
    <t>PSE/16502313</t>
  </si>
  <si>
    <t xml:space="preserve">Prepaid - Insurance and Employee Benefits </t>
  </si>
  <si>
    <t>PSE/16502323</t>
  </si>
  <si>
    <t xml:space="preserve">Prepaid - General and Administrative </t>
  </si>
  <si>
    <t>PSE/16501273</t>
  </si>
  <si>
    <t>Prepaid - Amazon Web Services IAAS</t>
  </si>
  <si>
    <t>PSE/16502333</t>
  </si>
  <si>
    <t>Prepaid - Hardware/Software</t>
  </si>
  <si>
    <t>PSE/16502343</t>
  </si>
  <si>
    <t>Prepaid - Outside Services</t>
  </si>
  <si>
    <t>PSE/16502353</t>
  </si>
  <si>
    <t>Prepaid - Miscellaneous</t>
  </si>
  <si>
    <t>PSE/16504112</t>
  </si>
  <si>
    <t xml:space="preserve">Prepaid - Gas Options </t>
  </si>
  <si>
    <t>PSE/16501293</t>
  </si>
  <si>
    <t>Prepaid - Purchased Electricity</t>
  </si>
  <si>
    <t>permits</t>
  </si>
  <si>
    <t>Other Income Tax Adjustment</t>
  </si>
  <si>
    <t>145a</t>
  </si>
  <si>
    <t>Income Tax Adjustment</t>
  </si>
  <si>
    <t>145b</t>
  </si>
  <si>
    <t>Other Income Tax Adjustments</t>
  </si>
  <si>
    <t>Other Income Tax Adjustments - Grossed Up</t>
  </si>
  <si>
    <t>Other income Tax Adjustment x 1/(1-T)</t>
  </si>
  <si>
    <t>Line 145a * (1/(1 - Line 140))</t>
  </si>
  <si>
    <t>Wksheet 7</t>
  </si>
  <si>
    <t>Flow Through/net AFUDC (Note 1)</t>
  </si>
  <si>
    <t>Note 1: Flow through accounting is used for allowance for funds used during construction and construction period interest calculations.  The impact on tax expense is reflected in this adjustment.</t>
  </si>
  <si>
    <t>Protected Plant-related (Note b)</t>
  </si>
  <si>
    <t>Unprotected Plant-related (Note c)</t>
  </si>
  <si>
    <t>Unprotected Non-Plant related (Note d)</t>
  </si>
  <si>
    <t>Worksheet 7 - Excess and Deficient Accumulated Deferred Income Taxes (ADIT)</t>
  </si>
  <si>
    <t>Excess or Deficient ADIT Class</t>
  </si>
  <si>
    <t>Amortization Methodology &amp; Period</t>
  </si>
  <si>
    <t xml:space="preserve">Amortized Excess or Deficient ADIT </t>
  </si>
  <si>
    <t>Excess or Deficient ADIT and Net Flow Through Adjustment</t>
  </si>
  <si>
    <t>21a</t>
  </si>
  <si>
    <t>Revesal of Excess or Deficient ADIT and net Flow Through</t>
  </si>
  <si>
    <t>21b</t>
  </si>
  <si>
    <t>Grossed Up - Reversal of Excess/Dedicient ADIT and net Flow Through</t>
  </si>
  <si>
    <t>Line 21a x 1/(1-T)</t>
  </si>
  <si>
    <t>Line 21a * (1/(1 - Line 16))</t>
  </si>
  <si>
    <t>Line 21 + 21b + 22</t>
  </si>
  <si>
    <t>ARAM/Life of Asset</t>
  </si>
  <si>
    <t>"Protected Plant-related" means that applicable tax rules require that excess deferred taxes be reversed using the mandated average rate assumption method ("ARAM") over the remaining book lives of the underlying assets.</t>
  </si>
  <si>
    <t>"Unprotected Plant-related" balances are reversed using the average rate assumption method over the remaining book lives of the underlying assets.</t>
  </si>
  <si>
    <t>Total Amortized Excess or Deficient ADIT</t>
  </si>
  <si>
    <t>SFAS109</t>
  </si>
  <si>
    <t>gas related</t>
  </si>
  <si>
    <t>NERC Standards Compliance Loss Reserve</t>
  </si>
  <si>
    <t>Accrued - 401(k) ER Contributions %</t>
  </si>
  <si>
    <t>Accrual - 401(k) Match on Incentive Plan</t>
  </si>
  <si>
    <t>Article 507 - Loon Surveys &amp; Non-Game Species</t>
  </si>
  <si>
    <t>Electric - Town of Concrete Funding - BakLicImp</t>
  </si>
  <si>
    <t>Electric - Upper Skagit Tribe MOU - BakLicImp</t>
  </si>
  <si>
    <t>Electric - Sauk-Suiattle Agmt - BakLicImp</t>
  </si>
  <si>
    <t>Electric - Swinomish Tribe Agmt - BakLicImp</t>
  </si>
  <si>
    <t>Accrued - Sale of Transf Frequency Response - Elec</t>
  </si>
  <si>
    <t>Article 602 - O&amp;M Habitat Enhance, Rstr, Cons Fund</t>
  </si>
  <si>
    <t>Powerex Microsoft</t>
  </si>
  <si>
    <t>Exelon Generation</t>
  </si>
  <si>
    <t>BP Products North America Inc</t>
  </si>
  <si>
    <t>PSE/16504573</t>
  </si>
  <si>
    <t xml:space="preserve">Prepaid - Permits &amp; Fees </t>
  </si>
  <si>
    <t>PSE/16504553</t>
  </si>
  <si>
    <t>PSE/16504563</t>
  </si>
  <si>
    <t xml:space="preserve">Prepaid - Hardware/Software </t>
  </si>
  <si>
    <t>This section provides support for the remeasurement and amortization of excess or deficient ADIT that results from changes to federal, state, or local income tax rates.  PSE records its ADIT in FERC Accounts 190, 282, and 283.  Upon remeasurement, excess and deficient balances are amortized using FERC Accounts 410.1 and 411.1.</t>
  </si>
  <si>
    <t>ADIT Before Remeasurement</t>
  </si>
  <si>
    <t>ADIT After Remeasurement</t>
  </si>
  <si>
    <t>Excess/Deficient ADIT Balance at Remeasurement</t>
  </si>
  <si>
    <t>3 years/Straight Line</t>
  </si>
  <si>
    <t>WA</t>
  </si>
  <si>
    <t>OR</t>
  </si>
  <si>
    <t>Dynasty Power Inc</t>
  </si>
  <si>
    <t>Morgan Stanley Capital Group, Inc.</t>
  </si>
  <si>
    <t>Portland General Electric Company</t>
  </si>
  <si>
    <t>Center Drive Owners Association</t>
  </si>
  <si>
    <t>HollyFrontier Puget Sound Refining</t>
  </si>
  <si>
    <t>Tesoro Refining &amp; Marketing CMP</t>
  </si>
  <si>
    <t>Tax net operating loss carryforward</t>
  </si>
  <si>
    <t>Determination of Excess/Deficient ADIT (Note a)</t>
  </si>
  <si>
    <t>To calculate excess and deficient ADIT, PSE remeasured its ADIT balances.  Excess and deficient ADIT balances continue to reside in their original ADIT accounts (i.e., FERC 282, 283 and 190 accounts).  To reflect the rate change, PSE adjusted its FERC 254 account and adjusted its FERC 190, 282, and 283 accounts using tracking account to reflect the rate change.  The excess/deficient ADIT balances are amortized using FERC 411.1 and 410.1 accounts.</t>
  </si>
  <si>
    <t>FERC B/S Account Where ADIT Is Located</t>
  </si>
  <si>
    <t>FERC B/S Account for Excess (254) / Deficit (182.3) ADIT</t>
  </si>
  <si>
    <t>FERC I/S Account to Which Excess/ Deficient ADIT Is Amortized</t>
  </si>
  <si>
    <t>The remeasurement occurred as a result of the Federal tax rate change from 35% to 21% in the Tax Cut and Jobs Act as of 12/31/2017.
In the event of another tax rate change, this footnote will be updated to identify the new tax rate change, and the numbers in Columns E through K will change as follows: 
 - Column E and note d will be updated to reflect PSE's proposed amortization methodologies for unprotected non-plant-related ADIT balances resulting from the tax rate change. 
 - Column F will be updated to reflect the total ADIT balance immediately prior to the tax rate change. 
 - Column G will be updated to reflect the total ADIT at the new statutory rate.
 - Column H will show the new difference between columns F &amp; G - the total excess or deficiency.
 - Column I will reflect the actual balance of the excess or deficiency as of the end of the current reporting period.
 - Column J will show the reversal of the excess or deficit for the current reporting period.
 - Column K will be updated to reflect the gross-up associated with the excess or deficient ADIT balance.</t>
  </si>
  <si>
    <t>Unprotected Non-Plant balances are not subject to ARAM.  The 3 year amortization period was reached in an effort to balance the cash needs of the company and the timely pass back of the excess deferred taxes to customers.  This period is consisant with the approach approved by the Washington Utility and Transportation Commission (WUTC) in PSE's 2019 General Rate Case (GRC).</t>
  </si>
  <si>
    <t>e</t>
  </si>
  <si>
    <t>Column K represents the tax gross-up column I and is not included in rate base</t>
  </si>
  <si>
    <t>PSE/various 165</t>
  </si>
  <si>
    <t>Reversal of Excess Deferred Taxes Plant Related</t>
  </si>
  <si>
    <t>For 2022</t>
  </si>
  <si>
    <t>For 2021</t>
  </si>
  <si>
    <t>Guzman Energy</t>
  </si>
  <si>
    <t>Avangrid Renewables</t>
  </si>
  <si>
    <t xml:space="preserve">Avista Corporation </t>
  </si>
  <si>
    <t>CP Energy Marketing</t>
  </si>
  <si>
    <t>Mercuria Energy</t>
  </si>
  <si>
    <t>Rainbow Energy Marketing</t>
  </si>
  <si>
    <t>Vitol, Inc.</t>
  </si>
  <si>
    <t>PSE/16502673</t>
  </si>
  <si>
    <t>Prepaid Applications</t>
  </si>
  <si>
    <t xml:space="preserve">Prepaid - Goldendale </t>
  </si>
  <si>
    <t>FERC 355 Poles and Fixtures (p.207.52.g)</t>
  </si>
  <si>
    <t>Electric - WUTC SQI Penalty</t>
  </si>
  <si>
    <t>Article 512 - O&amp;M Bald Eagle Survey Fund</t>
  </si>
  <si>
    <t>Community Solar Olympia Center # Capital Fund</t>
  </si>
  <si>
    <t>5150 - Article 305 - Developed Recreation O&amp;M Fund</t>
  </si>
  <si>
    <t>Lease</t>
  </si>
  <si>
    <t xml:space="preserve">Other </t>
  </si>
  <si>
    <t>Non-Op</t>
  </si>
  <si>
    <t>Lease related</t>
  </si>
  <si>
    <t>Gas Related</t>
  </si>
  <si>
    <t>Plant Non-Utility</t>
  </si>
  <si>
    <t>Non-Utility</t>
  </si>
  <si>
    <t>Original Cost 12/31/2023</t>
  </si>
  <si>
    <t>Accumulated Depreciation 12/31/2023</t>
  </si>
  <si>
    <t>Net Plant 12/31/2023</t>
  </si>
  <si>
    <t>Excess/Deficient ADIT Reversal in 2023</t>
  </si>
  <si>
    <t>12/31/2023
Gross-Up on column (K)</t>
  </si>
  <si>
    <t>E3537 TSM Sub Eq, Sumas OP-SMS</t>
  </si>
  <si>
    <t>Prepaid - Colstrip Gen</t>
  </si>
  <si>
    <t>Prepaid Powerex Capacity</t>
  </si>
  <si>
    <t>Prepaid - Electric Vehicle</t>
  </si>
  <si>
    <t>Sacramento Municipal Utility District</t>
  </si>
  <si>
    <t>Turlock Irrigation District</t>
  </si>
  <si>
    <t>Rent from Colstrip #3 and #4</t>
  </si>
  <si>
    <t>Other Electric Revenues - CEIP</t>
  </si>
  <si>
    <t>12/31/2022 Excess/Deficient ADIT Balance</t>
  </si>
  <si>
    <t>Landlord Incentives</t>
  </si>
  <si>
    <t>Article 516 # Mountain Goats Required Funding</t>
  </si>
  <si>
    <t>Pole Expense Accrual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</si>
</sst>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_(* #,##0.0000_);_(* \(#,##0.0000\);_(* &quot;-&quot;??_);_(@_)"/>
    <numFmt numFmtId="173" formatCode="0.0000%"/>
    <numFmt numFmtId="174" formatCode="0.00000%"/>
    <numFmt numFmtId="175" formatCode="_(* #,##0.000_);_(* \(#,##0.000\);_(* &quot;-&quot;??_);_(@_)"/>
    <numFmt numFmtId="176" formatCode="_(* #,##0.00000_);_(* \(#,##0.00000\);_(* &quot;-&quot;??_);_(@_)"/>
    <numFmt numFmtId="177" formatCode="_(* #,##0.000000_);_(* \(#,##0.000000\);_(* &quot;-&quot;??_);_(@_)"/>
    <numFmt numFmtId="178" formatCode=";;;\(@\)"/>
    <numFmt numFmtId="179" formatCode="&quot; &quot;&quot;$&quot;* #,##0.00&quot;/kw  &quot;"/>
    <numFmt numFmtId="180" formatCode="* #,##0&quot;  &quot;\ "/>
    <numFmt numFmtId="181" formatCode="_(* #,##0.0_);_(* \(#,##0.0\);_(* &quot;-&quot;??_);_(@_)"/>
    <numFmt numFmtId="182" formatCode="0.000000"/>
    <numFmt numFmtId="183" formatCode="[$-409]mmm\-yy;@"/>
    <numFmt numFmtId="184" formatCode="[$-409]mmmm\-yy;@"/>
    <numFmt numFmtId="185" formatCode="0.000"/>
    <numFmt numFmtId="186" formatCode="&quot;$&quot;#,##0"/>
    <numFmt numFmtId="187" formatCode="#,##0.00;\-#,##0.00;#,##0.00"/>
    <numFmt numFmtId="188" formatCode="###,000"/>
    <numFmt numFmtId="189" formatCode="* #,##0;* \(#,##0\);* &quot;-&quot;;_(@_)"/>
  </numFmts>
  <fonts count="1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0"/>
      <name val="Arial"/>
      <family val="2"/>
    </font>
    <font>
      <sz val="12"/>
      <name val="Arial MT"/>
    </font>
    <font>
      <sz val="10"/>
      <color indexed="12"/>
      <name val="Arial"/>
      <family val="2"/>
    </font>
    <font>
      <b/>
      <sz val="14"/>
      <name val="Arial"/>
      <family val="2"/>
    </font>
    <font>
      <sz val="12"/>
      <color indexed="12"/>
      <name val="Helv"/>
    </font>
    <font>
      <sz val="12"/>
      <name val="Helv"/>
    </font>
    <font>
      <b/>
      <sz val="12"/>
      <name val="Helv"/>
    </font>
    <font>
      <sz val="12"/>
      <color indexed="13"/>
      <name val="Arial"/>
      <family val="2"/>
    </font>
    <font>
      <b/>
      <sz val="12"/>
      <color indexed="13"/>
      <name val="Arial"/>
      <family val="2"/>
    </font>
    <font>
      <b/>
      <sz val="12"/>
      <color indexed="13"/>
      <name val="Helv"/>
    </font>
    <font>
      <sz val="14"/>
      <name val="Arial"/>
      <family val="2"/>
    </font>
    <font>
      <sz val="12"/>
      <name val="Arial Narrow"/>
      <family val="2"/>
    </font>
    <font>
      <b/>
      <sz val="18"/>
      <name val="Arial"/>
      <family val="2"/>
    </font>
    <font>
      <b/>
      <i/>
      <sz val="10"/>
      <name val="Arial"/>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b/>
      <sz val="12"/>
      <color indexed="13"/>
      <name val="Helvetica"/>
      <family val="2"/>
    </font>
    <font>
      <sz val="14"/>
      <name val="Arial"/>
      <family val="2"/>
    </font>
    <font>
      <sz val="12"/>
      <color indexed="43"/>
      <name val="Arial"/>
      <family val="2"/>
    </font>
    <font>
      <sz val="10"/>
      <color indexed="10"/>
      <name val="Arial"/>
      <family val="2"/>
    </font>
    <font>
      <b/>
      <u/>
      <sz val="10"/>
      <name val="Arial"/>
      <family val="2"/>
    </font>
    <font>
      <b/>
      <sz val="11"/>
      <name val="Arial"/>
      <family val="2"/>
    </font>
    <font>
      <sz val="10"/>
      <color indexed="8"/>
      <name val="Arial"/>
      <family val="2"/>
    </font>
    <font>
      <sz val="10"/>
      <name val="Arial"/>
      <family val="2"/>
    </font>
    <font>
      <b/>
      <sz val="8"/>
      <name val="Arial"/>
      <family val="2"/>
    </font>
    <font>
      <sz val="8"/>
      <name val="Arial"/>
      <family val="2"/>
    </font>
    <font>
      <sz val="9"/>
      <name val="Arial Narrow"/>
      <family val="2"/>
    </font>
    <font>
      <sz val="8"/>
      <name val="Arial"/>
      <family val="2"/>
    </font>
    <font>
      <sz val="10"/>
      <color indexed="17"/>
      <name val="Arial"/>
      <family val="2"/>
    </font>
    <font>
      <sz val="10"/>
      <color indexed="17"/>
      <name val="Arial Narrow"/>
      <family val="2"/>
    </font>
    <font>
      <b/>
      <sz val="10"/>
      <color indexed="17"/>
      <name val="Arial Narrow"/>
      <family val="2"/>
    </font>
    <font>
      <sz val="10"/>
      <color indexed="17"/>
      <name val="Arial"/>
      <family val="2"/>
    </font>
    <font>
      <sz val="8"/>
      <color indexed="17"/>
      <name val="Arial"/>
      <family val="2"/>
    </font>
    <font>
      <sz val="10"/>
      <color indexed="10"/>
      <name val="Arial"/>
      <family val="2"/>
    </font>
    <font>
      <b/>
      <u/>
      <sz val="12"/>
      <name val="Arial"/>
      <family val="2"/>
    </font>
    <font>
      <b/>
      <sz val="12"/>
      <color indexed="12"/>
      <name val="Arial"/>
      <family val="2"/>
    </font>
    <font>
      <b/>
      <sz val="9"/>
      <color indexed="10"/>
      <name val="Arial"/>
      <family val="2"/>
    </font>
    <font>
      <sz val="12"/>
      <color indexed="36"/>
      <name val="Arial Narrow"/>
      <family val="2"/>
    </font>
    <font>
      <sz val="10"/>
      <color indexed="36"/>
      <name val="Arial Narrow"/>
      <family val="2"/>
    </font>
    <font>
      <sz val="12"/>
      <color indexed="17"/>
      <name val="Arial"/>
      <family val="2"/>
    </font>
    <font>
      <sz val="8"/>
      <name val="Arial"/>
      <family val="2"/>
    </font>
    <font>
      <sz val="10"/>
      <name val="Arial"/>
      <family val="2"/>
    </font>
    <font>
      <sz val="10"/>
      <color indexed="12"/>
      <name val="Arial"/>
      <family val="2"/>
    </font>
    <font>
      <u val="singleAccounting"/>
      <sz val="10"/>
      <name val="Times"/>
      <family val="1"/>
    </font>
    <font>
      <sz val="10"/>
      <name val="MS Sans Serif"/>
      <family val="2"/>
    </font>
    <font>
      <b/>
      <sz val="10"/>
      <name val="MS Sans Serif"/>
      <family val="2"/>
    </font>
    <font>
      <sz val="10"/>
      <color indexed="18"/>
      <name val="Arial"/>
      <family val="2"/>
    </font>
    <font>
      <sz val="9"/>
      <name val="Arial"/>
      <family val="2"/>
    </font>
    <font>
      <sz val="12"/>
      <color indexed="10"/>
      <name val="Arial"/>
      <family val="2"/>
    </font>
    <font>
      <sz val="8"/>
      <name val="Arial"/>
      <family val="2"/>
    </font>
    <font>
      <b/>
      <sz val="10"/>
      <color indexed="8"/>
      <name val="Arial"/>
      <family val="2"/>
    </font>
    <font>
      <sz val="10"/>
      <color indexed="8"/>
      <name val="Arial"/>
      <family val="2"/>
    </font>
    <font>
      <b/>
      <u/>
      <sz val="10"/>
      <color indexed="8"/>
      <name val="Arial"/>
      <family val="2"/>
    </font>
    <font>
      <b/>
      <u/>
      <sz val="11"/>
      <color indexed="8"/>
      <name val="Calibri"/>
      <family val="2"/>
    </font>
    <font>
      <sz val="11"/>
      <name val="Calibri"/>
      <family val="2"/>
    </font>
    <font>
      <sz val="11"/>
      <color indexed="8"/>
      <name val="Calibri"/>
      <family val="2"/>
    </font>
    <font>
      <b/>
      <i/>
      <sz val="14"/>
      <name val="Arial Narrow"/>
      <family val="2"/>
    </font>
    <font>
      <i/>
      <sz val="10"/>
      <name val="Arial"/>
      <family val="2"/>
    </font>
    <font>
      <b/>
      <i/>
      <sz val="11"/>
      <name val="Arial Narrow"/>
      <family val="2"/>
    </font>
    <font>
      <b/>
      <sz val="9"/>
      <name val="Arial Narrow"/>
      <family val="2"/>
    </font>
    <font>
      <sz val="9"/>
      <color indexed="10"/>
      <name val="Arial Narrow"/>
      <family val="2"/>
    </font>
    <font>
      <b/>
      <sz val="9"/>
      <color indexed="10"/>
      <name val="Arial Narrow"/>
      <family val="2"/>
    </font>
    <font>
      <b/>
      <i/>
      <sz val="12"/>
      <name val="Arial Narrow"/>
      <family val="2"/>
    </font>
    <font>
      <sz val="10"/>
      <name val="Arial"/>
      <family val="2"/>
    </font>
    <font>
      <sz val="10"/>
      <color indexed="9"/>
      <name val="Arial"/>
      <family val="2"/>
    </font>
    <font>
      <u/>
      <sz val="8"/>
      <name val="Arial"/>
      <family val="2"/>
    </font>
    <font>
      <sz val="14"/>
      <name val="Arial Narrow"/>
      <family val="2"/>
    </font>
    <font>
      <b/>
      <sz val="14"/>
      <color indexed="10"/>
      <name val="Arial Narrow"/>
      <family val="2"/>
    </font>
    <font>
      <b/>
      <sz val="14"/>
      <name val="Arial Narrow"/>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sz val="10"/>
      <color indexed="10"/>
      <name val="Arial"/>
      <family val="2"/>
    </font>
    <font>
      <sz val="11"/>
      <name val="Arial"/>
      <family val="2"/>
    </font>
    <font>
      <sz val="9"/>
      <name val="Arial"/>
      <family val="2"/>
    </font>
    <font>
      <b/>
      <sz val="10"/>
      <color indexed="17"/>
      <name val="Arial"/>
      <family val="2"/>
    </font>
    <font>
      <b/>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52"/>
      <name val="Calibri"/>
      <family val="2"/>
    </font>
    <font>
      <sz val="11"/>
      <color indexed="60"/>
      <name val="Calibri"/>
      <family val="2"/>
    </font>
    <font>
      <sz val="12"/>
      <name val="SWISS"/>
    </font>
    <font>
      <b/>
      <sz val="18"/>
      <color indexed="56"/>
      <name val="Cambria"/>
      <family val="2"/>
    </font>
    <font>
      <u/>
      <sz val="10"/>
      <name val="Arial"/>
      <family val="2"/>
    </font>
    <font>
      <sz val="10"/>
      <color indexed="10"/>
      <name val="Arial"/>
      <family val="2"/>
    </font>
    <font>
      <vertAlign val="superscript"/>
      <sz val="12"/>
      <name val="Arial"/>
      <family val="2"/>
    </font>
    <font>
      <u/>
      <vertAlign val="superscript"/>
      <sz val="12"/>
      <name val="Arial"/>
      <family val="2"/>
    </font>
    <font>
      <u/>
      <sz val="12"/>
      <name val="Arial"/>
      <family val="2"/>
    </font>
    <font>
      <sz val="10"/>
      <name val="Segoe UI"/>
      <family val="2"/>
    </font>
    <font>
      <b/>
      <i/>
      <sz val="12"/>
      <name val="Arial"/>
      <family val="2"/>
    </font>
    <font>
      <sz val="10"/>
      <name val="Arial"/>
      <family val="2"/>
    </font>
    <font>
      <b/>
      <sz val="10"/>
      <name val="Helv"/>
    </font>
    <font>
      <sz val="10"/>
      <name val="Arial"/>
      <family val="2"/>
    </font>
    <font>
      <sz val="9"/>
      <color indexed="11"/>
      <name val="Arial Narrow"/>
      <family val="2"/>
    </font>
    <font>
      <b/>
      <sz val="9"/>
      <color indexed="11"/>
      <name val="Arial Narrow"/>
      <family val="2"/>
    </font>
    <font>
      <sz val="10"/>
      <color indexed="11"/>
      <name val="Arial"/>
      <family val="2"/>
    </font>
    <font>
      <sz val="9"/>
      <color indexed="56"/>
      <name val="Arial Narrow"/>
      <family val="2"/>
    </font>
    <font>
      <b/>
      <sz val="14"/>
      <color indexed="12"/>
      <name val="Arial"/>
      <family val="2"/>
    </font>
    <font>
      <sz val="11"/>
      <color theme="1"/>
      <name val="Calibri"/>
      <family val="2"/>
      <scheme val="minor"/>
    </font>
    <font>
      <sz val="11"/>
      <color theme="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Arial"/>
      <family val="2"/>
    </font>
    <font>
      <b/>
      <sz val="10"/>
      <color rgb="FFFF0000"/>
      <name val="Arial"/>
      <family val="2"/>
    </font>
    <font>
      <sz val="10"/>
      <color rgb="FF000000"/>
      <name val="Arial"/>
      <family val="2"/>
    </font>
    <font>
      <b/>
      <sz val="10"/>
      <color rgb="FFFF0000"/>
      <name val="Arial Narrow"/>
      <family val="2"/>
    </font>
    <font>
      <b/>
      <sz val="8"/>
      <color rgb="FFFF0000"/>
      <name val="Arial"/>
      <family val="2"/>
    </font>
    <font>
      <b/>
      <sz val="9"/>
      <color rgb="FF7030A0"/>
      <name val="Arial Narrow"/>
      <family val="2"/>
    </font>
    <font>
      <b/>
      <sz val="10"/>
      <color rgb="FF7030A0"/>
      <name val="Arial"/>
      <family val="2"/>
    </font>
    <font>
      <sz val="10"/>
      <name val="Arial"/>
      <family val="2"/>
    </font>
    <font>
      <sz val="8"/>
      <color theme="1"/>
      <name val="Arial"/>
      <family val="2"/>
    </font>
    <font>
      <b/>
      <u/>
      <sz val="9"/>
      <name val="Arial Narrow"/>
      <family val="2"/>
    </font>
    <font>
      <b/>
      <sz val="12"/>
      <name val="Arial Narrow"/>
      <family val="2"/>
    </font>
    <font>
      <sz val="9"/>
      <color rgb="FFFF0000"/>
      <name val="Arial Narrow"/>
      <family val="2"/>
    </font>
    <font>
      <b/>
      <sz val="9"/>
      <color rgb="FFFF0000"/>
      <name val="Arial Narrow"/>
      <family val="2"/>
    </font>
    <font>
      <sz val="10"/>
      <color indexed="10"/>
      <name val="Arial Narrow"/>
      <family val="2"/>
    </font>
    <font>
      <sz val="14"/>
      <color theme="1"/>
      <name val="Calibri"/>
      <family val="2"/>
      <scheme val="minor"/>
    </font>
    <font>
      <sz val="8"/>
      <color rgb="FF000000"/>
      <name val="Verdana"/>
      <family val="2"/>
    </font>
    <font>
      <sz val="8"/>
      <color rgb="FF1F497D"/>
      <name val="Verdana"/>
      <family val="2"/>
    </font>
    <font>
      <sz val="10"/>
      <color theme="1"/>
      <name val="Arial"/>
      <family val="2"/>
    </font>
    <font>
      <sz val="8"/>
      <color rgb="FF000000"/>
      <name val="Arial"/>
      <family val="2"/>
    </font>
    <font>
      <b/>
      <sz val="14"/>
      <color theme="1"/>
      <name val="Arial"/>
      <family val="2"/>
    </font>
    <font>
      <b/>
      <sz val="12"/>
      <color theme="1"/>
      <name val="Arial"/>
      <family val="2"/>
    </font>
    <font>
      <b/>
      <u/>
      <sz val="10"/>
      <color theme="1"/>
      <name val="Arial"/>
      <family val="2"/>
    </font>
    <font>
      <b/>
      <sz val="10"/>
      <color theme="1"/>
      <name val="Arial"/>
      <family val="2"/>
    </font>
    <font>
      <sz val="10"/>
      <name val="Arial"/>
    </font>
  </fonts>
  <fills count="73">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43"/>
      </patternFill>
    </fill>
    <fill>
      <patternFill patternType="mediumGray">
        <fgColor indexed="22"/>
      </patternFill>
    </fill>
    <fill>
      <patternFill patternType="solid">
        <fgColor indexed="31"/>
        <bgColor indexed="64"/>
      </patternFill>
    </fill>
    <fill>
      <patternFill patternType="solid">
        <fgColor indexed="35"/>
        <bgColor indexed="64"/>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9"/>
        <bgColor indexed="64"/>
      </patternFill>
    </fill>
    <fill>
      <patternFill patternType="solid">
        <fgColor indexed="47"/>
        <bgColor indexed="64"/>
      </patternFill>
    </fill>
    <fill>
      <patternFill patternType="solid">
        <fgColor indexed="13"/>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86"/>
        <bgColor indexed="64"/>
      </patternFill>
    </fill>
    <fill>
      <patternFill patternType="solid">
        <fgColor rgb="FFB7CFE8"/>
        <bgColor rgb="FF000000"/>
      </patternFill>
    </fill>
    <fill>
      <patternFill patternType="solid">
        <fgColor rgb="FFFFFF99"/>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1159">
    <xf numFmtId="0" fontId="0" fillId="0"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93" fillId="14" borderId="0" applyNumberFormat="0" applyBorder="0" applyAlignment="0" applyProtection="0"/>
    <xf numFmtId="0" fontId="93" fillId="4" borderId="0" applyNumberFormat="0" applyBorder="0" applyAlignment="0" applyProtection="0"/>
    <xf numFmtId="0" fontId="93" fillId="11"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9" borderId="0" applyNumberFormat="0" applyBorder="0" applyAlignment="0" applyProtection="0"/>
    <xf numFmtId="0" fontId="93" fillId="20"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21" borderId="0" applyNumberFormat="0" applyBorder="0" applyAlignment="0" applyProtection="0"/>
    <xf numFmtId="0" fontId="94" fillId="5" borderId="0" applyNumberFormat="0" applyBorder="0" applyAlignment="0" applyProtection="0"/>
    <xf numFmtId="0" fontId="105" fillId="12" borderId="1" applyNumberFormat="0" applyAlignment="0" applyProtection="0"/>
    <xf numFmtId="0" fontId="95" fillId="22" borderId="2" applyNumberFormat="0" applyAlignment="0" applyProtection="0"/>
    <xf numFmtId="178" fontId="67" fillId="0" borderId="0">
      <alignment horizont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23" borderId="0" applyFont="0" applyFill="0" applyBorder="0" applyAlignment="0" applyProtection="0"/>
    <xf numFmtId="0" fontId="8" fillId="0" borderId="3"/>
    <xf numFmtId="179" fontId="12" fillId="0" borderId="0">
      <protection locked="0"/>
    </xf>
    <xf numFmtId="44" fontId="8" fillId="0" borderId="0" applyFont="0" applyFill="0" applyBorder="0" applyAlignment="0" applyProtection="0"/>
    <xf numFmtId="44" fontId="1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5" fontId="8" fillId="23" borderId="0" applyFont="0" applyFill="0" applyBorder="0" applyAlignment="0" applyProtection="0"/>
    <xf numFmtId="0" fontId="8" fillId="23" borderId="0" applyFont="0" applyFill="0" applyBorder="0" applyAlignment="0" applyProtection="0"/>
    <xf numFmtId="0" fontId="96" fillId="0" borderId="0" applyNumberFormat="0" applyFill="0" applyBorder="0" applyAlignment="0" applyProtection="0"/>
    <xf numFmtId="2" fontId="8" fillId="23" borderId="0" applyFont="0" applyFill="0" applyBorder="0" applyAlignment="0" applyProtection="0"/>
    <xf numFmtId="0" fontId="106" fillId="7" borderId="0" applyNumberFormat="0" applyBorder="0" applyAlignment="0" applyProtection="0"/>
    <xf numFmtId="0" fontId="107" fillId="0" borderId="4" applyNumberFormat="0" applyFill="0" applyAlignment="0" applyProtection="0"/>
    <xf numFmtId="0" fontId="108" fillId="0" borderId="5" applyNumberFormat="0" applyFill="0" applyAlignment="0" applyProtection="0"/>
    <xf numFmtId="0" fontId="109" fillId="0" borderId="6"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97" fillId="8" borderId="1" applyNumberFormat="0" applyAlignment="0" applyProtection="0"/>
    <xf numFmtId="180" fontId="12" fillId="0" borderId="0">
      <alignment horizontal="center"/>
      <protection locked="0"/>
    </xf>
    <xf numFmtId="0" fontId="111" fillId="0" borderId="7" applyNumberFormat="0" applyFill="0" applyAlignment="0" applyProtection="0"/>
    <xf numFmtId="0" fontId="112" fillId="24" borderId="0" applyNumberFormat="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5" fillId="0" borderId="0"/>
    <xf numFmtId="0" fontId="6" fillId="0" borderId="0"/>
    <xf numFmtId="0" fontId="5" fillId="0" borderId="0"/>
    <xf numFmtId="0" fontId="5" fillId="0" borderId="0"/>
    <xf numFmtId="0" fontId="8" fillId="0" borderId="0"/>
    <xf numFmtId="0" fontId="5" fillId="0" borderId="0"/>
    <xf numFmtId="0" fontId="6" fillId="0" borderId="0"/>
    <xf numFmtId="0" fontId="6" fillId="0" borderId="0"/>
    <xf numFmtId="183" fontId="8" fillId="0" borderId="0"/>
    <xf numFmtId="0" fontId="5" fillId="0" borderId="0"/>
    <xf numFmtId="183" fontId="8" fillId="0" borderId="0"/>
    <xf numFmtId="0" fontId="5" fillId="0" borderId="0"/>
    <xf numFmtId="0" fontId="113" fillId="0" borderId="0"/>
    <xf numFmtId="0" fontId="8" fillId="0" borderId="0"/>
    <xf numFmtId="0" fontId="18" fillId="0" borderId="0"/>
    <xf numFmtId="0" fontId="18" fillId="0" borderId="0"/>
    <xf numFmtId="0" fontId="8" fillId="0" borderId="0"/>
    <xf numFmtId="0" fontId="8" fillId="0" borderId="0"/>
    <xf numFmtId="183" fontId="8" fillId="0" borderId="0"/>
    <xf numFmtId="183"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1" fillId="0" borderId="0"/>
    <xf numFmtId="0" fontId="6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8" fillId="0" borderId="0"/>
    <xf numFmtId="0" fontId="8" fillId="0" borderId="0"/>
    <xf numFmtId="0" fontId="130" fillId="0" borderId="0"/>
    <xf numFmtId="0" fontId="8" fillId="0" borderId="0"/>
    <xf numFmtId="0" fontId="8" fillId="0" borderId="0"/>
    <xf numFmtId="0" fontId="8" fillId="0" borderId="0"/>
    <xf numFmtId="0" fontId="5" fillId="0" borderId="0"/>
    <xf numFmtId="0" fontId="1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39" fontId="13" fillId="0" borderId="0"/>
    <xf numFmtId="170" fontId="19" fillId="0" borderId="0" applyProtection="0"/>
    <xf numFmtId="39" fontId="13" fillId="0" borderId="0"/>
    <xf numFmtId="0" fontId="8" fillId="0" borderId="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8"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99" fillId="12" borderId="9" applyNumberFormat="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69" fillId="0" borderId="10">
      <alignment horizontal="center"/>
    </xf>
    <xf numFmtId="3" fontId="68" fillId="0" borderId="0" applyFont="0" applyFill="0" applyBorder="0" applyAlignment="0" applyProtection="0"/>
    <xf numFmtId="0" fontId="68" fillId="25" borderId="0" applyNumberFormat="0" applyFont="0" applyBorder="0" applyAlignment="0" applyProtection="0"/>
    <xf numFmtId="0" fontId="8" fillId="26" borderId="9" applyNumberFormat="0" applyProtection="0">
      <alignment horizontal="left" vertical="center" indent="1"/>
    </xf>
    <xf numFmtId="4" fontId="46" fillId="27" borderId="9" applyNumberFormat="0" applyProtection="0">
      <alignment horizontal="right" vertical="center"/>
    </xf>
    <xf numFmtId="0" fontId="8" fillId="26" borderId="9" applyNumberFormat="0" applyProtection="0">
      <alignment horizontal="left" vertical="center" indent="1"/>
    </xf>
    <xf numFmtId="0" fontId="8" fillId="26" borderId="9" applyNumberFormat="0" applyProtection="0">
      <alignment horizontal="left" vertical="center" indent="1"/>
    </xf>
    <xf numFmtId="0" fontId="21" fillId="28"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8" fillId="29" borderId="3" applyNumberFormat="0" applyFont="0" applyAlignment="0"/>
    <xf numFmtId="0" fontId="114" fillId="0" borderId="0" applyNumberFormat="0" applyFill="0" applyBorder="0" applyAlignment="0" applyProtection="0"/>
    <xf numFmtId="0" fontId="100" fillId="0" borderId="11" applyNumberFormat="0" applyFill="0" applyAlignment="0" applyProtection="0"/>
    <xf numFmtId="0" fontId="98" fillId="0" borderId="0" applyNumberFormat="0" applyFill="0" applyBorder="0" applyAlignment="0" applyProtection="0"/>
    <xf numFmtId="0" fontId="132" fillId="0" borderId="0" applyNumberFormat="0" applyFill="0" applyBorder="0" applyAlignment="0" applyProtection="0"/>
    <xf numFmtId="0" fontId="133" fillId="0" borderId="72" applyNumberFormat="0" applyFill="0" applyAlignment="0" applyProtection="0"/>
    <xf numFmtId="0" fontId="134" fillId="0" borderId="73" applyNumberFormat="0" applyFill="0" applyAlignment="0" applyProtection="0"/>
    <xf numFmtId="0" fontId="135" fillId="0" borderId="74" applyNumberFormat="0" applyFill="0" applyAlignment="0" applyProtection="0"/>
    <xf numFmtId="0" fontId="135" fillId="0" borderId="0" applyNumberFormat="0" applyFill="0" applyBorder="0" applyAlignment="0" applyProtection="0"/>
    <xf numFmtId="0" fontId="136" fillId="38" borderId="0" applyNumberFormat="0" applyBorder="0" applyAlignment="0" applyProtection="0"/>
    <xf numFmtId="0" fontId="137" fillId="39" borderId="0" applyNumberFormat="0" applyBorder="0" applyAlignment="0" applyProtection="0"/>
    <xf numFmtId="0" fontId="138" fillId="40" borderId="0" applyNumberFormat="0" applyBorder="0" applyAlignment="0" applyProtection="0"/>
    <xf numFmtId="0" fontId="139" fillId="41" borderId="75" applyNumberFormat="0" applyAlignment="0" applyProtection="0"/>
    <xf numFmtId="0" fontId="140" fillId="42" borderId="76" applyNumberFormat="0" applyAlignment="0" applyProtection="0"/>
    <xf numFmtId="0" fontId="141" fillId="42" borderId="75" applyNumberFormat="0" applyAlignment="0" applyProtection="0"/>
    <xf numFmtId="0" fontId="142" fillId="0" borderId="77" applyNumberFormat="0" applyFill="0" applyAlignment="0" applyProtection="0"/>
    <xf numFmtId="0" fontId="143" fillId="43" borderId="78" applyNumberFormat="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80" applyNumberFormat="0" applyFill="0" applyAlignment="0" applyProtection="0"/>
    <xf numFmtId="0" fontId="147"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147" fillId="48" borderId="0" applyNumberFormat="0" applyBorder="0" applyAlignment="0" applyProtection="0"/>
    <xf numFmtId="0" fontId="147"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147" fillId="52" borderId="0" applyNumberFormat="0" applyBorder="0" applyAlignment="0" applyProtection="0"/>
    <xf numFmtId="0" fontId="147"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147" fillId="56" borderId="0" applyNumberFormat="0" applyBorder="0" applyAlignment="0" applyProtection="0"/>
    <xf numFmtId="0" fontId="147"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147" fillId="60" borderId="0" applyNumberFormat="0" applyBorder="0" applyAlignment="0" applyProtection="0"/>
    <xf numFmtId="0" fontId="147"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147" fillId="64" borderId="0" applyNumberFormat="0" applyBorder="0" applyAlignment="0" applyProtection="0"/>
    <xf numFmtId="0" fontId="147"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47" fillId="68" borderId="0" applyNumberFormat="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44" borderId="79" applyNumberFormat="0" applyFont="0" applyAlignment="0" applyProtection="0"/>
    <xf numFmtId="0" fontId="4" fillId="0" borderId="0"/>
    <xf numFmtId="9" fontId="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44" borderId="79" applyNumberFormat="0" applyFont="0" applyAlignment="0" applyProtection="0"/>
    <xf numFmtId="0" fontId="4" fillId="44" borderId="79" applyNumberFormat="0" applyFont="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0" fontId="3" fillId="63" borderId="0" applyNumberFormat="0" applyBorder="0" applyAlignment="0" applyProtection="0"/>
    <xf numFmtId="0" fontId="3" fillId="67" borderId="0" applyNumberFormat="0" applyBorder="0" applyAlignment="0" applyProtection="0"/>
    <xf numFmtId="0" fontId="3" fillId="44" borderId="79"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44" borderId="79" applyNumberFormat="0" applyFont="0" applyAlignment="0" applyProtection="0"/>
    <xf numFmtId="0" fontId="3" fillId="0" borderId="0"/>
    <xf numFmtId="0" fontId="3" fillId="44" borderId="79" applyNumberFormat="0" applyFont="0" applyAlignment="0" applyProtection="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8"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8" fillId="0" borderId="0"/>
    <xf numFmtId="0" fontId="3" fillId="44" borderId="79"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8" fillId="6" borderId="8" applyNumberFormat="0" applyFont="0" applyAlignment="0" applyProtection="0"/>
    <xf numFmtId="0" fontId="8" fillId="6" borderId="8" applyNumberFormat="0" applyFont="0" applyAlignment="0" applyProtection="0"/>
    <xf numFmtId="0" fontId="3" fillId="0" borderId="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43" fontId="8" fillId="0" borderId="0" applyFont="0" applyFill="0" applyBorder="0" applyAlignment="0" applyProtection="0"/>
    <xf numFmtId="0" fontId="8" fillId="0" borderId="0"/>
    <xf numFmtId="0" fontId="3" fillId="0" borderId="0"/>
    <xf numFmtId="44" fontId="8" fillId="0" borderId="0" applyFont="0" applyFill="0" applyBorder="0" applyAlignment="0" applyProtection="0"/>
    <xf numFmtId="0" fontId="8" fillId="6" borderId="8" applyNumberFormat="0" applyFont="0" applyAlignment="0" applyProtection="0"/>
    <xf numFmtId="43" fontId="8" fillId="0" borderId="0" applyFont="0" applyFill="0" applyBorder="0" applyAlignment="0" applyProtection="0"/>
    <xf numFmtId="44"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43" fontId="8" fillId="0" borderId="0" applyNumberFormat="0" applyFill="0" applyBorder="0" applyAlignment="0" applyProtection="0"/>
    <xf numFmtId="0" fontId="3" fillId="44" borderId="79" applyNumberFormat="0" applyFont="0" applyAlignment="0" applyProtection="0"/>
    <xf numFmtId="0" fontId="3" fillId="0" borderId="0"/>
    <xf numFmtId="0" fontId="3" fillId="0" borderId="0"/>
    <xf numFmtId="0" fontId="8" fillId="6" borderId="8" applyNumberFormat="0" applyFont="0" applyAlignment="0" applyProtection="0"/>
    <xf numFmtId="9"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0" fontId="3" fillId="0" borderId="0"/>
    <xf numFmtId="0" fontId="8" fillId="0" borderId="0"/>
    <xf numFmtId="0" fontId="2" fillId="0" borderId="0"/>
    <xf numFmtId="0" fontId="2" fillId="0" borderId="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2" fillId="58"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4" borderId="79" applyNumberFormat="0" applyFon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1" fillId="0" borderId="0"/>
    <xf numFmtId="0" fontId="1" fillId="0" borderId="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67" borderId="0" applyNumberFormat="0" applyBorder="0" applyAlignment="0" applyProtection="0"/>
    <xf numFmtId="0" fontId="1" fillId="44" borderId="7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63" fillId="71" borderId="82" applyNumberFormat="0" applyAlignment="0" applyProtection="0">
      <alignment horizontal="left" vertical="center" indent="1"/>
    </xf>
    <xf numFmtId="188" fontId="164" fillId="0" borderId="83" applyNumberFormat="0" applyProtection="0">
      <alignment horizontal="right" vertical="center"/>
    </xf>
    <xf numFmtId="43" fontId="8" fillId="0" borderId="0" applyFont="0" applyFill="0" applyBorder="0" applyAlignment="0" applyProtection="0"/>
    <xf numFmtId="41" fontId="8" fillId="0" borderId="0" applyFont="0" applyFill="0" applyBorder="0" applyAlignment="0" applyProtection="0"/>
  </cellStyleXfs>
  <cellXfs count="2030">
    <xf numFmtId="0" fontId="0" fillId="0" borderId="0" xfId="0"/>
    <xf numFmtId="0" fontId="10" fillId="0" borderId="0" xfId="0" applyFont="1"/>
    <xf numFmtId="0" fontId="0" fillId="0" borderId="0" xfId="0" applyFill="1"/>
    <xf numFmtId="0" fontId="10" fillId="0" borderId="0" xfId="0" applyNumberFormat="1" applyFont="1" applyFill="1" applyAlignment="1"/>
    <xf numFmtId="0" fontId="12" fillId="0" borderId="0" xfId="0" applyNumberFormat="1" applyFont="1" applyAlignment="1">
      <alignment horizontal="center"/>
    </xf>
    <xf numFmtId="0" fontId="12" fillId="0" borderId="0" xfId="0" applyFont="1" applyAlignment="1"/>
    <xf numFmtId="0" fontId="10" fillId="0" borderId="12" xfId="0" applyFont="1" applyBorder="1"/>
    <xf numFmtId="173" fontId="10" fillId="0" borderId="0" xfId="633" applyNumberFormat="1" applyFont="1" applyAlignment="1"/>
    <xf numFmtId="0" fontId="10" fillId="0" borderId="12" xfId="0" applyNumberFormat="1" applyFont="1" applyFill="1" applyBorder="1" applyAlignment="1"/>
    <xf numFmtId="0" fontId="10" fillId="0" borderId="13" xfId="0" applyNumberFormat="1" applyFont="1" applyFill="1" applyBorder="1" applyAlignment="1"/>
    <xf numFmtId="0" fontId="10" fillId="0" borderId="13" xfId="0" applyFont="1" applyBorder="1"/>
    <xf numFmtId="0" fontId="10" fillId="0" borderId="0" xfId="0" applyNumberFormat="1" applyFont="1" applyFill="1" applyBorder="1" applyAlignment="1"/>
    <xf numFmtId="0" fontId="12" fillId="0" borderId="0" xfId="0" applyFont="1"/>
    <xf numFmtId="0" fontId="12" fillId="0" borderId="0" xfId="0" applyNumberFormat="1" applyFont="1" applyAlignment="1">
      <alignment horizontal="left"/>
    </xf>
    <xf numFmtId="0" fontId="12" fillId="0" borderId="0" xfId="0" applyFont="1" applyFill="1" applyAlignment="1"/>
    <xf numFmtId="0" fontId="12" fillId="0" borderId="0" xfId="0" applyFont="1" applyFill="1"/>
    <xf numFmtId="0" fontId="12" fillId="0" borderId="12" xfId="0" applyNumberFormat="1" applyFont="1" applyFill="1" applyBorder="1" applyAlignment="1">
      <alignment horizontal="left"/>
    </xf>
    <xf numFmtId="0" fontId="12" fillId="0" borderId="12" xfId="0" applyFont="1" applyFill="1" applyBorder="1" applyAlignment="1"/>
    <xf numFmtId="0" fontId="12" fillId="0" borderId="12" xfId="0" applyFont="1" applyBorder="1"/>
    <xf numFmtId="0" fontId="12" fillId="0" borderId="12" xfId="0" applyFont="1" applyFill="1" applyBorder="1"/>
    <xf numFmtId="0" fontId="12" fillId="0" borderId="12" xfId="0" applyFont="1" applyBorder="1" applyAlignment="1"/>
    <xf numFmtId="0" fontId="12" fillId="0" borderId="0" xfId="0" applyFont="1" applyBorder="1" applyAlignment="1"/>
    <xf numFmtId="0" fontId="12" fillId="0" borderId="0" xfId="0" applyNumberFormat="1" applyFont="1" applyFill="1" applyAlignment="1">
      <alignment horizontal="center"/>
    </xf>
    <xf numFmtId="0" fontId="12" fillId="0" borderId="0" xfId="0" applyNumberFormat="1" applyFont="1" applyBorder="1" applyAlignment="1">
      <alignment horizontal="center"/>
    </xf>
    <xf numFmtId="0" fontId="12" fillId="0" borderId="0" xfId="0" applyNumberFormat="1" applyFont="1" applyBorder="1" applyAlignment="1">
      <alignment horizontal="left"/>
    </xf>
    <xf numFmtId="0" fontId="12" fillId="0" borderId="0" xfId="0" applyFont="1" applyFill="1" applyBorder="1" applyAlignment="1"/>
    <xf numFmtId="0" fontId="12" fillId="0" borderId="0" xfId="0" applyFont="1" applyBorder="1"/>
    <xf numFmtId="0" fontId="10" fillId="0" borderId="0" xfId="0" applyNumberFormat="1" applyFont="1" applyBorder="1" applyAlignment="1"/>
    <xf numFmtId="0" fontId="10" fillId="0" borderId="12" xfId="0" applyNumberFormat="1" applyFont="1" applyBorder="1" applyAlignment="1"/>
    <xf numFmtId="0" fontId="26" fillId="30" borderId="0" xfId="0" applyFont="1" applyFill="1" applyBorder="1" applyAlignment="1"/>
    <xf numFmtId="0" fontId="26" fillId="30" borderId="0" xfId="0" applyFont="1" applyFill="1" applyBorder="1" applyAlignment="1">
      <alignment horizontal="left"/>
    </xf>
    <xf numFmtId="0" fontId="12" fillId="0" borderId="0" xfId="0" applyFont="1" applyAlignment="1">
      <alignment horizontal="center"/>
    </xf>
    <xf numFmtId="0" fontId="12" fillId="0" borderId="14" xfId="0" applyFont="1" applyFill="1" applyBorder="1" applyAlignment="1">
      <alignment horizontal="left"/>
    </xf>
    <xf numFmtId="0" fontId="12" fillId="0" borderId="14" xfId="0" applyNumberFormat="1" applyFont="1" applyBorder="1" applyAlignment="1">
      <alignment horizontal="left"/>
    </xf>
    <xf numFmtId="0" fontId="12" fillId="0" borderId="0" xfId="0" applyFont="1" applyFill="1" applyBorder="1" applyAlignment="1">
      <alignment horizontal="left"/>
    </xf>
    <xf numFmtId="0" fontId="12" fillId="0" borderId="14" xfId="0" applyFont="1" applyBorder="1" applyAlignment="1"/>
    <xf numFmtId="0" fontId="12" fillId="0" borderId="0" xfId="0" applyFont="1" applyFill="1" applyBorder="1"/>
    <xf numFmtId="0" fontId="10" fillId="0" borderId="13" xfId="0" applyFont="1" applyBorder="1" applyAlignment="1"/>
    <xf numFmtId="0" fontId="12" fillId="0" borderId="13" xfId="0" applyFont="1" applyBorder="1"/>
    <xf numFmtId="168" fontId="10" fillId="0" borderId="13" xfId="0" applyNumberFormat="1" applyFont="1" applyBorder="1" applyAlignment="1">
      <alignment horizontal="left"/>
    </xf>
    <xf numFmtId="0" fontId="12" fillId="30" borderId="0" xfId="0" applyFont="1" applyFill="1" applyBorder="1" applyAlignment="1"/>
    <xf numFmtId="0" fontId="12" fillId="30" borderId="0" xfId="0" applyFont="1" applyFill="1" applyBorder="1"/>
    <xf numFmtId="0" fontId="12" fillId="0" borderId="13" xfId="0" applyFont="1" applyFill="1" applyBorder="1" applyAlignment="1"/>
    <xf numFmtId="0" fontId="26" fillId="0" borderId="0" xfId="0" applyFont="1" applyFill="1" applyBorder="1" applyAlignment="1"/>
    <xf numFmtId="0" fontId="12" fillId="30" borderId="0" xfId="0" applyFont="1" applyFill="1" applyAlignment="1"/>
    <xf numFmtId="0" fontId="12" fillId="30" borderId="0" xfId="0" applyFont="1" applyFill="1"/>
    <xf numFmtId="0" fontId="12" fillId="30" borderId="0" xfId="0" applyFont="1" applyFill="1" applyBorder="1" applyAlignment="1">
      <alignment horizontal="center" wrapText="1"/>
    </xf>
    <xf numFmtId="0" fontId="10" fillId="0" borderId="0" xfId="0" applyFont="1" applyBorder="1" applyAlignment="1"/>
    <xf numFmtId="168" fontId="10" fillId="0" borderId="0" xfId="0" applyNumberFormat="1" applyFont="1" applyBorder="1" applyAlignment="1">
      <alignment horizontal="left"/>
    </xf>
    <xf numFmtId="0" fontId="10" fillId="0" borderId="12" xfId="0" applyNumberFormat="1" applyFont="1" applyBorder="1" applyAlignment="1">
      <alignment horizontal="left"/>
    </xf>
    <xf numFmtId="0" fontId="10" fillId="0" borderId="12" xfId="0" applyFont="1" applyFill="1" applyBorder="1" applyAlignment="1"/>
    <xf numFmtId="0" fontId="12" fillId="30" borderId="0" xfId="0" applyNumberFormat="1" applyFont="1" applyFill="1" applyAlignment="1">
      <alignment horizontal="center"/>
    </xf>
    <xf numFmtId="0" fontId="26" fillId="30" borderId="0" xfId="0" applyNumberFormat="1" applyFont="1" applyFill="1" applyAlignment="1">
      <alignment horizontal="left"/>
    </xf>
    <xf numFmtId="0" fontId="11" fillId="0" borderId="0" xfId="0" applyFont="1"/>
    <xf numFmtId="0" fontId="28" fillId="0" borderId="15" xfId="0" applyNumberFormat="1" applyFont="1" applyBorder="1" applyAlignment="1">
      <alignment horizontal="center"/>
    </xf>
    <xf numFmtId="0" fontId="21" fillId="0" borderId="16" xfId="0" applyNumberFormat="1" applyFont="1" applyBorder="1" applyAlignment="1">
      <alignment horizontal="center"/>
    </xf>
    <xf numFmtId="164" fontId="12" fillId="0" borderId="0" xfId="381" applyNumberFormat="1" applyFont="1"/>
    <xf numFmtId="0" fontId="12" fillId="0" borderId="14" xfId="0" applyNumberFormat="1" applyFont="1" applyFill="1" applyBorder="1" applyAlignment="1">
      <alignment horizontal="left"/>
    </xf>
    <xf numFmtId="0" fontId="21" fillId="0" borderId="0" xfId="0" applyNumberFormat="1" applyFont="1" applyBorder="1" applyAlignment="1">
      <alignment horizontal="center"/>
    </xf>
    <xf numFmtId="0" fontId="10" fillId="0" borderId="0" xfId="0" applyNumberFormat="1" applyFont="1" applyBorder="1" applyAlignment="1">
      <alignment horizontal="left"/>
    </xf>
    <xf numFmtId="0" fontId="12" fillId="0" borderId="14" xfId="0" applyNumberFormat="1" applyFont="1" applyBorder="1" applyAlignment="1">
      <alignment horizontal="center"/>
    </xf>
    <xf numFmtId="0" fontId="12" fillId="0" borderId="0"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0" fillId="0" borderId="13" xfId="0" applyFont="1" applyBorder="1" applyAlignment="1">
      <alignment horizontal="center"/>
    </xf>
    <xf numFmtId="0" fontId="12" fillId="0" borderId="14" xfId="0" applyNumberFormat="1" applyFont="1" applyFill="1" applyBorder="1" applyAlignment="1">
      <alignment horizontal="center"/>
    </xf>
    <xf numFmtId="0" fontId="12" fillId="0" borderId="12" xfId="0" applyFont="1" applyFill="1" applyBorder="1" applyAlignment="1">
      <alignment horizontal="center"/>
    </xf>
    <xf numFmtId="0" fontId="12" fillId="0" borderId="14" xfId="0" applyFont="1" applyBorder="1" applyAlignment="1">
      <alignment horizontal="center"/>
    </xf>
    <xf numFmtId="0" fontId="10" fillId="0" borderId="0" xfId="0" applyFont="1" applyBorder="1" applyAlignment="1">
      <alignment horizontal="center"/>
    </xf>
    <xf numFmtId="0" fontId="12" fillId="0" borderId="0" xfId="0" applyNumberFormat="1" applyFont="1" applyFill="1" applyBorder="1" applyAlignment="1">
      <alignment horizontal="center"/>
    </xf>
    <xf numFmtId="3" fontId="10" fillId="0" borderId="12" xfId="0" applyNumberFormat="1" applyFont="1" applyBorder="1" applyAlignment="1">
      <alignment horizontal="center"/>
    </xf>
    <xf numFmtId="0" fontId="14" fillId="0" borderId="0" xfId="0" applyFont="1" applyFill="1" applyBorder="1" applyAlignment="1">
      <alignment horizontal="center"/>
    </xf>
    <xf numFmtId="0" fontId="14" fillId="0" borderId="14" xfId="0" applyFont="1" applyFill="1" applyBorder="1" applyAlignment="1"/>
    <xf numFmtId="0" fontId="14" fillId="0" borderId="14" xfId="0" applyFont="1" applyFill="1" applyBorder="1" applyAlignment="1">
      <alignment horizontal="center"/>
    </xf>
    <xf numFmtId="0" fontId="12" fillId="0" borderId="0" xfId="0" applyFont="1" applyFill="1" applyBorder="1" applyAlignment="1">
      <alignment horizontal="center"/>
    </xf>
    <xf numFmtId="0" fontId="28" fillId="0" borderId="0" xfId="0" applyNumberFormat="1" applyFont="1" applyBorder="1" applyAlignment="1">
      <alignment horizontal="center"/>
    </xf>
    <xf numFmtId="0" fontId="10" fillId="0" borderId="0" xfId="0" applyFont="1" applyFill="1"/>
    <xf numFmtId="0" fontId="10" fillId="0" borderId="0" xfId="0" applyFont="1" applyFill="1" applyBorder="1"/>
    <xf numFmtId="3" fontId="10" fillId="0" borderId="0" xfId="0" applyNumberFormat="1" applyFont="1" applyFill="1" applyBorder="1"/>
    <xf numFmtId="0" fontId="16" fillId="0" borderId="0" xfId="0" applyNumberFormat="1" applyFont="1" applyFill="1" applyBorder="1" applyAlignment="1">
      <alignment horizontal="center"/>
    </xf>
    <xf numFmtId="0" fontId="31" fillId="0" borderId="0" xfId="0" applyFont="1"/>
    <xf numFmtId="0" fontId="0" fillId="0" borderId="0" xfId="0" applyAlignment="1">
      <alignment horizontal="center"/>
    </xf>
    <xf numFmtId="0" fontId="0" fillId="0" borderId="0" xfId="0" applyAlignment="1">
      <alignment horizontal="left" wrapText="1"/>
    </xf>
    <xf numFmtId="0" fontId="0" fillId="0" borderId="0" xfId="0" applyAlignment="1">
      <alignment horizontal="left" vertical="center" wrapText="1"/>
    </xf>
    <xf numFmtId="0" fontId="18" fillId="0" borderId="0" xfId="0" applyFont="1" applyFill="1"/>
    <xf numFmtId="0" fontId="0" fillId="0" borderId="0" xfId="0" applyAlignment="1"/>
    <xf numFmtId="164" fontId="8" fillId="0" borderId="0" xfId="381" applyNumberFormat="1" applyAlignment="1"/>
    <xf numFmtId="0" fontId="31" fillId="0" borderId="0" xfId="0" applyFont="1" applyFill="1" applyAlignment="1">
      <alignment horizontal="center"/>
    </xf>
    <xf numFmtId="0" fontId="35" fillId="0" borderId="0" xfId="0" applyFont="1" applyBorder="1"/>
    <xf numFmtId="0" fontId="31" fillId="0" borderId="0" xfId="0" applyFont="1" applyAlignment="1">
      <alignment horizontal="center"/>
    </xf>
    <xf numFmtId="0" fontId="0" fillId="0" borderId="0" xfId="0" applyAlignment="1">
      <alignment horizontal="right"/>
    </xf>
    <xf numFmtId="0" fontId="31" fillId="0" borderId="0" xfId="0" applyFont="1" applyFill="1" applyAlignment="1">
      <alignment horizontal="right"/>
    </xf>
    <xf numFmtId="0" fontId="17" fillId="0" borderId="0" xfId="0" applyFont="1"/>
    <xf numFmtId="0" fontId="37" fillId="0" borderId="0" xfId="0" applyFont="1" applyAlignment="1">
      <alignment horizontal="center"/>
    </xf>
    <xf numFmtId="0" fontId="30" fillId="0" borderId="0" xfId="0" applyFont="1" applyFill="1" applyBorder="1" applyAlignment="1">
      <alignment horizontal="left"/>
    </xf>
    <xf numFmtId="0" fontId="10" fillId="0" borderId="0" xfId="0" applyFont="1" applyFill="1" applyBorder="1" applyAlignment="1">
      <alignment horizontal="center" wrapText="1"/>
    </xf>
    <xf numFmtId="0" fontId="12" fillId="0" borderId="14" xfId="0" applyFont="1" applyBorder="1"/>
    <xf numFmtId="0" fontId="0" fillId="0" borderId="0" xfId="0" applyBorder="1"/>
    <xf numFmtId="0" fontId="36" fillId="0" borderId="0" xfId="0" applyFont="1" applyFill="1" applyAlignment="1">
      <alignment horizontal="center"/>
    </xf>
    <xf numFmtId="0" fontId="18" fillId="0" borderId="0" xfId="0" applyNumberFormat="1" applyFont="1" applyFill="1" applyBorder="1" applyAlignment="1">
      <alignment horizontal="left"/>
    </xf>
    <xf numFmtId="0" fontId="29" fillId="0" borderId="0" xfId="0" applyNumberFormat="1" applyFont="1" applyFill="1" applyBorder="1" applyAlignment="1">
      <alignment horizontal="center"/>
    </xf>
    <xf numFmtId="0" fontId="26" fillId="30" borderId="0" xfId="0" applyFont="1" applyFill="1" applyBorder="1" applyAlignment="1">
      <alignment horizontal="center"/>
    </xf>
    <xf numFmtId="0" fontId="10" fillId="0" borderId="0" xfId="0" applyNumberFormat="1" applyFont="1" applyFill="1" applyBorder="1" applyAlignment="1">
      <alignment horizontal="left"/>
    </xf>
    <xf numFmtId="0" fontId="0" fillId="0" borderId="0" xfId="0" applyFill="1" applyBorder="1" applyAlignment="1">
      <alignment horizontal="center"/>
    </xf>
    <xf numFmtId="0" fontId="0" fillId="0" borderId="0" xfId="0" applyFill="1" applyBorder="1"/>
    <xf numFmtId="3" fontId="12" fillId="0" borderId="0" xfId="0" applyNumberFormat="1" applyFont="1" applyAlignment="1">
      <alignment horizontal="center"/>
    </xf>
    <xf numFmtId="0" fontId="21" fillId="0" borderId="0" xfId="0" applyFont="1" applyAlignment="1">
      <alignment horizontal="center"/>
    </xf>
    <xf numFmtId="37" fontId="0" fillId="0" borderId="0" xfId="0" applyNumberFormat="1" applyFill="1"/>
    <xf numFmtId="37" fontId="0" fillId="0" borderId="0" xfId="0" applyNumberFormat="1" applyFill="1" applyAlignment="1">
      <alignment horizontal="right" wrapText="1"/>
    </xf>
    <xf numFmtId="0" fontId="11" fillId="0" borderId="0" xfId="0" applyFont="1" applyFill="1"/>
    <xf numFmtId="0" fontId="0" fillId="0" borderId="0" xfId="0" applyAlignment="1">
      <alignment horizontal="left"/>
    </xf>
    <xf numFmtId="0" fontId="43" fillId="0" borderId="0" xfId="0" applyFont="1"/>
    <xf numFmtId="0" fontId="18" fillId="0" borderId="0" xfId="0" applyFont="1" applyFill="1" applyAlignment="1"/>
    <xf numFmtId="0" fontId="18" fillId="0" borderId="0" xfId="0" applyFont="1"/>
    <xf numFmtId="164" fontId="0" fillId="0" borderId="0" xfId="381" applyNumberFormat="1" applyFont="1" applyAlignment="1"/>
    <xf numFmtId="164" fontId="8" fillId="0" borderId="0" xfId="381" applyNumberFormat="1" applyFill="1" applyBorder="1" applyAlignment="1">
      <alignment wrapText="1"/>
    </xf>
    <xf numFmtId="164" fontId="0" fillId="0" borderId="0" xfId="381" applyNumberFormat="1" applyFont="1" applyFill="1" applyAlignment="1"/>
    <xf numFmtId="164" fontId="0" fillId="0" borderId="0" xfId="381" applyNumberFormat="1" applyFont="1" applyFill="1" applyBorder="1" applyAlignment="1"/>
    <xf numFmtId="0" fontId="14" fillId="0" borderId="14" xfId="0" applyFont="1" applyBorder="1" applyAlignment="1">
      <alignment horizontal="center"/>
    </xf>
    <xf numFmtId="0" fontId="31" fillId="0" borderId="0" xfId="0" applyFont="1" applyFill="1"/>
    <xf numFmtId="41" fontId="0" fillId="0" borderId="0" xfId="0" applyNumberFormat="1" applyFill="1" applyBorder="1" applyAlignment="1">
      <alignment horizontal="right"/>
    </xf>
    <xf numFmtId="0" fontId="11" fillId="0" borderId="0" xfId="0" applyFont="1" applyFill="1" applyBorder="1"/>
    <xf numFmtId="0" fontId="0" fillId="0" borderId="0" xfId="0" applyFill="1" applyAlignment="1">
      <alignment horizontal="right"/>
    </xf>
    <xf numFmtId="164" fontId="0" fillId="0" borderId="0" xfId="381" applyNumberFormat="1" applyFont="1" applyFill="1" applyAlignment="1">
      <alignment horizontal="right"/>
    </xf>
    <xf numFmtId="41" fontId="0" fillId="0" borderId="0" xfId="0" applyNumberFormat="1" applyFill="1" applyAlignment="1">
      <alignment horizontal="right"/>
    </xf>
    <xf numFmtId="164" fontId="0" fillId="0" borderId="0" xfId="0" applyNumberFormat="1" applyFill="1"/>
    <xf numFmtId="0" fontId="0" fillId="0" borderId="0" xfId="0" applyFill="1" applyAlignment="1">
      <alignment horizontal="left"/>
    </xf>
    <xf numFmtId="0" fontId="9" fillId="0" borderId="0" xfId="0" applyFont="1" applyFill="1" applyAlignment="1">
      <alignment horizontal="center"/>
    </xf>
    <xf numFmtId="0" fontId="0" fillId="0" borderId="17" xfId="0" applyBorder="1" applyAlignment="1">
      <alignment horizontal="left"/>
    </xf>
    <xf numFmtId="0" fontId="0" fillId="0" borderId="17" xfId="0" applyBorder="1"/>
    <xf numFmtId="37" fontId="0" fillId="0" borderId="17" xfId="0" applyNumberFormat="1" applyFill="1" applyBorder="1"/>
    <xf numFmtId="164" fontId="8" fillId="0" borderId="17" xfId="381" applyNumberFormat="1" applyFill="1" applyBorder="1" applyAlignment="1">
      <alignment horizontal="right"/>
    </xf>
    <xf numFmtId="0" fontId="17" fillId="0" borderId="0" xfId="0" applyFont="1" applyBorder="1"/>
    <xf numFmtId="0" fontId="11" fillId="0" borderId="0" xfId="0" applyFont="1" applyBorder="1"/>
    <xf numFmtId="0" fontId="32" fillId="0" borderId="0" xfId="0" applyFont="1" applyBorder="1" applyAlignment="1">
      <alignment horizontal="center"/>
    </xf>
    <xf numFmtId="0" fontId="0" fillId="0" borderId="0" xfId="0" applyBorder="1" applyAlignment="1"/>
    <xf numFmtId="0" fontId="0" fillId="0" borderId="0" xfId="0" applyBorder="1" applyAlignment="1">
      <alignment horizontal="left"/>
    </xf>
    <xf numFmtId="0" fontId="34" fillId="0" borderId="0" xfId="0" applyFont="1" applyFill="1" applyBorder="1"/>
    <xf numFmtId="0" fontId="0" fillId="0" borderId="0" xfId="0" applyFill="1" applyBorder="1" applyAlignment="1">
      <alignment wrapText="1"/>
    </xf>
    <xf numFmtId="0" fontId="45" fillId="0" borderId="0" xfId="0" applyFont="1" applyBorder="1"/>
    <xf numFmtId="41" fontId="9" fillId="0" borderId="0" xfId="0" applyNumberFormat="1" applyFont="1" applyBorder="1" applyAlignment="1">
      <alignment horizontal="center"/>
    </xf>
    <xf numFmtId="41" fontId="9" fillId="0" borderId="0" xfId="0" applyNumberFormat="1" applyFont="1" applyFill="1" applyBorder="1" applyAlignment="1">
      <alignment horizontal="center"/>
    </xf>
    <xf numFmtId="0" fontId="20" fillId="0" borderId="0" xfId="0" applyFont="1" applyFill="1" applyBorder="1" applyAlignment="1">
      <alignment wrapText="1"/>
    </xf>
    <xf numFmtId="0" fontId="34" fillId="0" borderId="0" xfId="0" applyFont="1" applyFill="1" applyBorder="1" applyAlignment="1">
      <alignment horizontal="left"/>
    </xf>
    <xf numFmtId="0" fontId="0" fillId="0" borderId="12" xfId="0" applyBorder="1"/>
    <xf numFmtId="0" fontId="0" fillId="0" borderId="14" xfId="0" applyBorder="1"/>
    <xf numFmtId="37" fontId="0" fillId="0" borderId="0" xfId="0" applyNumberFormat="1" applyFill="1" applyBorder="1"/>
    <xf numFmtId="0" fontId="0" fillId="0" borderId="14" xfId="0" applyFill="1" applyBorder="1"/>
    <xf numFmtId="37" fontId="0" fillId="0" borderId="0" xfId="0" applyNumberFormat="1" applyFill="1" applyBorder="1" applyAlignment="1">
      <alignment horizontal="center"/>
    </xf>
    <xf numFmtId="0" fontId="0" fillId="0" borderId="0" xfId="0" applyFill="1" applyAlignment="1"/>
    <xf numFmtId="0" fontId="42" fillId="0" borderId="0" xfId="0" applyFont="1" applyFill="1" applyBorder="1"/>
    <xf numFmtId="37" fontId="18" fillId="0" borderId="0" xfId="0" applyNumberFormat="1" applyFont="1" applyFill="1"/>
    <xf numFmtId="0" fontId="17" fillId="0" borderId="0" xfId="0" applyFont="1" applyAlignment="1">
      <alignment horizontal="center"/>
    </xf>
    <xf numFmtId="164" fontId="12" fillId="0" borderId="0" xfId="381" applyNumberFormat="1" applyFont="1" applyFill="1"/>
    <xf numFmtId="0" fontId="38" fillId="0" borderId="0" xfId="0" applyFont="1" applyFill="1" applyBorder="1"/>
    <xf numFmtId="0" fontId="0" fillId="0" borderId="0" xfId="0" applyAlignment="1">
      <alignment vertical="top"/>
    </xf>
    <xf numFmtId="164" fontId="8" fillId="0" borderId="0" xfId="381" applyNumberFormat="1" applyBorder="1"/>
    <xf numFmtId="0" fontId="9" fillId="0" borderId="0" xfId="0" applyFont="1" applyAlignment="1">
      <alignment horizontal="center"/>
    </xf>
    <xf numFmtId="0" fontId="0" fillId="31" borderId="0" xfId="0" applyFill="1"/>
    <xf numFmtId="164" fontId="8" fillId="0" borderId="17" xfId="381" applyNumberFormat="1" applyBorder="1"/>
    <xf numFmtId="0" fontId="0" fillId="0" borderId="17" xfId="0" applyFill="1" applyBorder="1" applyAlignment="1">
      <alignment wrapText="1"/>
    </xf>
    <xf numFmtId="0" fontId="18" fillId="0" borderId="19" xfId="0" applyFont="1" applyFill="1" applyBorder="1"/>
    <xf numFmtId="0" fontId="20" fillId="0" borderId="17" xfId="0" applyFont="1" applyFill="1" applyBorder="1" applyAlignment="1">
      <alignment wrapText="1"/>
    </xf>
    <xf numFmtId="0" fontId="21" fillId="0" borderId="0" xfId="0" applyFont="1" applyBorder="1" applyAlignment="1">
      <alignment horizontal="centerContinuous"/>
    </xf>
    <xf numFmtId="0" fontId="0" fillId="0" borderId="0" xfId="0" applyBorder="1" applyAlignment="1">
      <alignment horizontal="centerContinuous"/>
    </xf>
    <xf numFmtId="0" fontId="0" fillId="0" borderId="0" xfId="0" applyFill="1" applyBorder="1" applyAlignment="1">
      <alignment horizontal="centerContinuous"/>
    </xf>
    <xf numFmtId="0" fontId="0" fillId="0" borderId="0" xfId="0" applyFill="1" applyAlignment="1">
      <alignment vertical="top"/>
    </xf>
    <xf numFmtId="0" fontId="32" fillId="0" borderId="0" xfId="0" applyFont="1" applyFill="1" applyAlignment="1">
      <alignment horizontal="center"/>
    </xf>
    <xf numFmtId="0" fontId="41" fillId="0" borderId="0" xfId="0" applyFont="1" applyAlignment="1"/>
    <xf numFmtId="37" fontId="0" fillId="0" borderId="0" xfId="0" applyNumberFormat="1" applyFill="1" applyBorder="1" applyAlignment="1">
      <alignment wrapText="1"/>
    </xf>
    <xf numFmtId="164" fontId="0" fillId="0" borderId="0" xfId="0" applyNumberFormat="1" applyFill="1" applyBorder="1" applyAlignment="1">
      <alignment wrapText="1"/>
    </xf>
    <xf numFmtId="0" fontId="32" fillId="0" borderId="0" xfId="0" applyFont="1" applyFill="1" applyAlignment="1">
      <alignment horizontal="centerContinuous"/>
    </xf>
    <xf numFmtId="0" fontId="0" fillId="0" borderId="0" xfId="0" applyFill="1" applyAlignment="1">
      <alignment horizontal="centerContinuous"/>
    </xf>
    <xf numFmtId="164" fontId="43" fillId="0" borderId="0" xfId="0" applyNumberFormat="1" applyFont="1" applyFill="1"/>
    <xf numFmtId="0" fontId="0" fillId="0" borderId="0" xfId="0" applyFill="1" applyAlignment="1">
      <alignment horizontal="center"/>
    </xf>
    <xf numFmtId="164" fontId="18" fillId="0" borderId="0" xfId="381" applyNumberFormat="1" applyFont="1" applyFill="1" applyAlignment="1"/>
    <xf numFmtId="0" fontId="8" fillId="0" borderId="0" xfId="0" applyFont="1" applyFill="1"/>
    <xf numFmtId="164" fontId="0" fillId="0" borderId="0" xfId="381" applyNumberFormat="1" applyFont="1" applyFill="1"/>
    <xf numFmtId="0" fontId="8" fillId="0" borderId="0" xfId="0" applyFont="1" applyFill="1" applyAlignment="1">
      <alignment horizontal="right"/>
    </xf>
    <xf numFmtId="0" fontId="0" fillId="0" borderId="0" xfId="0" applyFill="1" applyAlignment="1">
      <alignment horizontal="left" wrapText="1"/>
    </xf>
    <xf numFmtId="0" fontId="9" fillId="0" borderId="0" xfId="0" applyFont="1" applyFill="1"/>
    <xf numFmtId="3" fontId="0" fillId="0" borderId="0" xfId="0" applyNumberFormat="1" applyFill="1" applyAlignment="1">
      <alignment horizontal="left"/>
    </xf>
    <xf numFmtId="164" fontId="8" fillId="0" borderId="0" xfId="381" applyNumberFormat="1" applyFont="1" applyFill="1" applyAlignment="1"/>
    <xf numFmtId="0" fontId="8" fillId="0" borderId="0" xfId="0" applyFont="1"/>
    <xf numFmtId="164" fontId="8" fillId="0" borderId="0" xfId="381" applyNumberFormat="1" applyFont="1"/>
    <xf numFmtId="0" fontId="8" fillId="0" borderId="0" xfId="0" applyFont="1" applyFill="1" applyBorder="1"/>
    <xf numFmtId="0" fontId="32" fillId="0" borderId="0" xfId="0" applyFont="1" applyBorder="1" applyAlignment="1">
      <alignment horizontal="left"/>
    </xf>
    <xf numFmtId="0" fontId="9" fillId="0" borderId="0" xfId="0" applyFont="1" applyFill="1" applyBorder="1" applyAlignment="1">
      <alignment horizontal="left"/>
    </xf>
    <xf numFmtId="37" fontId="10" fillId="0" borderId="0" xfId="0" applyNumberFormat="1" applyFont="1" applyBorder="1" applyAlignment="1">
      <alignment horizontal="right"/>
    </xf>
    <xf numFmtId="0" fontId="18" fillId="0" borderId="0" xfId="465" applyFont="1"/>
    <xf numFmtId="0" fontId="18" fillId="0" borderId="0" xfId="465" applyNumberFormat="1" applyFont="1" applyFill="1" applyBorder="1" applyAlignment="1"/>
    <xf numFmtId="0" fontId="18" fillId="0" borderId="0" xfId="465" applyFont="1" applyBorder="1" applyAlignment="1"/>
    <xf numFmtId="0" fontId="18" fillId="0" borderId="0" xfId="465" applyFont="1" applyFill="1" applyBorder="1" applyAlignment="1">
      <alignment horizontal="center" wrapText="1"/>
    </xf>
    <xf numFmtId="0" fontId="18" fillId="0" borderId="0" xfId="465" applyFont="1" applyBorder="1"/>
    <xf numFmtId="3" fontId="12" fillId="0" borderId="0" xfId="465" applyNumberFormat="1" applyFont="1" applyFill="1" applyBorder="1" applyAlignment="1"/>
    <xf numFmtId="3" fontId="18" fillId="0" borderId="0" xfId="465" applyNumberFormat="1" applyFont="1" applyBorder="1" applyAlignment="1">
      <alignment horizontal="center"/>
    </xf>
    <xf numFmtId="0" fontId="18" fillId="0" borderId="20" xfId="465" applyNumberFormat="1" applyFont="1" applyFill="1" applyBorder="1" applyAlignment="1">
      <alignment horizontal="center"/>
    </xf>
    <xf numFmtId="0" fontId="18" fillId="0" borderId="0" xfId="465" applyNumberFormat="1" applyFont="1" applyBorder="1" applyAlignment="1">
      <alignment horizontal="center"/>
    </xf>
    <xf numFmtId="0" fontId="18" fillId="0" borderId="0" xfId="465" applyNumberFormat="1" applyFont="1" applyFill="1" applyBorder="1" applyAlignment="1">
      <alignment horizontal="left"/>
    </xf>
    <xf numFmtId="0" fontId="18" fillId="0" borderId="21" xfId="465" applyFont="1" applyBorder="1" applyAlignment="1"/>
    <xf numFmtId="0" fontId="18" fillId="0" borderId="14" xfId="465" applyNumberFormat="1" applyFont="1" applyFill="1" applyBorder="1" applyAlignment="1">
      <alignment horizontal="left"/>
    </xf>
    <xf numFmtId="3" fontId="12" fillId="0" borderId="14" xfId="465" applyNumberFormat="1" applyFont="1" applyFill="1" applyBorder="1" applyAlignment="1"/>
    <xf numFmtId="0" fontId="9" fillId="0" borderId="0" xfId="465" applyNumberFormat="1" applyFont="1" applyFill="1" applyBorder="1" applyAlignment="1">
      <alignment horizontal="left"/>
    </xf>
    <xf numFmtId="0" fontId="20" fillId="0" borderId="0" xfId="465" applyNumberFormat="1" applyFont="1" applyFill="1" applyBorder="1" applyAlignment="1">
      <alignment horizontal="center"/>
    </xf>
    <xf numFmtId="0" fontId="18" fillId="0" borderId="21" xfId="465" applyNumberFormat="1" applyFont="1" applyFill="1" applyBorder="1" applyAlignment="1">
      <alignment horizontal="left"/>
    </xf>
    <xf numFmtId="0" fontId="18" fillId="0" borderId="22" xfId="465" applyNumberFormat="1" applyFont="1" applyFill="1" applyBorder="1" applyAlignment="1">
      <alignment horizontal="center"/>
    </xf>
    <xf numFmtId="0" fontId="18" fillId="0" borderId="10" xfId="465" applyNumberFormat="1" applyFont="1" applyBorder="1" applyAlignment="1">
      <alignment horizontal="center"/>
    </xf>
    <xf numFmtId="0" fontId="18" fillId="0" borderId="10" xfId="465" applyNumberFormat="1" applyFont="1" applyFill="1" applyBorder="1" applyAlignment="1">
      <alignment horizontal="left"/>
    </xf>
    <xf numFmtId="0" fontId="18" fillId="0" borderId="23" xfId="465" applyNumberFormat="1" applyFont="1" applyFill="1" applyBorder="1" applyAlignment="1">
      <alignment horizontal="left"/>
    </xf>
    <xf numFmtId="0" fontId="18" fillId="0" borderId="0" xfId="465" applyNumberFormat="1" applyFont="1" applyFill="1" applyBorder="1" applyAlignment="1">
      <alignment horizontal="center"/>
    </xf>
    <xf numFmtId="164" fontId="18" fillId="0" borderId="0" xfId="390" applyNumberFormat="1" applyFont="1" applyFill="1" applyBorder="1" applyAlignment="1">
      <alignment horizontal="right"/>
    </xf>
    <xf numFmtId="0" fontId="18" fillId="0" borderId="0" xfId="465" applyFont="1" applyFill="1" applyBorder="1" applyAlignment="1"/>
    <xf numFmtId="0" fontId="35" fillId="0" borderId="0" xfId="465" applyFont="1"/>
    <xf numFmtId="0" fontId="18" fillId="0" borderId="0" xfId="465"/>
    <xf numFmtId="0" fontId="35" fillId="0" borderId="20" xfId="465" applyNumberFormat="1" applyFont="1" applyFill="1" applyBorder="1" applyAlignment="1">
      <alignment horizontal="center"/>
    </xf>
    <xf numFmtId="0" fontId="35" fillId="0" borderId="0" xfId="465" applyFont="1" applyFill="1" applyBorder="1" applyAlignment="1">
      <alignment horizontal="left"/>
    </xf>
    <xf numFmtId="0" fontId="39" fillId="0" borderId="0" xfId="465" applyNumberFormat="1" applyFont="1" applyFill="1" applyBorder="1" applyAlignment="1">
      <alignment horizontal="left"/>
    </xf>
    <xf numFmtId="0" fontId="35" fillId="0" borderId="0" xfId="465" applyFont="1" applyFill="1" applyBorder="1"/>
    <xf numFmtId="0" fontId="35" fillId="0" borderId="20" xfId="465" applyFont="1" applyFill="1" applyBorder="1" applyAlignment="1">
      <alignment horizontal="center"/>
    </xf>
    <xf numFmtId="0" fontId="35" fillId="0" borderId="0" xfId="465" applyFont="1" applyFill="1" applyBorder="1" applyAlignment="1"/>
    <xf numFmtId="0" fontId="35" fillId="0" borderId="21" xfId="465" applyFont="1" applyFill="1" applyBorder="1" applyAlignment="1"/>
    <xf numFmtId="3" fontId="35" fillId="0" borderId="0" xfId="465" applyNumberFormat="1" applyFont="1" applyFill="1" applyBorder="1" applyAlignment="1">
      <alignment horizontal="center"/>
    </xf>
    <xf numFmtId="0" fontId="35" fillId="0" borderId="0" xfId="465" applyFont="1" applyFill="1" applyBorder="1" applyAlignment="1">
      <alignment horizontal="left" wrapText="1"/>
    </xf>
    <xf numFmtId="0" fontId="29" fillId="0" borderId="0" xfId="465" applyNumberFormat="1" applyFont="1" applyFill="1" applyBorder="1" applyAlignment="1">
      <alignment horizontal="center"/>
    </xf>
    <xf numFmtId="0" fontId="29" fillId="0" borderId="0" xfId="465" applyNumberFormat="1" applyFont="1" applyFill="1" applyBorder="1" applyAlignment="1">
      <alignment horizontal="right"/>
    </xf>
    <xf numFmtId="0" fontId="29" fillId="0" borderId="0" xfId="465" applyNumberFormat="1" applyFont="1" applyFill="1" applyBorder="1" applyAlignment="1">
      <alignment horizontal="left"/>
    </xf>
    <xf numFmtId="0" fontId="29" fillId="0" borderId="0" xfId="465" applyFont="1" applyFill="1" applyBorder="1" applyAlignment="1"/>
    <xf numFmtId="0" fontId="29" fillId="0" borderId="0" xfId="465" applyNumberFormat="1" applyFont="1" applyFill="1" applyBorder="1" applyAlignment="1"/>
    <xf numFmtId="0" fontId="18" fillId="0" borderId="24" xfId="465" applyNumberFormat="1" applyFont="1" applyFill="1" applyBorder="1" applyAlignment="1">
      <alignment horizontal="center"/>
    </xf>
    <xf numFmtId="0" fontId="20" fillId="0" borderId="0" xfId="465" applyFont="1" applyFill="1" applyBorder="1" applyAlignment="1"/>
    <xf numFmtId="0" fontId="9" fillId="0" borderId="0" xfId="465" applyNumberFormat="1" applyFont="1" applyFill="1" applyBorder="1" applyAlignment="1"/>
    <xf numFmtId="0" fontId="18" fillId="0" borderId="21" xfId="465" applyFont="1" applyBorder="1"/>
    <xf numFmtId="3" fontId="18" fillId="0" borderId="0" xfId="465" applyNumberFormat="1" applyFont="1" applyFill="1" applyBorder="1" applyAlignment="1">
      <alignment horizontal="center"/>
    </xf>
    <xf numFmtId="0" fontId="18" fillId="0" borderId="21" xfId="465" applyFont="1" applyFill="1" applyBorder="1" applyAlignment="1"/>
    <xf numFmtId="0" fontId="18" fillId="0" borderId="0" xfId="465" applyFont="1" applyFill="1"/>
    <xf numFmtId="0" fontId="18" fillId="0" borderId="10" xfId="465" applyNumberFormat="1" applyFont="1" applyFill="1" applyBorder="1" applyAlignment="1">
      <alignment horizontal="center"/>
    </xf>
    <xf numFmtId="0" fontId="18" fillId="0" borderId="10" xfId="465" applyFont="1" applyFill="1" applyBorder="1"/>
    <xf numFmtId="3" fontId="18" fillId="0" borderId="23" xfId="465" applyNumberFormat="1" applyFont="1" applyFill="1" applyBorder="1" applyAlignment="1">
      <alignment horizontal="left"/>
    </xf>
    <xf numFmtId="164" fontId="18" fillId="0" borderId="10" xfId="390" applyNumberFormat="1" applyFont="1" applyFill="1" applyBorder="1" applyAlignment="1">
      <alignment horizontal="center"/>
    </xf>
    <xf numFmtId="164" fontId="18" fillId="0" borderId="10" xfId="465" applyNumberFormat="1" applyFont="1" applyFill="1" applyBorder="1" applyAlignment="1">
      <alignment horizontal="center"/>
    </xf>
    <xf numFmtId="0" fontId="18" fillId="0" borderId="0" xfId="465" applyFont="1" applyFill="1" applyBorder="1" applyAlignment="1">
      <alignment horizontal="left"/>
    </xf>
    <xf numFmtId="0" fontId="18" fillId="0" borderId="10" xfId="465" applyNumberFormat="1" applyFont="1" applyFill="1" applyBorder="1" applyAlignment="1">
      <alignment horizontal="right"/>
    </xf>
    <xf numFmtId="0" fontId="18" fillId="0" borderId="0" xfId="465" applyFont="1" applyFill="1" applyBorder="1"/>
    <xf numFmtId="0" fontId="18" fillId="0" borderId="10" xfId="465" applyFont="1" applyFill="1" applyBorder="1" applyAlignment="1"/>
    <xf numFmtId="0" fontId="9" fillId="0" borderId="0" xfId="465" applyFont="1" applyFill="1" applyBorder="1" applyAlignment="1"/>
    <xf numFmtId="0" fontId="9" fillId="0" borderId="0" xfId="465" applyFont="1" applyFill="1" applyBorder="1" applyAlignment="1">
      <alignment horizontal="center"/>
    </xf>
    <xf numFmtId="0" fontId="18" fillId="0" borderId="20" xfId="465" applyFont="1" applyFill="1" applyBorder="1"/>
    <xf numFmtId="164" fontId="18" fillId="0" borderId="0" xfId="465" applyNumberFormat="1" applyFont="1" applyFill="1" applyBorder="1" applyAlignment="1">
      <alignment horizontal="center"/>
    </xf>
    <xf numFmtId="0" fontId="9" fillId="0" borderId="20" xfId="465" applyFont="1" applyFill="1" applyBorder="1" applyAlignment="1"/>
    <xf numFmtId="0" fontId="9" fillId="0" borderId="0" xfId="465" applyNumberFormat="1" applyFont="1" applyFill="1" applyBorder="1" applyAlignment="1">
      <alignment horizontal="center"/>
    </xf>
    <xf numFmtId="0" fontId="18" fillId="0" borderId="0" xfId="465" applyFont="1" applyFill="1" applyBorder="1" applyAlignment="1">
      <alignment horizontal="center"/>
    </xf>
    <xf numFmtId="0" fontId="12" fillId="0" borderId="0" xfId="465" applyFont="1" applyFill="1" applyAlignment="1">
      <alignment horizontal="center"/>
    </xf>
    <xf numFmtId="0" fontId="12" fillId="0" borderId="0" xfId="465" applyFont="1" applyFill="1"/>
    <xf numFmtId="164" fontId="12" fillId="0" borderId="0" xfId="390" applyNumberFormat="1" applyFont="1" applyFill="1"/>
    <xf numFmtId="10" fontId="12" fillId="0" borderId="0" xfId="634" applyNumberFormat="1" applyFont="1" applyFill="1"/>
    <xf numFmtId="0" fontId="12" fillId="30" borderId="0" xfId="465" applyFont="1" applyFill="1"/>
    <xf numFmtId="0" fontId="12" fillId="0" borderId="0" xfId="465" applyFont="1" applyFill="1" applyAlignment="1">
      <alignment horizontal="left"/>
    </xf>
    <xf numFmtId="0" fontId="12" fillId="0" borderId="0" xfId="465" applyFont="1" applyFill="1" applyAlignment="1">
      <alignment wrapText="1"/>
    </xf>
    <xf numFmtId="0" fontId="12" fillId="0" borderId="0" xfId="465" applyNumberFormat="1" applyFont="1" applyFill="1" applyAlignment="1">
      <alignment horizontal="center"/>
    </xf>
    <xf numFmtId="0" fontId="12" fillId="0" borderId="0" xfId="465" applyNumberFormat="1" applyFont="1" applyFill="1" applyBorder="1" applyAlignment="1">
      <alignment horizontal="left"/>
    </xf>
    <xf numFmtId="0" fontId="12" fillId="0" borderId="0" xfId="465" applyFont="1" applyFill="1" applyBorder="1"/>
    <xf numFmtId="3" fontId="12" fillId="0" borderId="0" xfId="465" applyNumberFormat="1" applyFont="1" applyFill="1" applyAlignment="1"/>
    <xf numFmtId="171" fontId="12" fillId="0" borderId="0" xfId="465" applyNumberFormat="1" applyFont="1" applyFill="1" applyAlignment="1"/>
    <xf numFmtId="3" fontId="12" fillId="0" borderId="0" xfId="465" applyNumberFormat="1" applyFont="1" applyFill="1" applyAlignment="1">
      <alignment horizontal="left"/>
    </xf>
    <xf numFmtId="3" fontId="12" fillId="0" borderId="0" xfId="465" applyNumberFormat="1" applyFont="1" applyFill="1" applyAlignment="1">
      <alignment horizontal="center"/>
    </xf>
    <xf numFmtId="0" fontId="14" fillId="0" borderId="0" xfId="465" applyNumberFormat="1" applyFont="1" applyFill="1" applyAlignment="1"/>
    <xf numFmtId="0" fontId="12" fillId="0" borderId="0" xfId="465" applyFont="1" applyFill="1" applyAlignment="1"/>
    <xf numFmtId="3" fontId="12" fillId="0" borderId="0" xfId="465" quotePrefix="1" applyNumberFormat="1" applyFont="1" applyFill="1" applyAlignment="1">
      <alignment horizontal="right"/>
    </xf>
    <xf numFmtId="0" fontId="12" fillId="0" borderId="0" xfId="465" applyFont="1" applyFill="1" applyAlignment="1">
      <alignment horizontal="right"/>
    </xf>
    <xf numFmtId="0" fontId="12" fillId="0" borderId="14" xfId="465" applyNumberFormat="1" applyFont="1" applyFill="1" applyBorder="1" applyAlignment="1">
      <alignment horizontal="center"/>
    </xf>
    <xf numFmtId="0" fontId="12" fillId="0" borderId="14" xfId="465" applyNumberFormat="1" applyFont="1" applyFill="1" applyBorder="1" applyAlignment="1">
      <alignment horizontal="left"/>
    </xf>
    <xf numFmtId="0" fontId="12" fillId="0" borderId="14" xfId="465" applyFont="1" applyFill="1" applyBorder="1"/>
    <xf numFmtId="3" fontId="12" fillId="0" borderId="14" xfId="465" applyNumberFormat="1" applyFont="1" applyFill="1" applyBorder="1" applyAlignment="1">
      <alignment horizontal="right"/>
    </xf>
    <xf numFmtId="166" fontId="12" fillId="0" borderId="14" xfId="465" applyNumberFormat="1" applyFont="1" applyFill="1" applyBorder="1" applyAlignment="1"/>
    <xf numFmtId="0" fontId="10" fillId="0" borderId="0" xfId="465" applyNumberFormat="1" applyFont="1" applyFill="1" applyBorder="1" applyAlignment="1"/>
    <xf numFmtId="3" fontId="10" fillId="0" borderId="0" xfId="465" quotePrefix="1" applyNumberFormat="1" applyFont="1" applyFill="1" applyBorder="1" applyAlignment="1">
      <alignment horizontal="right"/>
    </xf>
    <xf numFmtId="166" fontId="10" fillId="0" borderId="0" xfId="465" applyNumberFormat="1" applyFont="1" applyFill="1" applyAlignment="1"/>
    <xf numFmtId="0" fontId="10" fillId="0" borderId="0" xfId="465" applyNumberFormat="1" applyFont="1" applyFill="1" applyAlignment="1">
      <alignment horizontal="center"/>
    </xf>
    <xf numFmtId="0" fontId="10" fillId="0" borderId="0" xfId="465" applyFont="1" applyFill="1" applyBorder="1" applyAlignment="1">
      <alignment horizontal="center"/>
    </xf>
    <xf numFmtId="3" fontId="10" fillId="0" borderId="0" xfId="465" applyNumberFormat="1" applyFont="1" applyFill="1" applyBorder="1" applyAlignment="1"/>
    <xf numFmtId="168" fontId="10" fillId="0" borderId="13" xfId="465" applyNumberFormat="1" applyFont="1" applyFill="1" applyBorder="1" applyAlignment="1">
      <alignment horizontal="left"/>
    </xf>
    <xf numFmtId="0" fontId="12" fillId="0" borderId="13" xfId="465" applyFont="1" applyFill="1" applyBorder="1"/>
    <xf numFmtId="3" fontId="10" fillId="0" borderId="13" xfId="465" applyNumberFormat="1" applyFont="1" applyFill="1" applyBorder="1" applyAlignment="1"/>
    <xf numFmtId="169" fontId="10" fillId="0" borderId="13" xfId="465" applyNumberFormat="1" applyFont="1" applyFill="1" applyBorder="1" applyAlignment="1">
      <alignment horizontal="center"/>
    </xf>
    <xf numFmtId="0" fontId="12" fillId="0" borderId="0" xfId="465" applyNumberFormat="1" applyFont="1" applyFill="1" applyAlignment="1"/>
    <xf numFmtId="0" fontId="27" fillId="30" borderId="0" xfId="465" applyFont="1" applyFill="1" applyAlignment="1"/>
    <xf numFmtId="0" fontId="24" fillId="30" borderId="0" xfId="465" applyNumberFormat="1" applyFont="1" applyFill="1" applyAlignment="1">
      <alignment horizontal="left"/>
    </xf>
    <xf numFmtId="0" fontId="26" fillId="30" borderId="0" xfId="465" applyFont="1" applyFill="1" applyBorder="1" applyAlignment="1">
      <alignment horizontal="center"/>
    </xf>
    <xf numFmtId="3" fontId="12" fillId="30" borderId="0" xfId="465" applyNumberFormat="1" applyFont="1" applyFill="1" applyBorder="1" applyAlignment="1"/>
    <xf numFmtId="168" fontId="10" fillId="0" borderId="0" xfId="465" applyNumberFormat="1" applyFont="1" applyFill="1" applyBorder="1" applyAlignment="1">
      <alignment horizontal="left"/>
    </xf>
    <xf numFmtId="169" fontId="12" fillId="0" borderId="0" xfId="465" applyNumberFormat="1" applyFont="1" applyFill="1" applyAlignment="1">
      <alignment horizontal="center"/>
    </xf>
    <xf numFmtId="0" fontId="19" fillId="0" borderId="0" xfId="465" applyNumberFormat="1" applyFont="1" applyFill="1"/>
    <xf numFmtId="10" fontId="19" fillId="0" borderId="0" xfId="465" applyNumberFormat="1" applyFont="1" applyFill="1"/>
    <xf numFmtId="0" fontId="14" fillId="0" borderId="0" xfId="465" applyFont="1" applyFill="1" applyBorder="1" applyAlignment="1">
      <alignment horizontal="center"/>
    </xf>
    <xf numFmtId="10" fontId="12" fillId="0" borderId="0" xfId="465" applyNumberFormat="1" applyFont="1" applyFill="1" applyAlignment="1">
      <alignment horizontal="right"/>
    </xf>
    <xf numFmtId="168" fontId="12" fillId="0" borderId="0" xfId="465" applyNumberFormat="1" applyFont="1" applyFill="1" applyAlignment="1">
      <alignment horizontal="center"/>
    </xf>
    <xf numFmtId="168" fontId="12" fillId="0" borderId="0" xfId="465" applyNumberFormat="1" applyFont="1" applyFill="1" applyAlignment="1">
      <alignment horizontal="left"/>
    </xf>
    <xf numFmtId="10" fontId="12" fillId="0" borderId="0" xfId="634" applyNumberFormat="1" applyFont="1" applyFill="1" applyAlignment="1"/>
    <xf numFmtId="0" fontId="12" fillId="0" borderId="0" xfId="465" applyNumberFormat="1" applyFont="1" applyFill="1" applyAlignment="1">
      <alignment horizontal="left"/>
    </xf>
    <xf numFmtId="0" fontId="12" fillId="0" borderId="0" xfId="465" applyNumberFormat="1" applyFont="1" applyFill="1" applyBorder="1" applyAlignment="1">
      <alignment horizontal="center"/>
    </xf>
    <xf numFmtId="0" fontId="23" fillId="0" borderId="14" xfId="465" applyNumberFormat="1" applyFont="1" applyFill="1" applyBorder="1" applyAlignment="1">
      <alignment horizontal="left"/>
    </xf>
    <xf numFmtId="3" fontId="22" fillId="0" borderId="0" xfId="465" applyNumberFormat="1" applyFont="1" applyFill="1" applyBorder="1" applyAlignment="1">
      <alignment horizontal="right"/>
    </xf>
    <xf numFmtId="0" fontId="10" fillId="0" borderId="12" xfId="465" applyNumberFormat="1" applyFont="1" applyFill="1" applyBorder="1" applyAlignment="1">
      <alignment horizontal="left"/>
    </xf>
    <xf numFmtId="0" fontId="38" fillId="0" borderId="12" xfId="465" applyNumberFormat="1" applyFont="1" applyFill="1" applyBorder="1" applyAlignment="1">
      <alignment horizontal="left"/>
    </xf>
    <xf numFmtId="3" fontId="22" fillId="0" borderId="12" xfId="465" applyNumberFormat="1" applyFont="1" applyFill="1" applyBorder="1" applyAlignment="1">
      <alignment horizontal="right"/>
    </xf>
    <xf numFmtId="3" fontId="24" fillId="0" borderId="12" xfId="465" applyNumberFormat="1" applyFont="1" applyFill="1" applyBorder="1" applyAlignment="1">
      <alignment horizontal="right"/>
    </xf>
    <xf numFmtId="0" fontId="10" fillId="0" borderId="0" xfId="465" applyNumberFormat="1" applyFont="1" applyFill="1" applyBorder="1" applyAlignment="1">
      <alignment horizontal="left"/>
    </xf>
    <xf numFmtId="0" fontId="10" fillId="0" borderId="0" xfId="465" applyFont="1" applyFill="1"/>
    <xf numFmtId="164" fontId="10" fillId="0" borderId="0" xfId="390" applyNumberFormat="1" applyFont="1" applyFill="1" applyAlignment="1"/>
    <xf numFmtId="0" fontId="18" fillId="0" borderId="0" xfId="465" applyFill="1"/>
    <xf numFmtId="3" fontId="23" fillId="0" borderId="0" xfId="465" applyNumberFormat="1" applyFont="1" applyFill="1" applyBorder="1" applyAlignment="1">
      <alignment horizontal="right"/>
    </xf>
    <xf numFmtId="0" fontId="10" fillId="0" borderId="13" xfId="465" applyFont="1" applyFill="1" applyBorder="1" applyAlignment="1">
      <alignment horizontal="center"/>
    </xf>
    <xf numFmtId="169" fontId="10" fillId="0" borderId="13" xfId="465" applyNumberFormat="1" applyFont="1" applyFill="1" applyBorder="1" applyAlignment="1"/>
    <xf numFmtId="164" fontId="10" fillId="0" borderId="13" xfId="390" applyNumberFormat="1" applyFont="1" applyFill="1" applyBorder="1" applyAlignment="1">
      <alignment horizontal="right"/>
    </xf>
    <xf numFmtId="3" fontId="12" fillId="0" borderId="0" xfId="465" applyNumberFormat="1" applyFont="1" applyFill="1" applyAlignment="1">
      <alignment horizontal="right"/>
    </xf>
    <xf numFmtId="169" fontId="12" fillId="0" borderId="0" xfId="465" applyNumberFormat="1" applyFont="1" applyFill="1" applyAlignment="1"/>
    <xf numFmtId="0" fontId="18" fillId="0" borderId="0" xfId="465" applyFill="1" applyBorder="1"/>
    <xf numFmtId="164" fontId="19" fillId="0" borderId="0" xfId="381" applyNumberFormat="1" applyFont="1" applyFill="1"/>
    <xf numFmtId="173" fontId="19" fillId="0" borderId="0" xfId="633" applyNumberFormat="1" applyFont="1" applyFill="1"/>
    <xf numFmtId="172" fontId="12" fillId="0" borderId="0" xfId="381" applyNumberFormat="1" applyFont="1" applyFill="1" applyAlignment="1"/>
    <xf numFmtId="176" fontId="12" fillId="0" borderId="0" xfId="381" applyNumberFormat="1" applyFont="1" applyFill="1" applyAlignment="1"/>
    <xf numFmtId="0" fontId="18" fillId="0" borderId="20" xfId="465" applyFont="1" applyBorder="1" applyAlignment="1"/>
    <xf numFmtId="0" fontId="12" fillId="0" borderId="14" xfId="0" applyNumberFormat="1" applyFont="1" applyBorder="1" applyAlignment="1"/>
    <xf numFmtId="173" fontId="0" fillId="0" borderId="0" xfId="0" applyNumberFormat="1" applyBorder="1"/>
    <xf numFmtId="43" fontId="0" fillId="0" borderId="0" xfId="381" applyFont="1" applyBorder="1"/>
    <xf numFmtId="43" fontId="0" fillId="0" borderId="0" xfId="0" applyNumberFormat="1" applyBorder="1"/>
    <xf numFmtId="3" fontId="12" fillId="0" borderId="0" xfId="0" applyNumberFormat="1" applyFont="1" applyBorder="1" applyAlignment="1"/>
    <xf numFmtId="164" fontId="10" fillId="0" borderId="0" xfId="381" applyNumberFormat="1" applyFont="1" applyFill="1" applyBorder="1" applyAlignment="1"/>
    <xf numFmtId="3" fontId="12" fillId="0" borderId="0" xfId="0" applyNumberFormat="1" applyFont="1" applyFill="1" applyBorder="1" applyAlignment="1"/>
    <xf numFmtId="10" fontId="12" fillId="0" borderId="0" xfId="465" applyNumberFormat="1" applyFont="1" applyFill="1" applyAlignment="1"/>
    <xf numFmtId="0" fontId="18" fillId="0" borderId="22" xfId="465" applyFont="1" applyFill="1" applyBorder="1"/>
    <xf numFmtId="0" fontId="9" fillId="0" borderId="20" xfId="465" applyNumberFormat="1" applyFont="1" applyFill="1" applyBorder="1" applyAlignment="1">
      <alignment horizontal="center"/>
    </xf>
    <xf numFmtId="0" fontId="40" fillId="30" borderId="0" xfId="465" applyFont="1" applyFill="1"/>
    <xf numFmtId="0" fontId="26" fillId="30" borderId="0" xfId="465" applyNumberFormat="1" applyFont="1" applyFill="1" applyAlignment="1">
      <alignment horizontal="left"/>
    </xf>
    <xf numFmtId="164" fontId="18" fillId="0" borderId="0" xfId="465" applyNumberFormat="1" applyFont="1" applyFill="1" applyBorder="1" applyAlignment="1"/>
    <xf numFmtId="164" fontId="9" fillId="0" borderId="0" xfId="390" applyNumberFormat="1" applyFont="1" applyFill="1" applyBorder="1"/>
    <xf numFmtId="0" fontId="51" fillId="0" borderId="20" xfId="0" applyFont="1" applyFill="1" applyBorder="1"/>
    <xf numFmtId="164" fontId="51" fillId="0" borderId="0" xfId="381" applyNumberFormat="1" applyFont="1" applyFill="1" applyBorder="1"/>
    <xf numFmtId="0" fontId="51" fillId="0" borderId="21" xfId="0" applyFont="1" applyFill="1" applyBorder="1"/>
    <xf numFmtId="0" fontId="52" fillId="0" borderId="0" xfId="465" applyFont="1"/>
    <xf numFmtId="0" fontId="52" fillId="0" borderId="0" xfId="465" applyFont="1" applyBorder="1"/>
    <xf numFmtId="0" fontId="55" fillId="0" borderId="0" xfId="0" applyFont="1"/>
    <xf numFmtId="0" fontId="53" fillId="0" borderId="0" xfId="0" applyFont="1" applyBorder="1"/>
    <xf numFmtId="0" fontId="54" fillId="0" borderId="0" xfId="0" applyFont="1" applyBorder="1"/>
    <xf numFmtId="0" fontId="52" fillId="0" borderId="0" xfId="465" applyFont="1" applyFill="1" applyBorder="1" applyAlignment="1">
      <alignment horizontal="center" wrapText="1"/>
    </xf>
    <xf numFmtId="0" fontId="52" fillId="0" borderId="22" xfId="465" applyNumberFormat="1" applyFont="1" applyFill="1" applyBorder="1" applyAlignment="1">
      <alignment horizontal="center"/>
    </xf>
    <xf numFmtId="0" fontId="52" fillId="0" borderId="10" xfId="465" applyNumberFormat="1" applyFont="1" applyFill="1" applyBorder="1" applyAlignment="1">
      <alignment horizontal="left"/>
    </xf>
    <xf numFmtId="0" fontId="52" fillId="0" borderId="10" xfId="465" applyFont="1" applyBorder="1" applyAlignment="1">
      <alignment horizontal="center"/>
    </xf>
    <xf numFmtId="0" fontId="18" fillId="0" borderId="21" xfId="465" applyFont="1" applyFill="1" applyBorder="1" applyAlignment="1">
      <alignment horizontal="left" wrapText="1"/>
    </xf>
    <xf numFmtId="0" fontId="18" fillId="0" borderId="20" xfId="465" applyFont="1" applyFill="1" applyBorder="1" applyAlignment="1">
      <alignment horizontal="center"/>
    </xf>
    <xf numFmtId="164" fontId="18" fillId="0" borderId="21" xfId="390" applyNumberFormat="1" applyFont="1" applyFill="1" applyBorder="1" applyAlignment="1">
      <alignment horizontal="right"/>
    </xf>
    <xf numFmtId="0" fontId="18" fillId="0" borderId="23" xfId="465" applyNumberFormat="1" applyFont="1" applyFill="1" applyBorder="1" applyAlignment="1">
      <alignment horizontal="center"/>
    </xf>
    <xf numFmtId="0" fontId="18" fillId="0" borderId="25" xfId="465" applyNumberFormat="1" applyFont="1" applyFill="1" applyBorder="1" applyAlignment="1">
      <alignment horizontal="center"/>
    </xf>
    <xf numFmtId="0" fontId="9" fillId="0" borderId="24" xfId="465" applyNumberFormat="1" applyFont="1" applyFill="1" applyBorder="1" applyAlignment="1">
      <alignment horizontal="left"/>
    </xf>
    <xf numFmtId="0" fontId="18" fillId="0" borderId="24" xfId="465" applyFont="1" applyFill="1" applyBorder="1" applyAlignment="1"/>
    <xf numFmtId="0" fontId="18" fillId="0" borderId="24" xfId="465" applyNumberFormat="1" applyFont="1" applyFill="1" applyBorder="1" applyAlignment="1">
      <alignment horizontal="left"/>
    </xf>
    <xf numFmtId="0" fontId="9" fillId="0" borderId="20" xfId="465" applyFont="1" applyFill="1" applyBorder="1" applyAlignment="1">
      <alignment horizontal="center"/>
    </xf>
    <xf numFmtId="0" fontId="18" fillId="0" borderId="23" xfId="465" applyFont="1" applyFill="1" applyBorder="1" applyAlignment="1">
      <alignment horizontal="left" wrapText="1"/>
    </xf>
    <xf numFmtId="0" fontId="39" fillId="0" borderId="0" xfId="465" applyNumberFormat="1" applyFont="1" applyFill="1" applyBorder="1" applyAlignment="1"/>
    <xf numFmtId="0" fontId="35" fillId="0" borderId="0" xfId="465" applyNumberFormat="1" applyFont="1" applyFill="1" applyBorder="1" applyAlignment="1">
      <alignment horizontal="left"/>
    </xf>
    <xf numFmtId="0" fontId="35" fillId="0" borderId="0" xfId="465" applyNumberFormat="1" applyFont="1" applyFill="1" applyBorder="1" applyAlignment="1">
      <alignment horizontal="center"/>
    </xf>
    <xf numFmtId="0" fontId="35" fillId="0" borderId="21" xfId="465" applyNumberFormat="1" applyFont="1" applyFill="1" applyBorder="1" applyAlignment="1">
      <alignment horizontal="center"/>
    </xf>
    <xf numFmtId="0" fontId="35" fillId="0" borderId="0" xfId="465" applyFont="1" applyFill="1" applyBorder="1" applyAlignment="1">
      <alignment horizontal="center"/>
    </xf>
    <xf numFmtId="3" fontId="35" fillId="0" borderId="21" xfId="465" applyNumberFormat="1" applyFont="1" applyFill="1" applyBorder="1" applyAlignment="1"/>
    <xf numFmtId="0" fontId="35" fillId="0" borderId="10" xfId="465" applyFont="1" applyFill="1" applyBorder="1" applyAlignment="1"/>
    <xf numFmtId="0" fontId="9" fillId="0" borderId="0" xfId="465" applyFont="1" applyFill="1" applyBorder="1" applyAlignment="1">
      <alignment horizontal="left"/>
    </xf>
    <xf numFmtId="0" fontId="18" fillId="0" borderId="0" xfId="465" applyFont="1" applyAlignment="1">
      <alignment horizontal="left"/>
    </xf>
    <xf numFmtId="1" fontId="18" fillId="0" borderId="14" xfId="465" applyNumberFormat="1" applyFont="1" applyFill="1" applyBorder="1" applyAlignment="1">
      <alignment horizontal="center"/>
    </xf>
    <xf numFmtId="3" fontId="18" fillId="0" borderId="0" xfId="465" applyNumberFormat="1" applyFont="1" applyFill="1" applyBorder="1" applyAlignment="1"/>
    <xf numFmtId="0" fontId="44" fillId="0" borderId="0" xfId="465" applyNumberFormat="1" applyFont="1" applyFill="1" applyBorder="1" applyAlignment="1">
      <alignment horizontal="left"/>
    </xf>
    <xf numFmtId="3" fontId="18" fillId="0" borderId="0" xfId="465" applyNumberFormat="1" applyFont="1" applyBorder="1" applyAlignment="1">
      <alignment horizontal="right"/>
    </xf>
    <xf numFmtId="0" fontId="18" fillId="0" borderId="10" xfId="465" applyFont="1" applyBorder="1" applyAlignment="1"/>
    <xf numFmtId="0" fontId="29" fillId="0" borderId="0" xfId="0" applyNumberFormat="1" applyFont="1" applyFill="1" applyBorder="1" applyAlignment="1">
      <alignment horizontal="left"/>
    </xf>
    <xf numFmtId="0" fontId="29" fillId="0" borderId="0" xfId="0" applyFont="1" applyFill="1" applyBorder="1" applyAlignment="1">
      <alignment horizontal="left"/>
    </xf>
    <xf numFmtId="164" fontId="9" fillId="0" borderId="0" xfId="381" applyNumberFormat="1" applyFont="1" applyBorder="1"/>
    <xf numFmtId="164" fontId="9" fillId="0" borderId="10" xfId="381" applyNumberFormat="1" applyFont="1" applyFill="1" applyBorder="1"/>
    <xf numFmtId="0" fontId="10" fillId="0" borderId="0" xfId="0" applyFont="1" applyFill="1" applyBorder="1" applyAlignment="1"/>
    <xf numFmtId="0" fontId="10" fillId="0" borderId="0" xfId="0" applyNumberFormat="1" applyFont="1" applyFill="1" applyBorder="1" applyAlignment="1">
      <alignment horizontal="center"/>
    </xf>
    <xf numFmtId="0" fontId="10" fillId="30" borderId="0" xfId="0" applyNumberFormat="1" applyFont="1" applyFill="1" applyBorder="1" applyAlignment="1">
      <alignment horizontal="center"/>
    </xf>
    <xf numFmtId="3" fontId="12" fillId="0" borderId="13" xfId="0" applyNumberFormat="1" applyFont="1" applyFill="1" applyBorder="1" applyAlignment="1">
      <alignment horizontal="center"/>
    </xf>
    <xf numFmtId="3" fontId="12" fillId="0" borderId="12" xfId="0" applyNumberFormat="1" applyFont="1" applyFill="1" applyBorder="1" applyAlignment="1"/>
    <xf numFmtId="0" fontId="12" fillId="0" borderId="0" xfId="0" applyNumberFormat="1" applyFont="1" applyBorder="1" applyAlignment="1"/>
    <xf numFmtId="3" fontId="12" fillId="0" borderId="0" xfId="0" applyNumberFormat="1" applyFont="1" applyBorder="1" applyAlignment="1">
      <alignment horizontal="center"/>
    </xf>
    <xf numFmtId="0" fontId="10" fillId="0" borderId="12" xfId="0" applyNumberFormat="1" applyFont="1" applyFill="1" applyBorder="1" applyAlignment="1">
      <alignment horizontal="left"/>
    </xf>
    <xf numFmtId="0" fontId="10" fillId="0" borderId="12" xfId="0" applyFont="1" applyFill="1" applyBorder="1"/>
    <xf numFmtId="0" fontId="10" fillId="0" borderId="12" xfId="0" applyFont="1" applyFill="1" applyBorder="1" applyAlignment="1">
      <alignment horizontal="left"/>
    </xf>
    <xf numFmtId="0" fontId="10" fillId="0" borderId="12" xfId="0" applyFont="1" applyFill="1" applyBorder="1" applyAlignment="1">
      <alignment horizontal="center"/>
    </xf>
    <xf numFmtId="0" fontId="10" fillId="0" borderId="0" xfId="0" applyFont="1" applyBorder="1" applyAlignment="1">
      <alignment horizontal="left"/>
    </xf>
    <xf numFmtId="3" fontId="12" fillId="0" borderId="12" xfId="0" applyNumberFormat="1" applyFont="1" applyFill="1" applyBorder="1" applyAlignment="1">
      <alignment horizontal="center"/>
    </xf>
    <xf numFmtId="3" fontId="12" fillId="0" borderId="13" xfId="0" applyNumberFormat="1" applyFont="1" applyBorder="1" applyAlignment="1">
      <alignment horizontal="center"/>
    </xf>
    <xf numFmtId="0" fontId="12" fillId="0" borderId="0" xfId="0" applyNumberFormat="1" applyFont="1" applyFill="1" applyBorder="1" applyAlignment="1">
      <alignment horizontal="left"/>
    </xf>
    <xf numFmtId="0" fontId="10" fillId="0" borderId="13" xfId="0" applyNumberFormat="1" applyFont="1" applyBorder="1" applyAlignment="1">
      <alignment horizontal="left"/>
    </xf>
    <xf numFmtId="0" fontId="10" fillId="0" borderId="13" xfId="0" applyNumberFormat="1" applyFont="1" applyBorder="1" applyAlignment="1">
      <alignment horizontal="center"/>
    </xf>
    <xf numFmtId="0" fontId="12" fillId="0" borderId="0" xfId="0" applyNumberFormat="1" applyFont="1" applyFill="1" applyBorder="1" applyAlignment="1"/>
    <xf numFmtId="168" fontId="12" fillId="0" borderId="0" xfId="0" applyNumberFormat="1" applyFont="1" applyBorder="1" applyAlignment="1">
      <alignment horizontal="left"/>
    </xf>
    <xf numFmtId="0" fontId="21" fillId="0" borderId="15" xfId="0" applyNumberFormat="1" applyFont="1" applyFill="1" applyBorder="1" applyAlignment="1"/>
    <xf numFmtId="0" fontId="21" fillId="0" borderId="15" xfId="0" applyFont="1" applyFill="1" applyBorder="1" applyAlignment="1"/>
    <xf numFmtId="3" fontId="21" fillId="0" borderId="15" xfId="0" applyNumberFormat="1" applyFont="1" applyBorder="1" applyAlignment="1">
      <alignment horizontal="center"/>
    </xf>
    <xf numFmtId="0" fontId="21" fillId="0" borderId="0" xfId="0" applyNumberFormat="1" applyFont="1" applyFill="1" applyBorder="1" applyAlignment="1"/>
    <xf numFmtId="0" fontId="21" fillId="0" borderId="0" xfId="0" applyFont="1" applyFill="1" applyBorder="1" applyAlignment="1"/>
    <xf numFmtId="3" fontId="21" fillId="0" borderId="0" xfId="0" applyNumberFormat="1" applyFont="1" applyBorder="1" applyAlignment="1">
      <alignment horizontal="center"/>
    </xf>
    <xf numFmtId="3" fontId="12" fillId="0" borderId="0" xfId="0" applyNumberFormat="1" applyFont="1" applyFill="1" applyBorder="1"/>
    <xf numFmtId="0" fontId="12" fillId="0" borderId="14" xfId="0" applyNumberFormat="1" applyFont="1" applyFill="1" applyBorder="1" applyAlignment="1"/>
    <xf numFmtId="0" fontId="21" fillId="0" borderId="14" xfId="0" applyFont="1" applyFill="1" applyBorder="1" applyAlignment="1"/>
    <xf numFmtId="10" fontId="12" fillId="0" borderId="0" xfId="633" applyNumberFormat="1" applyFont="1" applyFill="1" applyBorder="1"/>
    <xf numFmtId="0" fontId="15" fillId="0" borderId="0" xfId="0" applyFont="1" applyFill="1" applyBorder="1" applyAlignment="1">
      <alignment horizontal="center"/>
    </xf>
    <xf numFmtId="37" fontId="12" fillId="0" borderId="0" xfId="0" applyNumberFormat="1" applyFont="1" applyBorder="1" applyAlignment="1">
      <alignment horizontal="left"/>
    </xf>
    <xf numFmtId="0" fontId="15" fillId="0" borderId="0" xfId="0" applyFont="1" applyBorder="1" applyAlignment="1">
      <alignment horizontal="center"/>
    </xf>
    <xf numFmtId="0" fontId="10" fillId="0" borderId="0" xfId="0" applyNumberFormat="1" applyFont="1" applyBorder="1" applyAlignment="1">
      <alignment horizontal="center"/>
    </xf>
    <xf numFmtId="37" fontId="12" fillId="0" borderId="0" xfId="0" applyNumberFormat="1" applyFont="1" applyFill="1" applyBorder="1" applyAlignment="1">
      <alignment horizontal="left"/>
    </xf>
    <xf numFmtId="3" fontId="12" fillId="30" borderId="0" xfId="0" applyNumberFormat="1" applyFont="1" applyFill="1" applyAlignment="1">
      <alignment horizontal="center"/>
    </xf>
    <xf numFmtId="49" fontId="61" fillId="0" borderId="0" xfId="0" applyNumberFormat="1" applyFont="1" applyFill="1" applyBorder="1" applyAlignment="1">
      <alignment horizontal="left"/>
    </xf>
    <xf numFmtId="0" fontId="8" fillId="0" borderId="0" xfId="465" applyFont="1" applyFill="1"/>
    <xf numFmtId="0" fontId="8" fillId="0" borderId="0" xfId="465" applyFont="1"/>
    <xf numFmtId="0" fontId="9" fillId="0" borderId="0" xfId="465" applyFont="1" applyFill="1" applyBorder="1" applyAlignment="1">
      <alignment horizontal="center" wrapText="1"/>
    </xf>
    <xf numFmtId="0" fontId="51" fillId="0" borderId="0" xfId="0" applyFont="1" applyFill="1" applyBorder="1"/>
    <xf numFmtId="164" fontId="18" fillId="0" borderId="22" xfId="390" applyNumberFormat="1" applyFont="1" applyFill="1" applyBorder="1" applyAlignment="1">
      <alignment horizontal="center"/>
    </xf>
    <xf numFmtId="164" fontId="9" fillId="0" borderId="24" xfId="381" applyNumberFormat="1" applyFont="1" applyFill="1" applyBorder="1"/>
    <xf numFmtId="0" fontId="8" fillId="0" borderId="0" xfId="467" applyFont="1"/>
    <xf numFmtId="0" fontId="8" fillId="0" borderId="0" xfId="467"/>
    <xf numFmtId="0" fontId="8" fillId="0" borderId="0" xfId="467" applyAlignment="1">
      <alignment horizontal="center"/>
    </xf>
    <xf numFmtId="0" fontId="8" fillId="0" borderId="0" xfId="467" applyAlignment="1">
      <alignment horizontal="centerContinuous"/>
    </xf>
    <xf numFmtId="164" fontId="8" fillId="0" borderId="0" xfId="381" applyNumberFormat="1" applyFont="1" applyBorder="1" applyAlignment="1"/>
    <xf numFmtId="164" fontId="8" fillId="0" borderId="0" xfId="381" applyNumberFormat="1" applyFont="1" applyFill="1" applyBorder="1" applyAlignment="1">
      <alignment horizontal="center" wrapText="1"/>
    </xf>
    <xf numFmtId="0" fontId="12" fillId="0" borderId="27" xfId="0" applyFont="1" applyBorder="1"/>
    <xf numFmtId="164" fontId="12" fillId="0" borderId="0" xfId="381" applyNumberFormat="1" applyFont="1" applyBorder="1"/>
    <xf numFmtId="164" fontId="12" fillId="0" borderId="0" xfId="381" applyNumberFormat="1" applyFont="1" applyFill="1" applyBorder="1"/>
    <xf numFmtId="49" fontId="29" fillId="0" borderId="0" xfId="0" applyNumberFormat="1" applyFont="1" applyFill="1" applyBorder="1" applyAlignment="1">
      <alignment horizontal="left"/>
    </xf>
    <xf numFmtId="164" fontId="0" fillId="0" borderId="0" xfId="381" applyNumberFormat="1" applyFont="1"/>
    <xf numFmtId="0" fontId="0" fillId="0" borderId="20" xfId="0" applyBorder="1"/>
    <xf numFmtId="0" fontId="0" fillId="0" borderId="21" xfId="0" applyBorder="1"/>
    <xf numFmtId="164" fontId="18" fillId="0" borderId="28" xfId="390" applyNumberFormat="1" applyFont="1" applyFill="1" applyBorder="1" applyAlignment="1">
      <alignment horizontal="right"/>
    </xf>
    <xf numFmtId="3" fontId="35" fillId="0" borderId="0" xfId="465" applyNumberFormat="1" applyFont="1" applyFill="1" applyBorder="1" applyAlignment="1"/>
    <xf numFmtId="3" fontId="18" fillId="0" borderId="10" xfId="465" applyNumberFormat="1" applyFont="1" applyFill="1" applyBorder="1" applyAlignment="1">
      <alignment horizontal="left"/>
    </xf>
    <xf numFmtId="0" fontId="12" fillId="0" borderId="12" xfId="0" applyNumberFormat="1" applyFont="1" applyFill="1" applyBorder="1" applyAlignment="1"/>
    <xf numFmtId="164" fontId="12" fillId="30" borderId="0" xfId="381" applyNumberFormat="1" applyFont="1" applyFill="1"/>
    <xf numFmtId="164" fontId="52" fillId="0" borderId="0" xfId="465" applyNumberFormat="1" applyFont="1" applyBorder="1" applyAlignment="1">
      <alignment horizontal="center"/>
    </xf>
    <xf numFmtId="0" fontId="30" fillId="0" borderId="0" xfId="0" applyFont="1" applyAlignment="1">
      <alignment horizontal="left"/>
    </xf>
    <xf numFmtId="0" fontId="14" fillId="0" borderId="14" xfId="0" applyFont="1" applyBorder="1" applyAlignment="1">
      <alignment horizontal="right"/>
    </xf>
    <xf numFmtId="3" fontId="59" fillId="0" borderId="13" xfId="0" applyNumberFormat="1" applyFont="1" applyBorder="1" applyAlignment="1">
      <alignment horizontal="right"/>
    </xf>
    <xf numFmtId="0" fontId="12" fillId="0" borderId="14" xfId="0" applyFont="1" applyFill="1" applyBorder="1"/>
    <xf numFmtId="0" fontId="12" fillId="0" borderId="14" xfId="0" applyFont="1" applyFill="1" applyBorder="1" applyAlignment="1"/>
    <xf numFmtId="0" fontId="0" fillId="30" borderId="0" xfId="0" applyFill="1"/>
    <xf numFmtId="0" fontId="10" fillId="0" borderId="0" xfId="0" applyFont="1" applyBorder="1"/>
    <xf numFmtId="3" fontId="12" fillId="0" borderId="14" xfId="473" applyNumberFormat="1" applyFont="1" applyFill="1" applyBorder="1" applyAlignment="1"/>
    <xf numFmtId="164" fontId="0" fillId="0" borderId="0" xfId="0" applyNumberFormat="1"/>
    <xf numFmtId="0" fontId="51" fillId="0" borderId="0" xfId="0" applyFont="1" applyFill="1"/>
    <xf numFmtId="164" fontId="18" fillId="0" borderId="12" xfId="381" applyNumberFormat="1" applyFont="1" applyFill="1" applyBorder="1" applyAlignment="1">
      <alignment wrapText="1"/>
    </xf>
    <xf numFmtId="167" fontId="0" fillId="0" borderId="0" xfId="0" applyNumberFormat="1" applyFill="1"/>
    <xf numFmtId="164" fontId="8" fillId="0" borderId="0" xfId="381" applyNumberFormat="1" applyFill="1" applyAlignment="1"/>
    <xf numFmtId="164" fontId="8" fillId="0" borderId="0" xfId="381" applyNumberFormat="1" applyFill="1" applyAlignment="1">
      <alignment wrapText="1"/>
    </xf>
    <xf numFmtId="0" fontId="51" fillId="0" borderId="14" xfId="0" applyFont="1" applyFill="1" applyBorder="1"/>
    <xf numFmtId="164" fontId="8" fillId="0" borderId="0" xfId="465" applyNumberFormat="1" applyFont="1" applyFill="1" applyBorder="1" applyAlignment="1">
      <alignment horizontal="center" wrapText="1"/>
    </xf>
    <xf numFmtId="168" fontId="8" fillId="0" borderId="0" xfId="633" applyNumberFormat="1" applyFont="1" applyFill="1" applyBorder="1" applyAlignment="1">
      <alignment horizontal="center" wrapText="1"/>
    </xf>
    <xf numFmtId="3" fontId="18" fillId="0" borderId="0" xfId="465" applyNumberFormat="1" applyFont="1" applyFill="1" applyBorder="1" applyAlignment="1">
      <alignment horizontal="right"/>
    </xf>
    <xf numFmtId="164" fontId="18" fillId="0" borderId="0" xfId="465" applyNumberFormat="1" applyFont="1" applyFill="1" applyBorder="1" applyAlignment="1">
      <alignment horizontal="right"/>
    </xf>
    <xf numFmtId="164" fontId="18" fillId="0" borderId="10" xfId="390" applyNumberFormat="1" applyFont="1" applyFill="1" applyBorder="1" applyAlignment="1">
      <alignment horizontal="right"/>
    </xf>
    <xf numFmtId="0" fontId="52" fillId="0" borderId="0" xfId="465" applyFont="1" applyFill="1" applyBorder="1" applyAlignment="1"/>
    <xf numFmtId="164" fontId="18" fillId="0" borderId="0" xfId="465" applyNumberFormat="1" applyFont="1" applyFill="1" applyBorder="1"/>
    <xf numFmtId="0" fontId="52" fillId="0" borderId="10" xfId="465" applyNumberFormat="1" applyFont="1" applyFill="1" applyBorder="1" applyAlignment="1">
      <alignment horizontal="center"/>
    </xf>
    <xf numFmtId="164" fontId="52" fillId="0" borderId="10" xfId="390" applyNumberFormat="1" applyFont="1" applyFill="1" applyBorder="1" applyAlignment="1">
      <alignment horizontal="right"/>
    </xf>
    <xf numFmtId="0" fontId="51" fillId="0" borderId="25" xfId="0" applyFont="1" applyFill="1" applyBorder="1"/>
    <xf numFmtId="0" fontId="51" fillId="0" borderId="24" xfId="0" applyFont="1" applyFill="1" applyBorder="1"/>
    <xf numFmtId="0" fontId="51" fillId="0" borderId="29" xfId="0" applyFont="1" applyFill="1" applyBorder="1"/>
    <xf numFmtId="41" fontId="51" fillId="0" borderId="0" xfId="381" applyNumberFormat="1" applyFont="1" applyFill="1" applyBorder="1"/>
    <xf numFmtId="9" fontId="51" fillId="0" borderId="21" xfId="633" applyFont="1" applyFill="1" applyBorder="1"/>
    <xf numFmtId="41" fontId="51" fillId="0" borderId="12" xfId="381" applyNumberFormat="1" applyFont="1" applyFill="1" applyBorder="1"/>
    <xf numFmtId="0" fontId="51" fillId="0" borderId="30" xfId="0" applyFont="1" applyFill="1" applyBorder="1"/>
    <xf numFmtId="0" fontId="51" fillId="0" borderId="31" xfId="0" applyFont="1" applyFill="1" applyBorder="1"/>
    <xf numFmtId="0" fontId="48" fillId="0" borderId="20" xfId="0" applyFont="1" applyFill="1" applyBorder="1"/>
    <xf numFmtId="0" fontId="48" fillId="0" borderId="0" xfId="0" applyFont="1" applyFill="1" applyBorder="1"/>
    <xf numFmtId="41" fontId="48" fillId="0" borderId="12" xfId="381" applyNumberFormat="1" applyFont="1" applyFill="1" applyBorder="1"/>
    <xf numFmtId="9" fontId="48" fillId="0" borderId="21" xfId="633" applyFont="1" applyFill="1" applyBorder="1"/>
    <xf numFmtId="10" fontId="51" fillId="0" borderId="21" xfId="633" applyNumberFormat="1" applyFont="1" applyFill="1" applyBorder="1"/>
    <xf numFmtId="10" fontId="48" fillId="0" borderId="32" xfId="633" applyNumberFormat="1" applyFont="1" applyFill="1" applyBorder="1"/>
    <xf numFmtId="9" fontId="51" fillId="0" borderId="0" xfId="633" applyFont="1" applyFill="1"/>
    <xf numFmtId="0" fontId="51" fillId="0" borderId="22" xfId="0" applyFont="1" applyFill="1" applyBorder="1"/>
    <xf numFmtId="0" fontId="51" fillId="0" borderId="10" xfId="0" applyFont="1" applyFill="1" applyBorder="1"/>
    <xf numFmtId="0" fontId="51" fillId="0" borderId="23" xfId="0" applyFont="1" applyFill="1" applyBorder="1"/>
    <xf numFmtId="0" fontId="50" fillId="0" borderId="0" xfId="552" applyFont="1" applyBorder="1" applyAlignment="1">
      <alignment horizontal="center"/>
    </xf>
    <xf numFmtId="0" fontId="9" fillId="0" borderId="14" xfId="0" applyFont="1" applyBorder="1" applyAlignment="1">
      <alignment horizontal="center"/>
    </xf>
    <xf numFmtId="0" fontId="8" fillId="0" borderId="0" xfId="465" applyFont="1" applyBorder="1"/>
    <xf numFmtId="41" fontId="8" fillId="0" borderId="0" xfId="381" applyNumberFormat="1" applyFont="1"/>
    <xf numFmtId="41" fontId="0" fillId="0" borderId="0" xfId="0" applyNumberFormat="1"/>
    <xf numFmtId="0" fontId="8" fillId="0" borderId="0" xfId="465" applyFont="1" applyBorder="1" applyAlignment="1"/>
    <xf numFmtId="41" fontId="8" fillId="0" borderId="0" xfId="381" applyNumberFormat="1" applyFont="1" applyFill="1"/>
    <xf numFmtId="43" fontId="0" fillId="0" borderId="0" xfId="381" applyFont="1"/>
    <xf numFmtId="0" fontId="9" fillId="0" borderId="0" xfId="0" applyFont="1" applyBorder="1" applyAlignment="1">
      <alignment horizontal="center"/>
    </xf>
    <xf numFmtId="0" fontId="9" fillId="0" borderId="0" xfId="0" applyFont="1" applyBorder="1" applyAlignment="1">
      <alignment horizontal="left"/>
    </xf>
    <xf numFmtId="0" fontId="9" fillId="0" borderId="26" xfId="0" applyFont="1" applyBorder="1" applyAlignment="1">
      <alignment horizontal="left"/>
    </xf>
    <xf numFmtId="0" fontId="9" fillId="0" borderId="26" xfId="0" applyFont="1" applyBorder="1" applyAlignment="1">
      <alignment horizontal="center"/>
    </xf>
    <xf numFmtId="0" fontId="0" fillId="0" borderId="26" xfId="0" applyBorder="1"/>
    <xf numFmtId="1" fontId="9" fillId="0" borderId="17" xfId="381" applyNumberFormat="1" applyFont="1" applyFill="1" applyBorder="1" applyAlignment="1">
      <alignment horizontal="center"/>
    </xf>
    <xf numFmtId="1" fontId="9" fillId="0" borderId="17" xfId="0" applyNumberFormat="1" applyFont="1" applyFill="1" applyBorder="1" applyAlignment="1">
      <alignment horizontal="center"/>
    </xf>
    <xf numFmtId="1" fontId="9" fillId="0" borderId="0" xfId="0" applyNumberFormat="1" applyFont="1" applyFill="1" applyBorder="1" applyAlignment="1">
      <alignment horizontal="center"/>
    </xf>
    <xf numFmtId="164" fontId="9" fillId="0" borderId="26" xfId="381" applyNumberFormat="1" applyFont="1" applyFill="1" applyBorder="1" applyAlignment="1">
      <alignment horizontal="center"/>
    </xf>
    <xf numFmtId="1" fontId="9" fillId="0" borderId="26" xfId="0" applyNumberFormat="1" applyFont="1" applyFill="1" applyBorder="1" applyAlignment="1">
      <alignment horizontal="center"/>
    </xf>
    <xf numFmtId="0" fontId="8" fillId="0" borderId="0" xfId="477" applyFont="1" applyFill="1" applyBorder="1"/>
    <xf numFmtId="0" fontId="8" fillId="0" borderId="0" xfId="477" applyFont="1" applyBorder="1" applyAlignment="1"/>
    <xf numFmtId="0" fontId="8" fillId="0" borderId="0" xfId="477" applyFont="1" applyBorder="1"/>
    <xf numFmtId="0" fontId="70" fillId="0" borderId="0" xfId="0" applyFont="1" applyFill="1"/>
    <xf numFmtId="0" fontId="10" fillId="0" borderId="28" xfId="0" applyFont="1" applyFill="1" applyBorder="1"/>
    <xf numFmtId="164" fontId="12" fillId="0" borderId="28" xfId="381" applyNumberFormat="1" applyFont="1" applyFill="1" applyBorder="1"/>
    <xf numFmtId="164" fontId="12" fillId="0" borderId="28" xfId="381" applyNumberFormat="1" applyFont="1" applyBorder="1"/>
    <xf numFmtId="173" fontId="10" fillId="0" borderId="33" xfId="633" applyNumberFormat="1" applyFont="1" applyFill="1" applyBorder="1" applyAlignment="1"/>
    <xf numFmtId="3" fontId="12" fillId="0" borderId="28" xfId="0" applyNumberFormat="1" applyFont="1" applyFill="1" applyBorder="1"/>
    <xf numFmtId="164" fontId="12" fillId="30" borderId="28" xfId="381" applyNumberFormat="1" applyFont="1" applyFill="1" applyBorder="1"/>
    <xf numFmtId="3" fontId="10" fillId="0" borderId="34" xfId="0" applyNumberFormat="1" applyFont="1" applyFill="1" applyBorder="1" applyAlignment="1"/>
    <xf numFmtId="3" fontId="10" fillId="0" borderId="33" xfId="0" applyNumberFormat="1" applyFont="1" applyFill="1" applyBorder="1"/>
    <xf numFmtId="3" fontId="12" fillId="0" borderId="28" xfId="0" applyNumberFormat="1" applyFont="1" applyFill="1" applyBorder="1" applyAlignment="1"/>
    <xf numFmtId="164" fontId="12" fillId="0" borderId="35" xfId="381" applyNumberFormat="1" applyFont="1" applyBorder="1"/>
    <xf numFmtId="164" fontId="10" fillId="0" borderId="28" xfId="381" applyNumberFormat="1" applyFont="1" applyBorder="1"/>
    <xf numFmtId="3" fontId="10" fillId="0" borderId="33" xfId="0" applyNumberFormat="1" applyFont="1" applyBorder="1"/>
    <xf numFmtId="164" fontId="10" fillId="0" borderId="28" xfId="381" applyNumberFormat="1" applyFont="1" applyFill="1" applyBorder="1"/>
    <xf numFmtId="3" fontId="10" fillId="0" borderId="33" xfId="0" applyNumberFormat="1" applyFont="1" applyFill="1" applyBorder="1" applyAlignment="1"/>
    <xf numFmtId="3" fontId="10" fillId="0" borderId="33" xfId="0" applyNumberFormat="1" applyFont="1" applyFill="1" applyBorder="1" applyAlignment="1">
      <alignment horizontal="right"/>
    </xf>
    <xf numFmtId="3" fontId="12" fillId="0" borderId="28" xfId="0" applyNumberFormat="1" applyFont="1" applyBorder="1"/>
    <xf numFmtId="3" fontId="10" fillId="0" borderId="34" xfId="0" applyNumberFormat="1" applyFont="1" applyBorder="1"/>
    <xf numFmtId="3" fontId="21" fillId="0" borderId="36" xfId="0" applyNumberFormat="1" applyFont="1" applyBorder="1"/>
    <xf numFmtId="3" fontId="12" fillId="0" borderId="35" xfId="0" applyNumberFormat="1" applyFont="1" applyFill="1" applyBorder="1"/>
    <xf numFmtId="3" fontId="10" fillId="0" borderId="28" xfId="0" applyNumberFormat="1" applyFont="1" applyFill="1" applyBorder="1"/>
    <xf numFmtId="164" fontId="10" fillId="0" borderId="28" xfId="381" applyNumberFormat="1" applyFont="1" applyBorder="1" applyAlignment="1"/>
    <xf numFmtId="173" fontId="10" fillId="0" borderId="28" xfId="633" applyNumberFormat="1" applyFont="1" applyBorder="1" applyAlignment="1"/>
    <xf numFmtId="164" fontId="10" fillId="0" borderId="28" xfId="381" applyNumberFormat="1" applyFont="1" applyFill="1" applyBorder="1" applyAlignment="1"/>
    <xf numFmtId="0" fontId="18" fillId="0" borderId="10" xfId="465" applyFont="1" applyFill="1" applyBorder="1" applyAlignment="1">
      <alignment horizontal="center"/>
    </xf>
    <xf numFmtId="0" fontId="39" fillId="0" borderId="0" xfId="465" applyFont="1" applyFill="1" applyBorder="1" applyAlignment="1">
      <alignment horizontal="center" wrapText="1"/>
    </xf>
    <xf numFmtId="0" fontId="35" fillId="0" borderId="0" xfId="465" applyFont="1" applyFill="1" applyBorder="1" applyAlignment="1">
      <alignment horizontal="center" wrapText="1"/>
    </xf>
    <xf numFmtId="0" fontId="35" fillId="0" borderId="21" xfId="465" applyFont="1" applyFill="1" applyBorder="1" applyAlignment="1">
      <alignment horizontal="center" wrapText="1"/>
    </xf>
    <xf numFmtId="0" fontId="39" fillId="0" borderId="21" xfId="465" applyFont="1" applyFill="1" applyBorder="1" applyAlignment="1">
      <alignment horizontal="center" wrapText="1"/>
    </xf>
    <xf numFmtId="0" fontId="9" fillId="0" borderId="24" xfId="465" applyFont="1" applyFill="1" applyBorder="1" applyAlignment="1">
      <alignment horizontal="center" wrapText="1"/>
    </xf>
    <xf numFmtId="164" fontId="12" fillId="0" borderId="35" xfId="381" applyNumberFormat="1" applyFont="1" applyFill="1" applyBorder="1"/>
    <xf numFmtId="0" fontId="8" fillId="0" borderId="0" xfId="465" applyNumberFormat="1" applyFont="1" applyFill="1" applyBorder="1" applyAlignment="1">
      <alignment horizontal="center"/>
    </xf>
    <xf numFmtId="0" fontId="8" fillId="0" borderId="24" xfId="465" applyNumberFormat="1" applyFont="1" applyFill="1" applyBorder="1" applyAlignment="1">
      <alignment horizontal="center"/>
    </xf>
    <xf numFmtId="0" fontId="51" fillId="0" borderId="0" xfId="0" applyFont="1" applyFill="1" applyBorder="1" applyAlignment="1">
      <alignment wrapText="1"/>
    </xf>
    <xf numFmtId="0" fontId="49" fillId="0" borderId="20" xfId="0" applyFont="1" applyFill="1" applyBorder="1"/>
    <xf numFmtId="164" fontId="51" fillId="0" borderId="21" xfId="381" applyNumberFormat="1" applyFont="1" applyFill="1" applyBorder="1"/>
    <xf numFmtId="164" fontId="51" fillId="0" borderId="32" xfId="0" applyNumberFormat="1" applyFont="1" applyFill="1" applyBorder="1"/>
    <xf numFmtId="164" fontId="51" fillId="0" borderId="23" xfId="0" applyNumberFormat="1" applyFont="1" applyFill="1" applyBorder="1"/>
    <xf numFmtId="0" fontId="71" fillId="0" borderId="0" xfId="0" applyFont="1" applyFill="1" applyBorder="1"/>
    <xf numFmtId="164" fontId="51" fillId="0" borderId="32" xfId="381" applyNumberFormat="1" applyFont="1" applyFill="1" applyBorder="1"/>
    <xf numFmtId="164" fontId="51" fillId="0" borderId="23" xfId="381" applyNumberFormat="1" applyFont="1" applyFill="1" applyBorder="1"/>
    <xf numFmtId="167" fontId="0" fillId="0" borderId="13" xfId="420" applyNumberFormat="1" applyFont="1" applyFill="1" applyBorder="1" applyAlignment="1"/>
    <xf numFmtId="0" fontId="8" fillId="0" borderId="0" xfId="0" applyFont="1" applyFill="1" applyBorder="1" applyAlignment="1">
      <alignment horizontal="center" wrapText="1"/>
    </xf>
    <xf numFmtId="164" fontId="72" fillId="0" borderId="28" xfId="381" applyNumberFormat="1" applyFont="1" applyFill="1" applyBorder="1"/>
    <xf numFmtId="0" fontId="18" fillId="0" borderId="0" xfId="390" applyNumberFormat="1" applyFont="1" applyFill="1" applyBorder="1" applyAlignment="1">
      <alignment horizontal="right"/>
    </xf>
    <xf numFmtId="165" fontId="8" fillId="31" borderId="0" xfId="498" applyNumberFormat="1" applyFont="1" applyFill="1" applyAlignment="1">
      <alignment horizontal="center"/>
    </xf>
    <xf numFmtId="0" fontId="74" fillId="31" borderId="10" xfId="0" applyFont="1" applyFill="1" applyBorder="1" applyAlignment="1">
      <alignment horizontal="center"/>
    </xf>
    <xf numFmtId="165" fontId="8" fillId="31" borderId="10" xfId="498" applyNumberFormat="1" applyFont="1" applyFill="1" applyBorder="1" applyAlignment="1">
      <alignment horizontal="center"/>
    </xf>
    <xf numFmtId="0" fontId="75" fillId="31" borderId="0" xfId="0" applyFont="1" applyFill="1" applyAlignment="1">
      <alignment horizontal="center"/>
    </xf>
    <xf numFmtId="0" fontId="75" fillId="31" borderId="0" xfId="0" applyFont="1" applyFill="1"/>
    <xf numFmtId="165" fontId="8" fillId="31" borderId="0" xfId="498" applyNumberFormat="1" applyFont="1" applyFill="1"/>
    <xf numFmtId="0" fontId="75" fillId="31" borderId="24" xfId="0" applyFont="1" applyFill="1" applyBorder="1" applyAlignment="1"/>
    <xf numFmtId="164" fontId="8" fillId="31" borderId="0" xfId="381" applyNumberFormat="1" applyFont="1" applyFill="1"/>
    <xf numFmtId="0" fontId="75" fillId="31" borderId="0" xfId="0" applyFont="1" applyFill="1" applyAlignment="1"/>
    <xf numFmtId="0" fontId="8" fillId="31" borderId="0" xfId="0" applyFont="1" applyFill="1"/>
    <xf numFmtId="0" fontId="8" fillId="31" borderId="0" xfId="0" applyFont="1" applyFill="1" applyAlignment="1"/>
    <xf numFmtId="0" fontId="0" fillId="31" borderId="0" xfId="0" applyFill="1" applyAlignment="1"/>
    <xf numFmtId="164" fontId="76" fillId="31" borderId="0" xfId="0" applyNumberFormat="1" applyFont="1" applyFill="1" applyAlignment="1"/>
    <xf numFmtId="0" fontId="76" fillId="31" borderId="0" xfId="0" applyFont="1" applyFill="1" applyAlignment="1"/>
    <xf numFmtId="175" fontId="8" fillId="31" borderId="0" xfId="381" applyNumberFormat="1" applyFont="1" applyFill="1"/>
    <xf numFmtId="44" fontId="8" fillId="31" borderId="0" xfId="421" applyFont="1" applyFill="1"/>
    <xf numFmtId="165" fontId="8" fillId="0" borderId="0" xfId="498" applyNumberFormat="1" applyFont="1" applyFill="1"/>
    <xf numFmtId="44" fontId="8" fillId="0" borderId="0" xfId="421" applyFont="1" applyFill="1"/>
    <xf numFmtId="0" fontId="75" fillId="0" borderId="0" xfId="0" applyFont="1" applyFill="1"/>
    <xf numFmtId="165" fontId="8" fillId="0" borderId="0" xfId="498" applyNumberFormat="1" applyFont="1"/>
    <xf numFmtId="44" fontId="8" fillId="0" borderId="0" xfId="421" applyFont="1"/>
    <xf numFmtId="0" fontId="77" fillId="0" borderId="0" xfId="0" applyFont="1"/>
    <xf numFmtId="0" fontId="78" fillId="0" borderId="0" xfId="0" applyFont="1"/>
    <xf numFmtId="0" fontId="79" fillId="0" borderId="0" xfId="0" applyFont="1"/>
    <xf numFmtId="0" fontId="80" fillId="0" borderId="0" xfId="467" applyFont="1" applyAlignment="1">
      <alignment horizontal="centerContinuous"/>
    </xf>
    <xf numFmtId="0" fontId="81" fillId="0" borderId="0" xfId="467" applyFont="1" applyAlignment="1">
      <alignment horizontal="centerContinuous"/>
    </xf>
    <xf numFmtId="0" fontId="82" fillId="0" borderId="0" xfId="467" applyFont="1"/>
    <xf numFmtId="0" fontId="50" fillId="0" borderId="0" xfId="467" applyFont="1" applyAlignment="1">
      <alignment horizontal="center"/>
    </xf>
    <xf numFmtId="0" fontId="50" fillId="0" borderId="0" xfId="467" applyFont="1"/>
    <xf numFmtId="0" fontId="83" fillId="0" borderId="0" xfId="467" applyFont="1" applyAlignment="1">
      <alignment horizontal="left"/>
    </xf>
    <xf numFmtId="0" fontId="50" fillId="0" borderId="0" xfId="467" applyFont="1" applyFill="1" applyAlignment="1">
      <alignment horizontal="center"/>
    </xf>
    <xf numFmtId="0" fontId="50" fillId="0" borderId="0" xfId="467" applyFont="1" applyFill="1" applyAlignment="1">
      <alignment horizontal="left"/>
    </xf>
    <xf numFmtId="0" fontId="50" fillId="0" borderId="0" xfId="467" applyFont="1" applyFill="1"/>
    <xf numFmtId="16" fontId="50" fillId="0" borderId="0" xfId="467" applyNumberFormat="1" applyFont="1" applyFill="1" applyAlignment="1">
      <alignment horizontal="center"/>
    </xf>
    <xf numFmtId="0" fontId="50" fillId="0" borderId="0" xfId="467" applyFont="1" applyAlignment="1">
      <alignment horizontal="left"/>
    </xf>
    <xf numFmtId="0" fontId="8" fillId="0" borderId="0" xfId="467" applyAlignment="1"/>
    <xf numFmtId="16" fontId="50" fillId="0" borderId="0" xfId="467" applyNumberFormat="1" applyFont="1" applyAlignment="1">
      <alignment horizontal="center"/>
    </xf>
    <xf numFmtId="0" fontId="83" fillId="0" borderId="0" xfId="467" applyFont="1" applyFill="1" applyAlignment="1">
      <alignment horizontal="left"/>
    </xf>
    <xf numFmtId="164" fontId="50" fillId="0" borderId="0" xfId="391" applyNumberFormat="1" applyFont="1"/>
    <xf numFmtId="167" fontId="50" fillId="32" borderId="0" xfId="422" applyNumberFormat="1" applyFont="1" applyFill="1"/>
    <xf numFmtId="0" fontId="84" fillId="0" borderId="0" xfId="467" applyFont="1" applyFill="1" applyAlignment="1">
      <alignment horizontal="left"/>
    </xf>
    <xf numFmtId="0" fontId="85" fillId="0" borderId="0" xfId="467" applyFont="1" applyAlignment="1">
      <alignment horizontal="center"/>
    </xf>
    <xf numFmtId="0" fontId="85" fillId="0" borderId="0" xfId="467" applyFont="1" applyAlignment="1">
      <alignment horizontal="left"/>
    </xf>
    <xf numFmtId="164" fontId="50" fillId="0" borderId="0" xfId="467" applyNumberFormat="1" applyFont="1"/>
    <xf numFmtId="164" fontId="50" fillId="33" borderId="0" xfId="391" applyNumberFormat="1" applyFont="1" applyFill="1"/>
    <xf numFmtId="164" fontId="50" fillId="0" borderId="0" xfId="391" applyNumberFormat="1" applyFont="1" applyFill="1"/>
    <xf numFmtId="43" fontId="50" fillId="0" borderId="0" xfId="467" applyNumberFormat="1" applyFont="1"/>
    <xf numFmtId="164" fontId="50" fillId="0" borderId="0" xfId="467" applyNumberFormat="1" applyFont="1" applyAlignment="1">
      <alignment horizontal="right"/>
    </xf>
    <xf numFmtId="167" fontId="50" fillId="32" borderId="0" xfId="467" applyNumberFormat="1" applyFont="1" applyFill="1"/>
    <xf numFmtId="167" fontId="50" fillId="0" borderId="0" xfId="467" applyNumberFormat="1" applyFont="1"/>
    <xf numFmtId="167" fontId="50" fillId="0" borderId="0" xfId="422" applyNumberFormat="1" applyFont="1"/>
    <xf numFmtId="0" fontId="50" fillId="0" borderId="0" xfId="467" applyFont="1" applyBorder="1" applyAlignment="1">
      <alignment horizontal="center"/>
    </xf>
    <xf numFmtId="0" fontId="50" fillId="0" borderId="0" xfId="467" applyFont="1" applyBorder="1"/>
    <xf numFmtId="0" fontId="86" fillId="0" borderId="0" xfId="467" applyFont="1" applyBorder="1"/>
    <xf numFmtId="167" fontId="50" fillId="32" borderId="0" xfId="422" applyNumberFormat="1" applyFont="1" applyFill="1" applyAlignment="1">
      <alignment horizontal="left"/>
    </xf>
    <xf numFmtId="167" fontId="85" fillId="0" borderId="0" xfId="422" applyNumberFormat="1" applyFont="1" applyFill="1" applyAlignment="1">
      <alignment horizontal="left"/>
    </xf>
    <xf numFmtId="167" fontId="50" fillId="0" borderId="0" xfId="422" applyNumberFormat="1" applyFont="1" applyAlignment="1">
      <alignment horizontal="left"/>
    </xf>
    <xf numFmtId="0" fontId="50" fillId="0" borderId="0" xfId="467" applyFont="1" applyFill="1" applyAlignment="1"/>
    <xf numFmtId="0" fontId="8" fillId="0" borderId="0" xfId="467" applyFont="1" applyFill="1" applyAlignment="1"/>
    <xf numFmtId="0" fontId="8" fillId="0" borderId="0" xfId="467" applyAlignment="1">
      <alignment wrapText="1"/>
    </xf>
    <xf numFmtId="167" fontId="50" fillId="0" borderId="0" xfId="422" applyNumberFormat="1" applyFont="1" applyFill="1" applyAlignment="1">
      <alignment horizontal="left"/>
    </xf>
    <xf numFmtId="164" fontId="50" fillId="0" borderId="0" xfId="467" applyNumberFormat="1" applyFont="1" applyAlignment="1">
      <alignment horizontal="center"/>
    </xf>
    <xf numFmtId="164" fontId="84" fillId="0" borderId="0" xfId="467" applyNumberFormat="1" applyFont="1" applyFill="1"/>
    <xf numFmtId="0" fontId="84" fillId="0" borderId="0" xfId="467" applyFont="1" applyFill="1"/>
    <xf numFmtId="164" fontId="50" fillId="0" borderId="0" xfId="467" applyNumberFormat="1" applyFont="1" applyFill="1"/>
    <xf numFmtId="44" fontId="8" fillId="34" borderId="0" xfId="420" applyFont="1" applyFill="1"/>
    <xf numFmtId="43" fontId="50" fillId="34" borderId="0" xfId="381" applyFont="1" applyFill="1"/>
    <xf numFmtId="43" fontId="50" fillId="0" borderId="0" xfId="381" applyFont="1"/>
    <xf numFmtId="164" fontId="50" fillId="0" borderId="0" xfId="467" applyNumberFormat="1" applyFont="1" applyAlignment="1">
      <alignment horizontal="left"/>
    </xf>
    <xf numFmtId="0" fontId="50" fillId="0" borderId="0" xfId="467" applyNumberFormat="1" applyFont="1" applyAlignment="1">
      <alignment horizontal="left"/>
    </xf>
    <xf numFmtId="173" fontId="50" fillId="0" borderId="0" xfId="467" applyNumberFormat="1" applyFont="1"/>
    <xf numFmtId="168" fontId="50" fillId="0" borderId="0" xfId="635" applyNumberFormat="1" applyFont="1"/>
    <xf numFmtId="167" fontId="50" fillId="0" borderId="0" xfId="467" applyNumberFormat="1" applyFont="1" applyFill="1"/>
    <xf numFmtId="43" fontId="50" fillId="0" borderId="0" xfId="467" applyNumberFormat="1" applyFont="1" applyFill="1"/>
    <xf numFmtId="167" fontId="50" fillId="0" borderId="0" xfId="467" applyNumberFormat="1" applyFont="1" applyAlignment="1">
      <alignment horizontal="center"/>
    </xf>
    <xf numFmtId="0" fontId="29" fillId="0" borderId="0" xfId="467" applyFont="1" applyAlignment="1">
      <alignment horizontal="center"/>
    </xf>
    <xf numFmtId="0" fontId="29" fillId="0" borderId="0" xfId="467" applyFont="1"/>
    <xf numFmtId="164" fontId="50" fillId="0" borderId="0" xfId="381" applyNumberFormat="1" applyFont="1" applyFill="1" applyAlignment="1">
      <alignment horizontal="center"/>
    </xf>
    <xf numFmtId="0" fontId="50" fillId="34" borderId="0" xfId="467" applyFont="1" applyFill="1" applyAlignment="1">
      <alignment horizontal="center"/>
    </xf>
    <xf numFmtId="37" fontId="50" fillId="0" borderId="0" xfId="391" applyNumberFormat="1" applyFont="1" applyFill="1"/>
    <xf numFmtId="164" fontId="50" fillId="0" borderId="0" xfId="381" applyNumberFormat="1" applyFont="1" applyFill="1"/>
    <xf numFmtId="164" fontId="50" fillId="0" borderId="0" xfId="381" applyNumberFormat="1" applyFont="1"/>
    <xf numFmtId="170" fontId="9" fillId="0" borderId="0" xfId="0" applyNumberFormat="1" applyFont="1" applyFill="1" applyBorder="1" applyAlignment="1">
      <alignment horizontal="center" wrapText="1"/>
    </xf>
    <xf numFmtId="170" fontId="9" fillId="0" borderId="0" xfId="0" applyNumberFormat="1" applyFont="1" applyBorder="1" applyAlignment="1">
      <alignment horizontal="center" wrapText="1"/>
    </xf>
    <xf numFmtId="0" fontId="0" fillId="0" borderId="0" xfId="0" applyBorder="1" applyAlignment="1">
      <alignment horizontal="center"/>
    </xf>
    <xf numFmtId="170" fontId="0" fillId="0" borderId="0" xfId="0" applyNumberFormat="1" applyFill="1" applyBorder="1"/>
    <xf numFmtId="170" fontId="0" fillId="0" borderId="0" xfId="0" applyNumberFormat="1" applyBorder="1"/>
    <xf numFmtId="0" fontId="9" fillId="0" borderId="0" xfId="0" applyFont="1" applyFill="1" applyBorder="1"/>
    <xf numFmtId="43" fontId="87" fillId="0" borderId="0" xfId="381" applyFont="1" applyBorder="1"/>
    <xf numFmtId="0" fontId="18" fillId="0" borderId="20" xfId="465" applyFont="1" applyFill="1" applyBorder="1" applyAlignment="1"/>
    <xf numFmtId="43" fontId="87" fillId="0" borderId="0" xfId="381" applyFont="1" applyFill="1" applyBorder="1"/>
    <xf numFmtId="0" fontId="18" fillId="0" borderId="21" xfId="465" applyNumberFormat="1" applyFont="1" applyFill="1" applyBorder="1" applyAlignment="1">
      <alignment horizontal="center"/>
    </xf>
    <xf numFmtId="0" fontId="12" fillId="0" borderId="14" xfId="0" applyFont="1" applyFill="1" applyBorder="1" applyAlignment="1">
      <alignment horizontal="center"/>
    </xf>
    <xf numFmtId="164" fontId="9" fillId="0" borderId="0" xfId="381" applyNumberFormat="1" applyFont="1" applyFill="1" applyBorder="1"/>
    <xf numFmtId="0" fontId="12" fillId="0" borderId="20" xfId="0" applyNumberFormat="1" applyFont="1" applyFill="1" applyBorder="1" applyAlignment="1">
      <alignment horizontal="center"/>
    </xf>
    <xf numFmtId="173" fontId="10" fillId="0" borderId="0" xfId="633" applyNumberFormat="1" applyFont="1" applyBorder="1" applyAlignment="1"/>
    <xf numFmtId="164" fontId="10" fillId="0" borderId="0" xfId="381" applyNumberFormat="1" applyFont="1" applyBorder="1" applyAlignment="1"/>
    <xf numFmtId="0" fontId="15" fillId="0" borderId="0" xfId="0" applyFont="1" applyBorder="1" applyAlignment="1"/>
    <xf numFmtId="170" fontId="10" fillId="0" borderId="0" xfId="0" applyNumberFormat="1" applyFont="1" applyFill="1" applyBorder="1"/>
    <xf numFmtId="170" fontId="10" fillId="0" borderId="0" xfId="0" applyNumberFormat="1" applyFont="1" applyBorder="1"/>
    <xf numFmtId="164" fontId="49" fillId="0" borderId="0" xfId="381" applyNumberFormat="1" applyFont="1" applyFill="1" applyBorder="1"/>
    <xf numFmtId="43" fontId="18" fillId="0" borderId="10" xfId="381" applyFont="1" applyFill="1" applyBorder="1" applyAlignment="1">
      <alignment horizontal="center"/>
    </xf>
    <xf numFmtId="37" fontId="51" fillId="0" borderId="0" xfId="0" applyNumberFormat="1" applyFont="1" applyFill="1"/>
    <xf numFmtId="0" fontId="18" fillId="0" borderId="0" xfId="0" applyFont="1" applyFill="1" applyAlignment="1">
      <alignment wrapText="1"/>
    </xf>
    <xf numFmtId="0" fontId="8" fillId="0" borderId="0" xfId="0" applyFont="1" applyFill="1" applyAlignment="1">
      <alignment wrapText="1"/>
    </xf>
    <xf numFmtId="0" fontId="0" fillId="0" borderId="0" xfId="0" applyFill="1" applyAlignment="1">
      <alignment wrapText="1"/>
    </xf>
    <xf numFmtId="37" fontId="35" fillId="0" borderId="0" xfId="0" applyNumberFormat="1" applyFont="1" applyFill="1" applyBorder="1"/>
    <xf numFmtId="164" fontId="35" fillId="0" borderId="0" xfId="381" applyNumberFormat="1" applyFont="1" applyFill="1" applyBorder="1"/>
    <xf numFmtId="3" fontId="12" fillId="0" borderId="0" xfId="0" applyNumberFormat="1" applyFont="1" applyFill="1" applyBorder="1" applyAlignment="1">
      <alignment horizontal="center" wrapText="1"/>
    </xf>
    <xf numFmtId="3" fontId="12" fillId="0" borderId="0" xfId="0" applyNumberFormat="1" applyFont="1" applyBorder="1" applyAlignment="1">
      <alignment horizontal="center" wrapText="1"/>
    </xf>
    <xf numFmtId="0" fontId="12" fillId="0" borderId="0" xfId="0" applyNumberFormat="1" applyFont="1" applyBorder="1" applyAlignment="1">
      <alignment horizontal="center" wrapText="1"/>
    </xf>
    <xf numFmtId="164" fontId="62" fillId="0" borderId="0" xfId="381" applyNumberFormat="1" applyFont="1" applyFill="1" applyBorder="1"/>
    <xf numFmtId="164" fontId="54" fillId="0" borderId="0" xfId="381" applyNumberFormat="1" applyFont="1" applyBorder="1"/>
    <xf numFmtId="0" fontId="8" fillId="0" borderId="17" xfId="0" applyFont="1" applyBorder="1"/>
    <xf numFmtId="0" fontId="66" fillId="0" borderId="0" xfId="0" applyFont="1" applyFill="1" applyBorder="1"/>
    <xf numFmtId="0" fontId="8" fillId="0" borderId="0" xfId="467" applyFont="1" applyAlignment="1">
      <alignment horizontal="center"/>
    </xf>
    <xf numFmtId="0" fontId="21" fillId="0" borderId="0" xfId="467" applyFont="1" applyAlignment="1">
      <alignment horizontal="center"/>
    </xf>
    <xf numFmtId="0" fontId="21" fillId="0" borderId="0" xfId="467" applyFont="1" applyAlignment="1"/>
    <xf numFmtId="0" fontId="9" fillId="0" borderId="0" xfId="467" applyFont="1" applyAlignment="1">
      <alignment horizontal="left"/>
    </xf>
    <xf numFmtId="0" fontId="8" fillId="0" borderId="0" xfId="467" applyFont="1" applyAlignment="1">
      <alignment horizontal="left"/>
    </xf>
    <xf numFmtId="164" fontId="8" fillId="0" borderId="0" xfId="381" applyNumberFormat="1" applyFont="1" applyFill="1"/>
    <xf numFmtId="0" fontId="8" fillId="0" borderId="0" xfId="467" applyFont="1" applyFill="1"/>
    <xf numFmtId="0" fontId="9" fillId="0" borderId="0" xfId="467" applyFont="1" applyFill="1"/>
    <xf numFmtId="0" fontId="8" fillId="0" borderId="0" xfId="467" applyFont="1" applyBorder="1"/>
    <xf numFmtId="164" fontId="8" fillId="0" borderId="0" xfId="381" applyNumberFormat="1" applyFont="1" applyBorder="1"/>
    <xf numFmtId="0" fontId="8" fillId="0" borderId="0" xfId="467" applyFont="1" applyFill="1" applyBorder="1"/>
    <xf numFmtId="0" fontId="8" fillId="0" borderId="10" xfId="467" applyFont="1" applyFill="1" applyBorder="1"/>
    <xf numFmtId="0" fontId="35" fillId="0" borderId="25" xfId="467" applyFont="1" applyFill="1" applyBorder="1"/>
    <xf numFmtId="0" fontId="8" fillId="0" borderId="0" xfId="467" applyFont="1" applyBorder="1" applyAlignment="1">
      <alignment horizontal="center"/>
    </xf>
    <xf numFmtId="0" fontId="35" fillId="0" borderId="25" xfId="467" applyFont="1" applyBorder="1"/>
    <xf numFmtId="0" fontId="8" fillId="0" borderId="0" xfId="467" applyFont="1" applyFill="1" applyAlignment="1">
      <alignment horizontal="center"/>
    </xf>
    <xf numFmtId="0" fontId="35" fillId="0" borderId="20" xfId="467" applyFont="1" applyFill="1" applyBorder="1"/>
    <xf numFmtId="0" fontId="35" fillId="0" borderId="20" xfId="467" applyFont="1" applyFill="1" applyBorder="1" applyAlignment="1">
      <alignment horizontal="center"/>
    </xf>
    <xf numFmtId="0" fontId="39" fillId="0" borderId="20" xfId="467" applyFont="1" applyFill="1" applyBorder="1" applyAlignment="1">
      <alignment horizontal="center"/>
    </xf>
    <xf numFmtId="0" fontId="35" fillId="0" borderId="20" xfId="467" applyFont="1" applyBorder="1"/>
    <xf numFmtId="0" fontId="35" fillId="0" borderId="0" xfId="467" applyFont="1" applyFill="1" applyBorder="1" applyAlignment="1">
      <alignment horizontal="center"/>
    </xf>
    <xf numFmtId="164" fontId="35" fillId="0" borderId="21" xfId="381" applyNumberFormat="1" applyFont="1" applyFill="1" applyBorder="1" applyAlignment="1">
      <alignment horizontal="center"/>
    </xf>
    <xf numFmtId="0" fontId="35" fillId="0" borderId="0" xfId="467" applyFont="1" applyFill="1" applyBorder="1"/>
    <xf numFmtId="164" fontId="35" fillId="0" borderId="21" xfId="381" applyNumberFormat="1" applyFont="1" applyFill="1" applyBorder="1"/>
    <xf numFmtId="164" fontId="35" fillId="0" borderId="20" xfId="381" applyNumberFormat="1" applyFont="1" applyFill="1" applyBorder="1"/>
    <xf numFmtId="0" fontId="35" fillId="0" borderId="22" xfId="467" applyFont="1" applyBorder="1"/>
    <xf numFmtId="164" fontId="35" fillId="0" borderId="22" xfId="381" applyNumberFormat="1" applyFont="1" applyFill="1" applyBorder="1"/>
    <xf numFmtId="164" fontId="35" fillId="0" borderId="10" xfId="381" applyNumberFormat="1" applyFont="1" applyFill="1" applyBorder="1"/>
    <xf numFmtId="164" fontId="35" fillId="0" borderId="23" xfId="381" applyNumberFormat="1" applyFont="1" applyFill="1" applyBorder="1"/>
    <xf numFmtId="164" fontId="39" fillId="0" borderId="29" xfId="381" applyNumberFormat="1" applyFont="1" applyFill="1" applyBorder="1" applyAlignment="1">
      <alignment horizontal="center" wrapText="1"/>
    </xf>
    <xf numFmtId="0" fontId="39" fillId="0" borderId="39" xfId="467" applyFont="1" applyFill="1" applyBorder="1" applyAlignment="1">
      <alignment horizontal="center"/>
    </xf>
    <xf numFmtId="0" fontId="35" fillId="0" borderId="40" xfId="467" applyFont="1" applyBorder="1" applyAlignment="1">
      <alignment horizontal="center"/>
    </xf>
    <xf numFmtId="164" fontId="35" fillId="0" borderId="0" xfId="467" applyNumberFormat="1" applyFont="1" applyFill="1" applyBorder="1"/>
    <xf numFmtId="167" fontId="35" fillId="0" borderId="40" xfId="420" applyNumberFormat="1" applyFont="1" applyBorder="1"/>
    <xf numFmtId="0" fontId="35" fillId="0" borderId="0" xfId="467" applyFont="1" applyBorder="1"/>
    <xf numFmtId="0" fontId="35" fillId="0" borderId="40" xfId="467" applyFont="1" applyBorder="1"/>
    <xf numFmtId="164" fontId="39" fillId="0" borderId="0" xfId="467" applyNumberFormat="1" applyFont="1" applyBorder="1"/>
    <xf numFmtId="164" fontId="39" fillId="0" borderId="21" xfId="381" applyNumberFormat="1" applyFont="1" applyBorder="1"/>
    <xf numFmtId="0" fontId="35" fillId="0" borderId="41" xfId="467" applyFont="1" applyBorder="1"/>
    <xf numFmtId="164" fontId="39" fillId="0" borderId="10" xfId="467" applyNumberFormat="1" applyFont="1" applyBorder="1"/>
    <xf numFmtId="164" fontId="39" fillId="0" borderId="23" xfId="381" applyNumberFormat="1" applyFont="1" applyBorder="1"/>
    <xf numFmtId="167" fontId="35" fillId="0" borderId="41" xfId="420" applyNumberFormat="1" applyFont="1" applyBorder="1"/>
    <xf numFmtId="167" fontId="35" fillId="0" borderId="10" xfId="467" applyNumberFormat="1" applyFont="1" applyBorder="1"/>
    <xf numFmtId="0" fontId="35" fillId="0" borderId="0" xfId="467" applyFont="1"/>
    <xf numFmtId="0" fontId="35" fillId="0" borderId="0" xfId="467" applyFont="1" applyAlignment="1">
      <alignment horizontal="center"/>
    </xf>
    <xf numFmtId="164" fontId="35" fillId="0" borderId="0" xfId="381" applyNumberFormat="1" applyFont="1"/>
    <xf numFmtId="167" fontId="35" fillId="0" borderId="0" xfId="420" applyNumberFormat="1" applyFont="1"/>
    <xf numFmtId="0" fontId="8" fillId="0" borderId="0" xfId="467" applyFont="1" applyFill="1" applyBorder="1" applyAlignment="1">
      <alignment horizontal="center"/>
    </xf>
    <xf numFmtId="164" fontId="8" fillId="0" borderId="0" xfId="381" applyNumberFormat="1" applyFont="1" applyFill="1" applyBorder="1"/>
    <xf numFmtId="0" fontId="46" fillId="0" borderId="0" xfId="0" applyFont="1" applyFill="1" applyBorder="1" applyAlignment="1">
      <alignment horizontal="center"/>
    </xf>
    <xf numFmtId="0" fontId="8" fillId="0" borderId="0" xfId="0" applyFont="1" applyFill="1" applyBorder="1" applyAlignment="1">
      <alignment horizontal="center"/>
    </xf>
    <xf numFmtId="164" fontId="35" fillId="34" borderId="0" xfId="381" applyNumberFormat="1" applyFont="1" applyFill="1" applyBorder="1"/>
    <xf numFmtId="173" fontId="12" fillId="0" borderId="35" xfId="633" applyNumberFormat="1" applyFont="1" applyFill="1" applyBorder="1" applyAlignment="1"/>
    <xf numFmtId="0" fontId="14" fillId="0" borderId="0" xfId="0" quotePrefix="1" applyFont="1" applyFill="1" applyBorder="1" applyAlignment="1">
      <alignment horizontal="center" wrapText="1"/>
    </xf>
    <xf numFmtId="0" fontId="14" fillId="0" borderId="0" xfId="0" applyFont="1" applyFill="1" applyBorder="1" applyAlignment="1"/>
    <xf numFmtId="0" fontId="52" fillId="0" borderId="0" xfId="0" applyFont="1" applyFill="1" applyAlignment="1">
      <alignment horizontal="left" wrapText="1"/>
    </xf>
    <xf numFmtId="0" fontId="0" fillId="0" borderId="0" xfId="0" applyFill="1" applyAlignment="1">
      <alignment horizontal="left" vertical="center" wrapText="1"/>
    </xf>
    <xf numFmtId="0" fontId="8" fillId="0" borderId="0" xfId="465" applyFont="1" applyFill="1" applyBorder="1" applyAlignment="1">
      <alignment horizontal="center" wrapText="1"/>
    </xf>
    <xf numFmtId="0" fontId="52" fillId="0" borderId="0" xfId="465" applyFont="1" applyFill="1" applyBorder="1" applyAlignment="1">
      <alignment horizontal="center"/>
    </xf>
    <xf numFmtId="164" fontId="52" fillId="0" borderId="0" xfId="465" applyNumberFormat="1" applyFont="1" applyFill="1" applyBorder="1" applyAlignment="1"/>
    <xf numFmtId="3" fontId="18" fillId="0" borderId="0" xfId="465" applyNumberFormat="1" applyFont="1" applyFill="1" applyBorder="1" applyAlignment="1">
      <alignment horizontal="left"/>
    </xf>
    <xf numFmtId="0" fontId="8" fillId="0" borderId="0" xfId="465" applyNumberFormat="1" applyFont="1" applyFill="1" applyBorder="1" applyAlignment="1">
      <alignment horizontal="left"/>
    </xf>
    <xf numFmtId="0" fontId="52" fillId="0" borderId="10" xfId="465" applyFont="1" applyFill="1" applyBorder="1" applyAlignment="1">
      <alignment horizontal="center"/>
    </xf>
    <xf numFmtId="43" fontId="56" fillId="0" borderId="0" xfId="381" applyFont="1" applyFill="1" applyBorder="1" applyAlignment="1"/>
    <xf numFmtId="0" fontId="53" fillId="0" borderId="0" xfId="0" applyFont="1" applyFill="1" applyBorder="1"/>
    <xf numFmtId="164" fontId="18" fillId="0" borderId="20" xfId="465" applyNumberFormat="1" applyFont="1" applyFill="1" applyBorder="1"/>
    <xf numFmtId="164" fontId="9" fillId="0" borderId="15" xfId="381" applyNumberFormat="1" applyFont="1" applyFill="1" applyBorder="1" applyAlignment="1"/>
    <xf numFmtId="164" fontId="35" fillId="0" borderId="0" xfId="381" applyNumberFormat="1" applyFont="1" applyFill="1" applyBorder="1" applyAlignment="1">
      <alignment horizontal="center"/>
    </xf>
    <xf numFmtId="164" fontId="35" fillId="0" borderId="0" xfId="381" applyNumberFormat="1" applyFont="1" applyBorder="1"/>
    <xf numFmtId="0" fontId="8" fillId="0" borderId="21" xfId="465" applyFont="1" applyFill="1" applyBorder="1" applyAlignment="1">
      <alignment horizontal="center" wrapText="1"/>
    </xf>
    <xf numFmtId="0" fontId="8" fillId="0" borderId="21" xfId="465" applyFont="1" applyBorder="1" applyAlignment="1"/>
    <xf numFmtId="164" fontId="8" fillId="0" borderId="0" xfId="390" applyNumberFormat="1" applyFont="1" applyFill="1" applyBorder="1" applyAlignment="1">
      <alignment horizontal="right"/>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xf numFmtId="43" fontId="49" fillId="0" borderId="21" xfId="381" applyFont="1" applyFill="1" applyBorder="1" applyAlignment="1">
      <alignment horizontal="center" wrapText="1"/>
    </xf>
    <xf numFmtId="0" fontId="8" fillId="0" borderId="10" xfId="465" applyFont="1" applyFill="1" applyBorder="1" applyAlignment="1"/>
    <xf numFmtId="0" fontId="8" fillId="0" borderId="23" xfId="465" applyFont="1" applyFill="1" applyBorder="1" applyAlignment="1"/>
    <xf numFmtId="0" fontId="8" fillId="0" borderId="21" xfId="465" applyFont="1" applyBorder="1"/>
    <xf numFmtId="0" fontId="8" fillId="0" borderId="0" xfId="465" applyFont="1" applyFill="1" applyBorder="1"/>
    <xf numFmtId="0" fontId="8" fillId="0" borderId="21" xfId="465" applyFont="1" applyFill="1" applyBorder="1" applyAlignment="1"/>
    <xf numFmtId="0" fontId="8" fillId="0" borderId="10" xfId="465" applyFont="1" applyFill="1" applyBorder="1" applyAlignment="1">
      <alignment wrapText="1"/>
    </xf>
    <xf numFmtId="0" fontId="8" fillId="0" borderId="23" xfId="465" applyFont="1" applyFill="1" applyBorder="1" applyAlignment="1">
      <alignment wrapText="1"/>
    </xf>
    <xf numFmtId="164" fontId="8" fillId="0" borderId="0" xfId="465" applyNumberFormat="1" applyFont="1" applyFill="1" applyBorder="1" applyAlignment="1">
      <alignment horizontal="center"/>
    </xf>
    <xf numFmtId="164" fontId="8" fillId="0" borderId="0" xfId="390" applyNumberFormat="1" applyFont="1" applyFill="1" applyBorder="1" applyAlignment="1">
      <alignment horizontal="left"/>
    </xf>
    <xf numFmtId="0" fontId="8" fillId="0" borderId="0" xfId="465" applyFont="1" applyFill="1" applyBorder="1" applyAlignment="1">
      <alignment horizontal="left"/>
    </xf>
    <xf numFmtId="0" fontId="8" fillId="0" borderId="21" xfId="465" applyFont="1" applyFill="1" applyBorder="1" applyAlignment="1">
      <alignment horizontal="center"/>
    </xf>
    <xf numFmtId="164" fontId="8" fillId="0" borderId="0" xfId="390" applyNumberFormat="1" applyFont="1" applyFill="1" applyBorder="1" applyAlignment="1"/>
    <xf numFmtId="0" fontId="8" fillId="0" borderId="0" xfId="465" applyFont="1" applyFill="1" applyBorder="1" applyAlignment="1">
      <alignment horizontal="center"/>
    </xf>
    <xf numFmtId="0" fontId="52" fillId="0" borderId="21" xfId="465" applyFont="1" applyBorder="1"/>
    <xf numFmtId="0" fontId="90" fillId="0" borderId="0" xfId="0" applyNumberFormat="1" applyFont="1" applyFill="1"/>
    <xf numFmtId="0" fontId="90" fillId="0" borderId="0" xfId="0" applyFont="1" applyFill="1" applyAlignment="1"/>
    <xf numFmtId="0" fontId="90" fillId="0" borderId="0" xfId="0" applyFont="1" applyFill="1" applyBorder="1" applyAlignment="1"/>
    <xf numFmtId="0" fontId="90" fillId="0" borderId="0" xfId="0" applyFont="1" applyBorder="1" applyAlignment="1"/>
    <xf numFmtId="0" fontId="91" fillId="0" borderId="0" xfId="0" applyFont="1" applyBorder="1" applyAlignment="1">
      <alignment horizontal="center"/>
    </xf>
    <xf numFmtId="37" fontId="90" fillId="0" borderId="0" xfId="0" applyNumberFormat="1" applyFont="1" applyBorder="1" applyAlignment="1">
      <alignment horizontal="left"/>
    </xf>
    <xf numFmtId="0" fontId="90" fillId="0" borderId="0" xfId="0" applyFont="1" applyBorder="1"/>
    <xf numFmtId="37" fontId="92" fillId="0" borderId="0" xfId="0" applyNumberFormat="1" applyFont="1" applyBorder="1" applyAlignment="1">
      <alignment horizontal="right"/>
    </xf>
    <xf numFmtId="0" fontId="90" fillId="0" borderId="0" xfId="0" applyFont="1" applyFill="1" applyAlignment="1">
      <alignment horizontal="left"/>
    </xf>
    <xf numFmtId="0" fontId="91" fillId="0" borderId="0" xfId="0" applyFont="1" applyFill="1" applyBorder="1" applyAlignment="1">
      <alignment horizontal="center"/>
    </xf>
    <xf numFmtId="37" fontId="90" fillId="0" borderId="0" xfId="0" applyNumberFormat="1" applyFont="1" applyFill="1" applyBorder="1" applyAlignment="1">
      <alignment horizontal="left"/>
    </xf>
    <xf numFmtId="43" fontId="35" fillId="0" borderId="0" xfId="381" applyFont="1" applyFill="1" applyBorder="1" applyAlignment="1">
      <alignment horizontal="center"/>
    </xf>
    <xf numFmtId="43" fontId="35" fillId="0" borderId="21" xfId="381" applyFont="1" applyFill="1" applyBorder="1" applyAlignment="1">
      <alignment horizontal="center"/>
    </xf>
    <xf numFmtId="0" fontId="9" fillId="0" borderId="14" xfId="467" applyFont="1" applyBorder="1" applyAlignment="1">
      <alignment horizontal="center"/>
    </xf>
    <xf numFmtId="0" fontId="9" fillId="0" borderId="0" xfId="467" applyFont="1"/>
    <xf numFmtId="13" fontId="8" fillId="0" borderId="0" xfId="467" applyNumberFormat="1" applyFont="1"/>
    <xf numFmtId="49" fontId="8" fillId="0" borderId="0" xfId="467" applyNumberFormat="1" applyFont="1" applyAlignment="1">
      <alignment horizontal="left" indent="1"/>
    </xf>
    <xf numFmtId="17" fontId="8" fillId="0" borderId="0" xfId="467" applyNumberFormat="1" applyFont="1"/>
    <xf numFmtId="43" fontId="12" fillId="0" borderId="12" xfId="0" applyNumberFormat="1" applyFont="1" applyFill="1" applyBorder="1" applyAlignment="1"/>
    <xf numFmtId="167" fontId="35" fillId="0" borderId="0" xfId="420" applyNumberFormat="1" applyFont="1" applyBorder="1"/>
    <xf numFmtId="0" fontId="34" fillId="0" borderId="0" xfId="0" applyFont="1" applyBorder="1"/>
    <xf numFmtId="164" fontId="29" fillId="0" borderId="0" xfId="0" applyNumberFormat="1" applyFont="1" applyFill="1" applyBorder="1" applyAlignment="1">
      <alignment horizontal="center"/>
    </xf>
    <xf numFmtId="164" fontId="29" fillId="0" borderId="0" xfId="381" applyNumberFormat="1" applyFont="1" applyFill="1" applyBorder="1" applyAlignment="1">
      <alignment horizontal="center"/>
    </xf>
    <xf numFmtId="164" fontId="35" fillId="0" borderId="0" xfId="0" applyNumberFormat="1" applyFont="1" applyBorder="1"/>
    <xf numFmtId="0" fontId="9" fillId="0" borderId="0" xfId="0" applyFont="1"/>
    <xf numFmtId="0" fontId="101" fillId="0" borderId="0" xfId="0" applyFont="1" applyFill="1"/>
    <xf numFmtId="0" fontId="0" fillId="0" borderId="17" xfId="0" applyBorder="1" applyAlignment="1">
      <alignment wrapText="1"/>
    </xf>
    <xf numFmtId="0" fontId="0" fillId="0" borderId="17" xfId="0" applyBorder="1" applyAlignment="1">
      <alignment horizontal="center" wrapText="1"/>
    </xf>
    <xf numFmtId="0" fontId="0" fillId="0" borderId="17" xfId="0" applyFill="1" applyBorder="1" applyAlignment="1">
      <alignment horizontal="center" wrapText="1"/>
    </xf>
    <xf numFmtId="0" fontId="0" fillId="0" borderId="34" xfId="0" applyBorder="1"/>
    <xf numFmtId="164" fontId="87" fillId="0" borderId="17" xfId="381" applyNumberFormat="1" applyFont="1" applyBorder="1"/>
    <xf numFmtId="0" fontId="81" fillId="0" borderId="17" xfId="0" applyFont="1" applyBorder="1"/>
    <xf numFmtId="0" fontId="81" fillId="30" borderId="17" xfId="381" applyNumberFormat="1" applyFont="1" applyFill="1" applyBorder="1"/>
    <xf numFmtId="164" fontId="81" fillId="30" borderId="17" xfId="381" applyNumberFormat="1" applyFont="1" applyFill="1" applyBorder="1"/>
    <xf numFmtId="0" fontId="45" fillId="0" borderId="17" xfId="0" applyFont="1" applyBorder="1"/>
    <xf numFmtId="164" fontId="45" fillId="0" borderId="17" xfId="381" applyNumberFormat="1" applyFont="1" applyBorder="1"/>
    <xf numFmtId="164" fontId="45" fillId="30" borderId="17" xfId="381" applyNumberFormat="1" applyFont="1" applyFill="1" applyBorder="1"/>
    <xf numFmtId="0" fontId="45" fillId="30" borderId="17" xfId="381" applyNumberFormat="1" applyFont="1" applyFill="1" applyBorder="1"/>
    <xf numFmtId="164" fontId="9" fillId="0" borderId="17" xfId="381" applyNumberFormat="1" applyFont="1" applyBorder="1"/>
    <xf numFmtId="0" fontId="0" fillId="0" borderId="35" xfId="0" applyBorder="1"/>
    <xf numFmtId="0" fontId="0" fillId="0" borderId="34" xfId="0" applyFill="1" applyBorder="1"/>
    <xf numFmtId="0" fontId="0" fillId="0" borderId="35" xfId="0" applyFill="1" applyBorder="1"/>
    <xf numFmtId="0" fontId="0" fillId="0" borderId="28" xfId="0" applyFill="1" applyBorder="1"/>
    <xf numFmtId="0" fontId="101" fillId="0" borderId="0" xfId="0" applyFont="1"/>
    <xf numFmtId="0" fontId="0" fillId="0" borderId="0" xfId="0" applyFill="1" applyBorder="1" applyAlignment="1">
      <alignment horizontal="center" wrapText="1"/>
    </xf>
    <xf numFmtId="164" fontId="0" fillId="0" borderId="0" xfId="0" applyNumberFormat="1" applyBorder="1"/>
    <xf numFmtId="0" fontId="102" fillId="0" borderId="0" xfId="0" applyFont="1" applyBorder="1"/>
    <xf numFmtId="0" fontId="9" fillId="0" borderId="0" xfId="0" applyFont="1" applyBorder="1"/>
    <xf numFmtId="173" fontId="0" fillId="0" borderId="0" xfId="0" applyNumberFormat="1" applyFill="1" applyAlignment="1">
      <alignment horizontal="center" wrapText="1"/>
    </xf>
    <xf numFmtId="3" fontId="8" fillId="0" borderId="0" xfId="465" applyNumberFormat="1" applyFont="1" applyFill="1" applyBorder="1" applyAlignment="1">
      <alignment horizontal="right"/>
    </xf>
    <xf numFmtId="0" fontId="0" fillId="0" borderId="0" xfId="0" quotePrefix="1"/>
    <xf numFmtId="43" fontId="0" fillId="0" borderId="0" xfId="381" applyNumberFormat="1" applyFont="1"/>
    <xf numFmtId="176" fontId="0" fillId="0" borderId="0" xfId="381" applyNumberFormat="1" applyFont="1"/>
    <xf numFmtId="0" fontId="30" fillId="35" borderId="25" xfId="0" applyFont="1" applyFill="1" applyBorder="1" applyAlignment="1">
      <alignment horizontal="left"/>
    </xf>
    <xf numFmtId="0" fontId="12" fillId="35" borderId="24" xfId="0" applyFont="1" applyFill="1" applyBorder="1" applyAlignment="1"/>
    <xf numFmtId="0" fontId="12" fillId="35" borderId="24" xfId="0" applyFont="1" applyFill="1" applyBorder="1" applyAlignment="1">
      <alignment horizontal="center"/>
    </xf>
    <xf numFmtId="0" fontId="10" fillId="35" borderId="29" xfId="0" applyFont="1" applyFill="1" applyBorder="1" applyAlignment="1">
      <alignment horizontal="center" wrapText="1"/>
    </xf>
    <xf numFmtId="0" fontId="30" fillId="35" borderId="22" xfId="0" applyFont="1" applyFill="1" applyBorder="1" applyAlignment="1">
      <alignment horizontal="left"/>
    </xf>
    <xf numFmtId="0" fontId="10" fillId="35" borderId="10" xfId="0" applyFont="1" applyFill="1" applyBorder="1" applyAlignment="1"/>
    <xf numFmtId="0" fontId="10" fillId="35" borderId="10" xfId="0" applyNumberFormat="1" applyFont="1" applyFill="1" applyBorder="1" applyAlignment="1">
      <alignment horizontal="center"/>
    </xf>
    <xf numFmtId="0" fontId="10" fillId="35" borderId="23" xfId="0" applyFont="1" applyFill="1" applyBorder="1" applyAlignment="1"/>
    <xf numFmtId="0" fontId="10" fillId="35" borderId="42" xfId="0" applyFont="1" applyFill="1" applyBorder="1" applyAlignment="1">
      <alignment horizontal="center" wrapText="1"/>
    </xf>
    <xf numFmtId="0" fontId="10" fillId="35" borderId="43" xfId="0" applyFont="1" applyFill="1" applyBorder="1" applyAlignment="1">
      <alignment horizontal="center" wrapText="1"/>
    </xf>
    <xf numFmtId="0" fontId="10" fillId="35" borderId="44" xfId="0" applyFont="1" applyFill="1" applyBorder="1" applyAlignment="1">
      <alignment horizontal="center" wrapText="1"/>
    </xf>
    <xf numFmtId="0" fontId="10" fillId="35" borderId="45" xfId="0" applyFont="1" applyFill="1" applyBorder="1" applyAlignment="1">
      <alignment horizontal="center"/>
    </xf>
    <xf numFmtId="0" fontId="10" fillId="35" borderId="46" xfId="0" applyFont="1" applyFill="1" applyBorder="1" applyAlignment="1">
      <alignment horizontal="center"/>
    </xf>
    <xf numFmtId="43" fontId="87" fillId="0" borderId="0" xfId="381" applyFont="1"/>
    <xf numFmtId="0" fontId="44" fillId="0" borderId="0" xfId="0" applyFont="1"/>
    <xf numFmtId="17" fontId="9" fillId="0" borderId="26" xfId="0" applyNumberFormat="1" applyFont="1" applyBorder="1" applyAlignment="1">
      <alignment horizontal="center"/>
    </xf>
    <xf numFmtId="0" fontId="103" fillId="0" borderId="0" xfId="0" applyFont="1" applyBorder="1"/>
    <xf numFmtId="164" fontId="103" fillId="0" borderId="0" xfId="381" applyNumberFormat="1" applyFont="1" applyBorder="1"/>
    <xf numFmtId="43" fontId="12" fillId="0" borderId="0" xfId="381" applyFont="1" applyBorder="1"/>
    <xf numFmtId="0" fontId="115" fillId="0" borderId="0" xfId="0" applyFont="1"/>
    <xf numFmtId="37" fontId="0" fillId="0" borderId="0" xfId="0" applyNumberFormat="1"/>
    <xf numFmtId="37" fontId="0" fillId="0" borderId="12" xfId="0" applyNumberFormat="1" applyBorder="1"/>
    <xf numFmtId="2" fontId="8" fillId="0" borderId="0" xfId="467" applyNumberFormat="1" applyFont="1" applyFill="1"/>
    <xf numFmtId="43" fontId="8" fillId="0" borderId="0" xfId="381" applyNumberFormat="1" applyFont="1" applyFill="1"/>
    <xf numFmtId="0" fontId="50" fillId="0" borderId="0" xfId="467" applyFont="1" applyAlignment="1">
      <alignment wrapText="1"/>
    </xf>
    <xf numFmtId="0" fontId="12" fillId="0" borderId="28" xfId="0" applyFont="1" applyBorder="1"/>
    <xf numFmtId="37" fontId="8" fillId="0" borderId="28" xfId="0" applyNumberFormat="1" applyFont="1" applyBorder="1"/>
    <xf numFmtId="37" fontId="8" fillId="0" borderId="0" xfId="0" applyNumberFormat="1" applyFont="1" applyFill="1" applyBorder="1" applyAlignment="1"/>
    <xf numFmtId="0" fontId="8" fillId="0" borderId="0" xfId="467" applyFont="1" applyBorder="1" applyAlignment="1">
      <alignment wrapText="1"/>
    </xf>
    <xf numFmtId="43" fontId="8" fillId="0" borderId="0" xfId="0" applyNumberFormat="1" applyFont="1" applyFill="1" applyBorder="1" applyAlignment="1">
      <alignment horizontal="center"/>
    </xf>
    <xf numFmtId="164" fontId="35" fillId="34" borderId="0" xfId="381" applyNumberFormat="1" applyFont="1" applyFill="1" applyBorder="1" applyAlignment="1"/>
    <xf numFmtId="0" fontId="116" fillId="0" borderId="0" xfId="0" applyFont="1"/>
    <xf numFmtId="0" fontId="9" fillId="0" borderId="0" xfId="0" applyFont="1" applyFill="1" applyAlignment="1">
      <alignment horizontal="left"/>
    </xf>
    <xf numFmtId="164" fontId="9" fillId="0" borderId="26" xfId="381" applyNumberFormat="1" applyFont="1" applyBorder="1"/>
    <xf numFmtId="4" fontId="0" fillId="0" borderId="0" xfId="0" applyNumberFormat="1" applyFill="1"/>
    <xf numFmtId="43" fontId="9" fillId="0" borderId="0" xfId="381" applyFont="1" applyAlignment="1">
      <alignment horizontal="center"/>
    </xf>
    <xf numFmtId="1" fontId="9" fillId="0" borderId="47" xfId="0" applyNumberFormat="1" applyFont="1" applyFill="1" applyBorder="1" applyAlignment="1">
      <alignment horizontal="center"/>
    </xf>
    <xf numFmtId="164" fontId="18" fillId="0" borderId="20" xfId="381" applyNumberFormat="1" applyFont="1" applyFill="1" applyBorder="1" applyAlignment="1">
      <alignment horizontal="center" wrapText="1"/>
    </xf>
    <xf numFmtId="164" fontId="18" fillId="0" borderId="0" xfId="381" applyNumberFormat="1" applyFont="1" applyFill="1" applyBorder="1" applyAlignment="1">
      <alignment horizontal="center" wrapText="1"/>
    </xf>
    <xf numFmtId="175" fontId="50" fillId="34" borderId="0" xfId="381" applyNumberFormat="1" applyFont="1" applyFill="1"/>
    <xf numFmtId="40" fontId="50" fillId="34" borderId="0" xfId="475" applyNumberFormat="1" applyFont="1" applyFill="1" applyBorder="1"/>
    <xf numFmtId="0" fontId="50" fillId="0" borderId="0" xfId="467" applyFont="1" applyFill="1" applyBorder="1"/>
    <xf numFmtId="164" fontId="50" fillId="0" borderId="0" xfId="381" applyNumberFormat="1" applyFont="1" applyFill="1" applyBorder="1"/>
    <xf numFmtId="164" fontId="50" fillId="0" borderId="0" xfId="467" applyNumberFormat="1" applyFont="1" applyFill="1" applyBorder="1"/>
    <xf numFmtId="164" fontId="50" fillId="0" borderId="0" xfId="381" applyNumberFormat="1" applyFont="1" applyBorder="1"/>
    <xf numFmtId="40" fontId="50" fillId="34" borderId="0" xfId="476" applyNumberFormat="1" applyFont="1" applyFill="1" applyBorder="1"/>
    <xf numFmtId="0" fontId="8" fillId="0" borderId="0" xfId="473" applyNumberFormat="1" applyFont="1" applyFill="1" applyBorder="1" applyAlignment="1"/>
    <xf numFmtId="0" fontId="8" fillId="0" borderId="0" xfId="473" applyFont="1" applyFill="1" applyBorder="1" applyAlignment="1">
      <alignment horizontal="left"/>
    </xf>
    <xf numFmtId="0" fontId="8" fillId="0" borderId="0" xfId="473" applyFont="1" applyFill="1" applyBorder="1" applyAlignment="1"/>
    <xf numFmtId="0" fontId="8" fillId="0" borderId="0" xfId="473" applyFont="1" applyBorder="1"/>
    <xf numFmtId="0" fontId="8" fillId="0" borderId="10" xfId="473" applyNumberFormat="1" applyFont="1" applyFill="1" applyBorder="1" applyAlignment="1">
      <alignment horizontal="right"/>
    </xf>
    <xf numFmtId="0" fontId="8" fillId="0" borderId="10" xfId="473" applyNumberFormat="1" applyFont="1" applyFill="1" applyBorder="1" applyAlignment="1">
      <alignment horizontal="left"/>
    </xf>
    <xf numFmtId="0" fontId="8" fillId="0" borderId="10" xfId="473" applyNumberFormat="1" applyFont="1" applyFill="1" applyBorder="1" applyAlignment="1">
      <alignment horizontal="center"/>
    </xf>
    <xf numFmtId="43" fontId="12" fillId="0" borderId="0" xfId="0" applyNumberFormat="1" applyFont="1"/>
    <xf numFmtId="164" fontId="9" fillId="0" borderId="0" xfId="390" applyNumberFormat="1" applyFont="1" applyFill="1" applyBorder="1" applyAlignment="1">
      <alignment horizontal="right"/>
    </xf>
    <xf numFmtId="0" fontId="52" fillId="0" borderId="0" xfId="465" applyFont="1" applyFill="1" applyBorder="1" applyAlignment="1">
      <alignment horizontal="left"/>
    </xf>
    <xf numFmtId="164" fontId="18" fillId="0" borderId="34" xfId="390" applyNumberFormat="1" applyFont="1" applyFill="1" applyBorder="1" applyAlignment="1">
      <alignment horizontal="right"/>
    </xf>
    <xf numFmtId="0" fontId="18" fillId="0" borderId="28" xfId="465" applyNumberFormat="1" applyFont="1" applyFill="1" applyBorder="1" applyAlignment="1">
      <alignment horizontal="left"/>
    </xf>
    <xf numFmtId="0" fontId="18" fillId="0" borderId="28" xfId="465" applyFont="1" applyFill="1" applyBorder="1" applyAlignment="1"/>
    <xf numFmtId="0" fontId="18" fillId="0" borderId="28" xfId="465" applyFont="1" applyFill="1" applyBorder="1" applyAlignment="1">
      <alignment horizontal="left"/>
    </xf>
    <xf numFmtId="3" fontId="18" fillId="0" borderId="28" xfId="465" applyNumberFormat="1" applyFont="1" applyFill="1" applyBorder="1" applyAlignment="1">
      <alignment horizontal="left"/>
    </xf>
    <xf numFmtId="0" fontId="9" fillId="0" borderId="28" xfId="465" applyFont="1" applyFill="1" applyBorder="1" applyAlignment="1">
      <alignment horizontal="center"/>
    </xf>
    <xf numFmtId="164" fontId="18" fillId="0" borderId="28" xfId="465" applyNumberFormat="1" applyFont="1" applyFill="1" applyBorder="1" applyAlignment="1">
      <alignment horizontal="left"/>
    </xf>
    <xf numFmtId="0" fontId="10" fillId="0" borderId="27" xfId="0" applyFont="1" applyFill="1" applyBorder="1"/>
    <xf numFmtId="0" fontId="12" fillId="0" borderId="27" xfId="0" applyFont="1" applyFill="1" applyBorder="1"/>
    <xf numFmtId="0" fontId="8" fillId="0" borderId="20" xfId="465" applyFont="1" applyFill="1" applyBorder="1"/>
    <xf numFmtId="0" fontId="8" fillId="0" borderId="20" xfId="465" applyNumberFormat="1" applyFont="1" applyFill="1" applyBorder="1" applyAlignment="1">
      <alignment horizontal="left"/>
    </xf>
    <xf numFmtId="0" fontId="8" fillId="0" borderId="22" xfId="465" applyNumberFormat="1" applyFont="1" applyFill="1" applyBorder="1" applyAlignment="1">
      <alignment horizontal="center"/>
    </xf>
    <xf numFmtId="0" fontId="8" fillId="0" borderId="10" xfId="465" applyNumberFormat="1" applyFont="1" applyFill="1" applyBorder="1" applyAlignment="1">
      <alignment horizontal="center"/>
    </xf>
    <xf numFmtId="164" fontId="18" fillId="0" borderId="48" xfId="465" applyNumberFormat="1" applyFont="1" applyFill="1" applyBorder="1" applyAlignment="1"/>
    <xf numFmtId="0" fontId="29" fillId="0" borderId="24" xfId="0" applyNumberFormat="1" applyFont="1" applyFill="1" applyBorder="1" applyAlignment="1">
      <alignment horizontal="center"/>
    </xf>
    <xf numFmtId="0" fontId="35" fillId="0" borderId="24" xfId="0" applyFont="1" applyBorder="1"/>
    <xf numFmtId="0" fontId="34" fillId="0" borderId="24" xfId="0" applyFont="1" applyBorder="1"/>
    <xf numFmtId="0" fontId="35" fillId="0" borderId="29" xfId="0" applyFont="1" applyBorder="1"/>
    <xf numFmtId="0" fontId="29" fillId="0" borderId="20" xfId="0" applyNumberFormat="1" applyFont="1" applyFill="1" applyBorder="1" applyAlignment="1">
      <alignment horizontal="center"/>
    </xf>
    <xf numFmtId="0" fontId="35" fillId="0" borderId="21" xfId="0" applyFont="1" applyBorder="1"/>
    <xf numFmtId="0" fontId="29" fillId="0" borderId="22" xfId="0" applyNumberFormat="1" applyFont="1" applyFill="1" applyBorder="1" applyAlignment="1">
      <alignment horizontal="center"/>
    </xf>
    <xf numFmtId="0" fontId="29" fillId="0" borderId="10" xfId="0" applyNumberFormat="1" applyFont="1" applyFill="1" applyBorder="1" applyAlignment="1">
      <alignment horizontal="center"/>
    </xf>
    <xf numFmtId="0" fontId="29" fillId="0" borderId="10" xfId="0" applyNumberFormat="1" applyFont="1" applyFill="1" applyBorder="1" applyAlignment="1">
      <alignment horizontal="left"/>
    </xf>
    <xf numFmtId="164" fontId="29" fillId="0" borderId="10" xfId="381" applyNumberFormat="1" applyFont="1" applyFill="1" applyBorder="1" applyAlignment="1">
      <alignment horizontal="center"/>
    </xf>
    <xf numFmtId="164" fontId="29" fillId="0" borderId="10" xfId="0" applyNumberFormat="1" applyFont="1" applyFill="1" applyBorder="1" applyAlignment="1">
      <alignment horizontal="center"/>
    </xf>
    <xf numFmtId="0" fontId="29" fillId="0" borderId="42" xfId="0" applyNumberFormat="1" applyFont="1" applyFill="1" applyBorder="1" applyAlignment="1">
      <alignment horizontal="center" wrapText="1"/>
    </xf>
    <xf numFmtId="164" fontId="29" fillId="0" borderId="28" xfId="0" applyNumberFormat="1" applyFont="1" applyFill="1" applyBorder="1" applyAlignment="1">
      <alignment horizontal="center"/>
    </xf>
    <xf numFmtId="0" fontId="29" fillId="0" borderId="42" xfId="0" applyNumberFormat="1" applyFont="1" applyFill="1" applyBorder="1" applyAlignment="1">
      <alignment horizontal="center"/>
    </xf>
    <xf numFmtId="164" fontId="29" fillId="0" borderId="49" xfId="0" applyNumberFormat="1" applyFont="1" applyFill="1" applyBorder="1" applyAlignment="1">
      <alignment horizontal="center"/>
    </xf>
    <xf numFmtId="37" fontId="0" fillId="0" borderId="0" xfId="0" applyNumberFormat="1" applyBorder="1"/>
    <xf numFmtId="0" fontId="0" fillId="0" borderId="10" xfId="0" applyBorder="1"/>
    <xf numFmtId="0" fontId="18" fillId="0" borderId="24" xfId="465" applyFont="1" applyFill="1" applyBorder="1"/>
    <xf numFmtId="0" fontId="8" fillId="0" borderId="24" xfId="465" applyFont="1" applyFill="1" applyBorder="1"/>
    <xf numFmtId="0" fontId="18" fillId="0" borderId="29" xfId="465" applyFont="1" applyFill="1" applyBorder="1"/>
    <xf numFmtId="0" fontId="18" fillId="0" borderId="21" xfId="465" applyFont="1" applyFill="1" applyBorder="1"/>
    <xf numFmtId="0" fontId="8" fillId="0" borderId="21" xfId="0" applyFont="1" applyFill="1" applyBorder="1" applyAlignment="1">
      <alignment horizontal="right"/>
    </xf>
    <xf numFmtId="41" fontId="9" fillId="0" borderId="26" xfId="0" applyNumberFormat="1" applyFont="1" applyBorder="1"/>
    <xf numFmtId="0" fontId="44" fillId="0" borderId="0" xfId="0" applyFont="1" applyAlignment="1">
      <alignment horizontal="center"/>
    </xf>
    <xf numFmtId="184" fontId="44" fillId="0" borderId="0" xfId="0" applyNumberFormat="1" applyFont="1"/>
    <xf numFmtId="0" fontId="12" fillId="0" borderId="0" xfId="0" applyNumberFormat="1" applyFont="1" applyFill="1" applyBorder="1" applyAlignment="1">
      <alignment horizontal="center" wrapText="1"/>
    </xf>
    <xf numFmtId="173" fontId="35" fillId="0" borderId="0" xfId="0" applyNumberFormat="1" applyFont="1" applyFill="1" applyBorder="1"/>
    <xf numFmtId="164" fontId="35" fillId="36" borderId="0" xfId="381" applyNumberFormat="1" applyFont="1" applyFill="1" applyBorder="1"/>
    <xf numFmtId="164" fontId="35" fillId="37" borderId="0" xfId="381" applyNumberFormat="1" applyFont="1" applyFill="1" applyBorder="1"/>
    <xf numFmtId="164" fontId="52" fillId="0" borderId="0" xfId="381" applyNumberFormat="1" applyFont="1" applyBorder="1"/>
    <xf numFmtId="3" fontId="12" fillId="0" borderId="28" xfId="0" applyNumberFormat="1" applyFont="1" applyBorder="1" applyAlignment="1"/>
    <xf numFmtId="173" fontId="10" fillId="0" borderId="28" xfId="633" applyNumberFormat="1" applyFont="1" applyFill="1" applyBorder="1" applyAlignment="1"/>
    <xf numFmtId="0" fontId="12" fillId="0" borderId="28" xfId="0" applyFont="1" applyFill="1" applyBorder="1"/>
    <xf numFmtId="0" fontId="12" fillId="30" borderId="28" xfId="0" applyFont="1" applyFill="1" applyBorder="1" applyAlignment="1">
      <alignment horizontal="center" wrapText="1"/>
    </xf>
    <xf numFmtId="0" fontId="12" fillId="0" borderId="28" xfId="0" applyFont="1" applyFill="1" applyBorder="1" applyAlignment="1">
      <alignment horizontal="center" wrapText="1"/>
    </xf>
    <xf numFmtId="3" fontId="12" fillId="0" borderId="35" xfId="0" applyNumberFormat="1" applyFont="1" applyFill="1" applyBorder="1" applyAlignment="1"/>
    <xf numFmtId="3" fontId="10" fillId="0" borderId="28" xfId="0" applyNumberFormat="1" applyFont="1" applyFill="1" applyBorder="1" applyAlignment="1"/>
    <xf numFmtId="3" fontId="63" fillId="0" borderId="28" xfId="0" applyNumberFormat="1" applyFont="1" applyFill="1" applyBorder="1"/>
    <xf numFmtId="0" fontId="12" fillId="30" borderId="28" xfId="0" applyFont="1" applyFill="1" applyBorder="1"/>
    <xf numFmtId="3" fontId="12" fillId="0" borderId="28" xfId="0" applyNumberFormat="1" applyFont="1" applyFill="1" applyBorder="1" applyAlignment="1">
      <alignment horizontal="right"/>
    </xf>
    <xf numFmtId="3" fontId="10" fillId="0" borderId="28" xfId="0" applyNumberFormat="1" applyFont="1" applyFill="1" applyBorder="1" applyAlignment="1">
      <alignment horizontal="right"/>
    </xf>
    <xf numFmtId="173" fontId="12" fillId="0" borderId="28" xfId="0" applyNumberFormat="1" applyFont="1" applyFill="1" applyBorder="1" applyAlignment="1">
      <alignment horizontal="right"/>
    </xf>
    <xf numFmtId="3" fontId="12" fillId="0" borderId="35" xfId="0" applyNumberFormat="1" applyFont="1" applyFill="1" applyBorder="1" applyAlignment="1">
      <alignment horizontal="right"/>
    </xf>
    <xf numFmtId="3" fontId="14" fillId="0" borderId="28" xfId="0" applyNumberFormat="1" applyFont="1" applyFill="1" applyBorder="1" applyAlignment="1">
      <alignment horizontal="right"/>
    </xf>
    <xf numFmtId="173" fontId="12" fillId="0" borderId="28" xfId="0" applyNumberFormat="1" applyFont="1" applyBorder="1" applyAlignment="1">
      <alignment horizontal="right"/>
    </xf>
    <xf numFmtId="173" fontId="12" fillId="0" borderId="35" xfId="0" applyNumberFormat="1" applyFont="1" applyFill="1" applyBorder="1" applyAlignment="1">
      <alignment horizontal="right"/>
    </xf>
    <xf numFmtId="10" fontId="12" fillId="0" borderId="28" xfId="633" applyNumberFormat="1" applyFont="1" applyFill="1" applyBorder="1" applyAlignment="1"/>
    <xf numFmtId="166" fontId="12" fillId="0" borderId="28" xfId="0" applyNumberFormat="1" applyFont="1" applyFill="1" applyBorder="1" applyAlignment="1"/>
    <xf numFmtId="0" fontId="9" fillId="0" borderId="24" xfId="465" applyFont="1" applyFill="1" applyBorder="1" applyAlignment="1">
      <alignment horizontal="center"/>
    </xf>
    <xf numFmtId="0" fontId="18" fillId="0" borderId="24" xfId="465" applyFont="1" applyFill="1" applyBorder="1" applyAlignment="1">
      <alignment horizontal="center" wrapText="1"/>
    </xf>
    <xf numFmtId="166" fontId="12" fillId="0" borderId="35" xfId="0" applyNumberFormat="1" applyFont="1" applyFill="1" applyBorder="1" applyAlignment="1"/>
    <xf numFmtId="166" fontId="10" fillId="0" borderId="28" xfId="0" applyNumberFormat="1" applyFont="1" applyFill="1" applyBorder="1" applyAlignment="1"/>
    <xf numFmtId="166" fontId="10" fillId="0" borderId="28" xfId="0" applyNumberFormat="1" applyFont="1" applyBorder="1" applyAlignment="1"/>
    <xf numFmtId="166" fontId="12" fillId="0" borderId="28" xfId="0" applyNumberFormat="1" applyFont="1" applyBorder="1" applyAlignment="1"/>
    <xf numFmtId="0" fontId="12" fillId="0" borderId="28" xfId="0" applyFont="1" applyBorder="1" applyAlignment="1"/>
    <xf numFmtId="10" fontId="12" fillId="0" borderId="28" xfId="0" applyNumberFormat="1" applyFont="1" applyFill="1" applyBorder="1"/>
    <xf numFmtId="10" fontId="12" fillId="0" borderId="28" xfId="0" applyNumberFormat="1" applyFont="1" applyFill="1" applyBorder="1" applyAlignment="1">
      <alignment horizontal="right"/>
    </xf>
    <xf numFmtId="10" fontId="12" fillId="0" borderId="28" xfId="633" applyNumberFormat="1" applyFont="1" applyBorder="1" applyAlignment="1"/>
    <xf numFmtId="3" fontId="10" fillId="0" borderId="34" xfId="0" applyNumberFormat="1" applyFont="1" applyBorder="1" applyAlignment="1">
      <alignment horizontal="right"/>
    </xf>
    <xf numFmtId="3" fontId="16" fillId="0" borderId="28" xfId="0" applyNumberFormat="1" applyFont="1" applyBorder="1" applyAlignment="1">
      <alignment horizontal="right"/>
    </xf>
    <xf numFmtId="3" fontId="12" fillId="0" borderId="28" xfId="0" applyNumberFormat="1" applyFont="1" applyBorder="1" applyAlignment="1">
      <alignment horizontal="right"/>
    </xf>
    <xf numFmtId="164" fontId="10" fillId="0" borderId="33" xfId="381" applyNumberFormat="1" applyFont="1" applyFill="1" applyBorder="1" applyAlignment="1">
      <alignment horizontal="right"/>
    </xf>
    <xf numFmtId="174" fontId="12" fillId="0" borderId="28" xfId="633" applyNumberFormat="1" applyFont="1" applyFill="1" applyBorder="1" applyAlignment="1">
      <alignment horizontal="right"/>
    </xf>
    <xf numFmtId="3" fontId="21" fillId="0" borderId="28" xfId="0" applyNumberFormat="1" applyFont="1" applyBorder="1"/>
    <xf numFmtId="164" fontId="12" fillId="0" borderId="28" xfId="381" applyNumberFormat="1" applyFont="1" applyFill="1" applyBorder="1" applyAlignment="1"/>
    <xf numFmtId="164" fontId="12" fillId="0" borderId="14" xfId="381" applyNumberFormat="1" applyFont="1" applyFill="1" applyBorder="1"/>
    <xf numFmtId="3" fontId="10" fillId="0" borderId="12" xfId="0" applyNumberFormat="1" applyFont="1" applyBorder="1"/>
    <xf numFmtId="3" fontId="21" fillId="0" borderId="15" xfId="0" applyNumberFormat="1" applyFont="1" applyBorder="1"/>
    <xf numFmtId="3" fontId="12" fillId="0" borderId="14" xfId="0" applyNumberFormat="1" applyFont="1" applyFill="1" applyBorder="1"/>
    <xf numFmtId="164" fontId="12" fillId="0" borderId="0" xfId="381" applyNumberFormat="1" applyFont="1" applyFill="1" applyBorder="1" applyAlignment="1"/>
    <xf numFmtId="0" fontId="12" fillId="0" borderId="25" xfId="0" applyFont="1" applyFill="1" applyBorder="1" applyAlignment="1">
      <alignment horizontal="left"/>
    </xf>
    <xf numFmtId="0" fontId="12" fillId="0" borderId="24" xfId="0" applyFont="1" applyFill="1" applyBorder="1" applyAlignment="1"/>
    <xf numFmtId="0" fontId="10" fillId="0" borderId="24" xfId="0" applyNumberFormat="1" applyFont="1" applyFill="1" applyBorder="1" applyAlignment="1">
      <alignment horizontal="center"/>
    </xf>
    <xf numFmtId="0" fontId="12" fillId="0" borderId="24" xfId="0" applyFont="1" applyFill="1" applyBorder="1"/>
    <xf numFmtId="0" fontId="12" fillId="0" borderId="50" xfId="0" applyFont="1" applyFill="1" applyBorder="1" applyAlignment="1">
      <alignment horizontal="center" wrapText="1"/>
    </xf>
    <xf numFmtId="164" fontId="12" fillId="0" borderId="24" xfId="381" applyNumberFormat="1" applyFont="1" applyFill="1" applyBorder="1"/>
    <xf numFmtId="164" fontId="12" fillId="0" borderId="50" xfId="381" applyNumberFormat="1" applyFont="1" applyFill="1" applyBorder="1"/>
    <xf numFmtId="164" fontId="12" fillId="0" borderId="51" xfId="381" applyNumberFormat="1" applyFont="1" applyFill="1" applyBorder="1"/>
    <xf numFmtId="0" fontId="10" fillId="0" borderId="20" xfId="0" applyNumberFormat="1" applyFont="1" applyFill="1" applyBorder="1" applyAlignment="1">
      <alignment horizontal="center"/>
    </xf>
    <xf numFmtId="164" fontId="12" fillId="0" borderId="52" xfId="381" applyNumberFormat="1" applyFont="1" applyBorder="1"/>
    <xf numFmtId="0" fontId="12" fillId="0" borderId="20" xfId="0" applyNumberFormat="1" applyFont="1" applyBorder="1" applyAlignment="1">
      <alignment horizontal="center"/>
    </xf>
    <xf numFmtId="0" fontId="14" fillId="0" borderId="0" xfId="0" applyFont="1" applyFill="1" applyBorder="1" applyAlignment="1">
      <alignment horizontal="left"/>
    </xf>
    <xf numFmtId="3" fontId="12" fillId="0" borderId="53" xfId="0" applyNumberFormat="1" applyFont="1" applyFill="1" applyBorder="1" applyAlignment="1"/>
    <xf numFmtId="173" fontId="10" fillId="0" borderId="54" xfId="633" applyNumberFormat="1" applyFont="1" applyFill="1" applyBorder="1" applyAlignment="1"/>
    <xf numFmtId="3" fontId="12" fillId="0" borderId="0" xfId="0" applyNumberFormat="1" applyFont="1" applyFill="1" applyBorder="1" applyAlignment="1">
      <alignment horizontal="center"/>
    </xf>
    <xf numFmtId="0" fontId="12" fillId="0" borderId="20" xfId="0" applyFont="1" applyBorder="1" applyAlignment="1">
      <alignment horizontal="center"/>
    </xf>
    <xf numFmtId="3" fontId="10" fillId="0" borderId="52" xfId="0" applyNumberFormat="1" applyFont="1" applyFill="1" applyBorder="1" applyAlignment="1"/>
    <xf numFmtId="3" fontId="12" fillId="0" borderId="0" xfId="0" applyNumberFormat="1" applyFont="1" applyBorder="1"/>
    <xf numFmtId="164" fontId="12" fillId="0" borderId="52" xfId="381" applyNumberFormat="1" applyFont="1" applyFill="1" applyBorder="1"/>
    <xf numFmtId="3" fontId="12" fillId="0" borderId="52" xfId="0" applyNumberFormat="1" applyFont="1" applyFill="1" applyBorder="1"/>
    <xf numFmtId="0" fontId="12" fillId="0" borderId="20" xfId="0" applyNumberFormat="1" applyFont="1" applyBorder="1" applyAlignment="1">
      <alignment horizontal="left"/>
    </xf>
    <xf numFmtId="0" fontId="26" fillId="30" borderId="20" xfId="0" applyFont="1" applyFill="1" applyBorder="1" applyAlignment="1">
      <alignment horizontal="left"/>
    </xf>
    <xf numFmtId="164" fontId="12" fillId="30" borderId="0" xfId="381" applyNumberFormat="1" applyFont="1" applyFill="1" applyBorder="1"/>
    <xf numFmtId="164" fontId="12" fillId="30" borderId="52" xfId="381" applyNumberFormat="1" applyFont="1" applyFill="1" applyBorder="1"/>
    <xf numFmtId="0" fontId="25" fillId="0" borderId="20" xfId="0" applyFont="1" applyFill="1" applyBorder="1" applyAlignment="1">
      <alignment horizontal="center"/>
    </xf>
    <xf numFmtId="164" fontId="12" fillId="0" borderId="55" xfId="381" applyNumberFormat="1" applyFont="1" applyFill="1" applyBorder="1"/>
    <xf numFmtId="173" fontId="12" fillId="0" borderId="52" xfId="633" applyNumberFormat="1" applyFont="1" applyFill="1" applyBorder="1" applyAlignment="1"/>
    <xf numFmtId="3" fontId="10" fillId="0" borderId="53" xfId="0" applyNumberFormat="1" applyFont="1" applyFill="1" applyBorder="1" applyAlignment="1"/>
    <xf numFmtId="0" fontId="12" fillId="0" borderId="20" xfId="0" applyFont="1" applyFill="1" applyBorder="1" applyAlignment="1">
      <alignment horizontal="center"/>
    </xf>
    <xf numFmtId="164" fontId="10" fillId="0" borderId="0" xfId="381" applyNumberFormat="1" applyFont="1" applyFill="1" applyBorder="1"/>
    <xf numFmtId="3" fontId="10" fillId="0" borderId="54" xfId="0" applyNumberFormat="1" applyFont="1" applyFill="1" applyBorder="1"/>
    <xf numFmtId="3" fontId="12" fillId="0" borderId="52" xfId="0" applyNumberFormat="1" applyFont="1" applyFill="1" applyBorder="1" applyAlignment="1"/>
    <xf numFmtId="164" fontId="12" fillId="0" borderId="55" xfId="381" applyNumberFormat="1" applyFont="1" applyBorder="1"/>
    <xf numFmtId="173" fontId="12" fillId="0" borderId="55" xfId="633" applyNumberFormat="1" applyFont="1" applyFill="1" applyBorder="1" applyAlignment="1"/>
    <xf numFmtId="0" fontId="12" fillId="0" borderId="52" xfId="0" applyFont="1" applyFill="1" applyBorder="1"/>
    <xf numFmtId="0" fontId="0" fillId="30" borderId="0" xfId="0" applyFill="1" applyBorder="1"/>
    <xf numFmtId="0" fontId="33" fillId="0" borderId="20" xfId="0" applyFont="1" applyBorder="1" applyAlignment="1">
      <alignment horizontal="left"/>
    </xf>
    <xf numFmtId="0" fontId="33" fillId="0" borderId="0" xfId="0" applyFont="1" applyBorder="1"/>
    <xf numFmtId="0" fontId="12" fillId="0" borderId="0" xfId="0" applyFont="1" applyFill="1" applyBorder="1" applyAlignment="1">
      <alignment horizontal="right"/>
    </xf>
    <xf numFmtId="0" fontId="12" fillId="0" borderId="0" xfId="0" applyNumberFormat="1" applyFont="1" applyFill="1" applyBorder="1" applyAlignment="1">
      <alignment horizontal="right"/>
    </xf>
    <xf numFmtId="0" fontId="58" fillId="0" borderId="0" xfId="0" applyNumberFormat="1" applyFont="1" applyFill="1" applyBorder="1" applyAlignment="1">
      <alignment horizontal="left"/>
    </xf>
    <xf numFmtId="0" fontId="16" fillId="0" borderId="0" xfId="0" applyFont="1" applyFill="1" applyBorder="1" applyAlignment="1">
      <alignment horizontal="center"/>
    </xf>
    <xf numFmtId="0" fontId="14" fillId="0" borderId="0" xfId="0" applyNumberFormat="1" applyFont="1" applyFill="1" applyBorder="1" applyAlignment="1">
      <alignment horizontal="center"/>
    </xf>
    <xf numFmtId="0" fontId="10" fillId="0" borderId="0" xfId="0" applyNumberFormat="1" applyFont="1" applyFill="1" applyBorder="1" applyAlignment="1">
      <alignment horizontal="right"/>
    </xf>
    <xf numFmtId="0" fontId="10" fillId="0" borderId="20" xfId="0" applyFont="1" applyBorder="1"/>
    <xf numFmtId="3" fontId="10" fillId="0" borderId="52" xfId="0" applyNumberFormat="1" applyFont="1" applyFill="1" applyBorder="1"/>
    <xf numFmtId="3" fontId="10" fillId="0" borderId="54" xfId="0" applyNumberFormat="1" applyFont="1" applyBorder="1"/>
    <xf numFmtId="0" fontId="12" fillId="0" borderId="20" xfId="0" applyFont="1" applyBorder="1" applyAlignment="1">
      <alignment horizontal="left"/>
    </xf>
    <xf numFmtId="0" fontId="10" fillId="30" borderId="0" xfId="0" applyNumberFormat="1" applyFont="1" applyFill="1" applyBorder="1" applyAlignment="1">
      <alignment horizontal="left"/>
    </xf>
    <xf numFmtId="164" fontId="63" fillId="0" borderId="0" xfId="381" applyNumberFormat="1" applyFont="1" applyFill="1" applyBorder="1"/>
    <xf numFmtId="43" fontId="12" fillId="0" borderId="0" xfId="381" applyFont="1" applyFill="1" applyBorder="1" applyAlignment="1"/>
    <xf numFmtId="3" fontId="10" fillId="0" borderId="54" xfId="0" applyNumberFormat="1" applyFont="1" applyFill="1" applyBorder="1" applyAlignment="1"/>
    <xf numFmtId="0" fontId="10" fillId="0" borderId="20" xfId="0" applyNumberFormat="1" applyFont="1" applyFill="1" applyBorder="1" applyAlignment="1"/>
    <xf numFmtId="0" fontId="12" fillId="0" borderId="0" xfId="0" applyNumberFormat="1" applyFont="1" applyBorder="1" applyAlignment="1">
      <alignment horizontal="right"/>
    </xf>
    <xf numFmtId="3" fontId="10" fillId="0" borderId="52" xfId="0" applyNumberFormat="1" applyFont="1" applyFill="1" applyBorder="1" applyAlignment="1">
      <alignment horizontal="right"/>
    </xf>
    <xf numFmtId="0" fontId="16" fillId="0" borderId="20" xfId="0" applyNumberFormat="1" applyFont="1" applyFill="1" applyBorder="1" applyAlignment="1">
      <alignment horizontal="center"/>
    </xf>
    <xf numFmtId="0" fontId="16" fillId="0" borderId="0" xfId="0" applyNumberFormat="1" applyFont="1" applyFill="1" applyBorder="1" applyAlignment="1"/>
    <xf numFmtId="3" fontId="10" fillId="0" borderId="54" xfId="0" applyNumberFormat="1" applyFont="1" applyFill="1" applyBorder="1" applyAlignment="1">
      <alignment horizontal="right"/>
    </xf>
    <xf numFmtId="164" fontId="10" fillId="0" borderId="52" xfId="381" applyNumberFormat="1" applyFont="1" applyFill="1" applyBorder="1"/>
    <xf numFmtId="0" fontId="10" fillId="0" borderId="20" xfId="0" applyNumberFormat="1" applyFont="1" applyBorder="1" applyAlignment="1">
      <alignment horizontal="center"/>
    </xf>
    <xf numFmtId="0" fontId="12" fillId="0" borderId="20" xfId="0" applyNumberFormat="1" applyFont="1" applyFill="1" applyBorder="1" applyAlignment="1">
      <alignment horizontal="left"/>
    </xf>
    <xf numFmtId="0" fontId="12" fillId="0" borderId="0" xfId="0" applyNumberFormat="1" applyFont="1" applyFill="1" applyBorder="1"/>
    <xf numFmtId="170" fontId="12" fillId="0" borderId="0" xfId="0" applyNumberFormat="1" applyFont="1" applyBorder="1" applyAlignment="1"/>
    <xf numFmtId="168" fontId="12" fillId="0" borderId="0" xfId="0" applyNumberFormat="1" applyFont="1" applyBorder="1" applyAlignment="1">
      <alignment horizontal="center"/>
    </xf>
    <xf numFmtId="3" fontId="12" fillId="0" borderId="52" xfId="0" applyNumberFormat="1" applyFont="1" applyBorder="1"/>
    <xf numFmtId="3" fontId="10" fillId="0" borderId="53" xfId="0" applyNumberFormat="1" applyFont="1" applyBorder="1"/>
    <xf numFmtId="3" fontId="21" fillId="0" borderId="56" xfId="0" applyNumberFormat="1" applyFont="1" applyBorder="1"/>
    <xf numFmtId="0" fontId="21" fillId="0" borderId="20" xfId="0" applyNumberFormat="1" applyFont="1" applyBorder="1" applyAlignment="1">
      <alignment horizontal="center"/>
    </xf>
    <xf numFmtId="3" fontId="12" fillId="0" borderId="55" xfId="0" applyNumberFormat="1" applyFont="1" applyFill="1" applyBorder="1"/>
    <xf numFmtId="164" fontId="10" fillId="0" borderId="52" xfId="381" applyNumberFormat="1" applyFont="1" applyBorder="1" applyAlignment="1"/>
    <xf numFmtId="173" fontId="10" fillId="0" borderId="52" xfId="633" applyNumberFormat="1" applyFont="1" applyBorder="1" applyAlignment="1"/>
    <xf numFmtId="164" fontId="10" fillId="0" borderId="52" xfId="381" applyNumberFormat="1" applyFont="1" applyFill="1" applyBorder="1" applyAlignment="1"/>
    <xf numFmtId="3" fontId="10" fillId="0" borderId="35" xfId="0" applyNumberFormat="1" applyFont="1" applyFill="1" applyBorder="1" applyAlignment="1"/>
    <xf numFmtId="3" fontId="10" fillId="0" borderId="55" xfId="0" applyNumberFormat="1" applyFont="1" applyFill="1" applyBorder="1" applyAlignment="1"/>
    <xf numFmtId="3" fontId="12" fillId="0" borderId="17" xfId="0" applyNumberFormat="1" applyFont="1" applyFill="1" applyBorder="1" applyAlignment="1"/>
    <xf numFmtId="164" fontId="12" fillId="0" borderId="26" xfId="381" applyNumberFormat="1" applyFont="1" applyFill="1" applyBorder="1"/>
    <xf numFmtId="0" fontId="0" fillId="0" borderId="19" xfId="0" applyBorder="1"/>
    <xf numFmtId="3" fontId="12" fillId="0" borderId="13" xfId="0" applyNumberFormat="1" applyFont="1" applyFill="1" applyBorder="1" applyAlignment="1"/>
    <xf numFmtId="0" fontId="12" fillId="0" borderId="57" xfId="0" applyFont="1" applyFill="1" applyBorder="1"/>
    <xf numFmtId="3" fontId="12" fillId="0" borderId="58" xfId="0" applyNumberFormat="1" applyFont="1" applyBorder="1" applyAlignment="1"/>
    <xf numFmtId="0" fontId="12" fillId="0" borderId="58" xfId="0" applyFont="1" applyFill="1" applyBorder="1"/>
    <xf numFmtId="3" fontId="12" fillId="0" borderId="59" xfId="0" applyNumberFormat="1" applyFont="1" applyFill="1" applyBorder="1" applyAlignment="1"/>
    <xf numFmtId="0" fontId="12" fillId="0" borderId="58" xfId="0" applyFont="1" applyBorder="1" applyAlignment="1"/>
    <xf numFmtId="0" fontId="12" fillId="0" borderId="58" xfId="0" applyFont="1" applyBorder="1"/>
    <xf numFmtId="0" fontId="12" fillId="0" borderId="60" xfId="0" applyFont="1" applyFill="1" applyBorder="1"/>
    <xf numFmtId="3" fontId="12" fillId="0" borderId="58" xfId="0" applyNumberFormat="1" applyFont="1" applyFill="1" applyBorder="1" applyAlignment="1"/>
    <xf numFmtId="3" fontId="12" fillId="0" borderId="19" xfId="0" applyNumberFormat="1" applyFont="1" applyBorder="1" applyAlignment="1"/>
    <xf numFmtId="3" fontId="12" fillId="0" borderId="60" xfId="0" applyNumberFormat="1" applyFont="1" applyFill="1" applyBorder="1" applyAlignment="1"/>
    <xf numFmtId="3" fontId="12" fillId="0" borderId="59" xfId="0" applyNumberFormat="1" applyFont="1" applyBorder="1" applyAlignment="1"/>
    <xf numFmtId="0" fontId="12" fillId="30" borderId="58" xfId="0" applyFont="1" applyFill="1" applyBorder="1"/>
    <xf numFmtId="0" fontId="12" fillId="0" borderId="58" xfId="0" applyFont="1" applyFill="1" applyBorder="1" applyAlignment="1">
      <alignment horizontal="left"/>
    </xf>
    <xf numFmtId="0" fontId="12" fillId="0" borderId="60" xfId="0" applyFont="1" applyFill="1" applyBorder="1" applyAlignment="1">
      <alignment horizontal="left"/>
    </xf>
    <xf numFmtId="3" fontId="12" fillId="0" borderId="60" xfId="0" applyNumberFormat="1" applyFont="1" applyBorder="1" applyAlignment="1"/>
    <xf numFmtId="3" fontId="10" fillId="0" borderId="59" xfId="0" applyNumberFormat="1" applyFont="1" applyFill="1" applyBorder="1" applyAlignment="1"/>
    <xf numFmtId="3" fontId="10" fillId="0" borderId="59" xfId="0" applyNumberFormat="1" applyFont="1" applyBorder="1" applyAlignment="1"/>
    <xf numFmtId="3" fontId="12" fillId="0" borderId="58" xfId="0" applyNumberFormat="1" applyFont="1" applyFill="1" applyBorder="1" applyAlignment="1">
      <alignment horizontal="right"/>
    </xf>
    <xf numFmtId="4" fontId="14" fillId="0" borderId="58" xfId="0" applyNumberFormat="1" applyFont="1" applyFill="1" applyBorder="1" applyAlignment="1">
      <alignment horizontal="right"/>
    </xf>
    <xf numFmtId="3" fontId="14" fillId="0" borderId="58" xfId="0" applyNumberFormat="1" applyFont="1" applyFill="1" applyBorder="1" applyAlignment="1">
      <alignment horizontal="right"/>
    </xf>
    <xf numFmtId="0" fontId="12" fillId="0" borderId="60" xfId="0" applyNumberFormat="1" applyFont="1" applyFill="1" applyBorder="1" applyAlignment="1">
      <alignment horizontal="left"/>
    </xf>
    <xf numFmtId="3" fontId="14" fillId="0" borderId="58" xfId="0" applyNumberFormat="1" applyFont="1" applyBorder="1" applyAlignment="1">
      <alignment horizontal="right"/>
    </xf>
    <xf numFmtId="3" fontId="12" fillId="0" borderId="59" xfId="0" applyNumberFormat="1" applyFont="1" applyFill="1" applyBorder="1" applyAlignment="1">
      <alignment horizontal="right"/>
    </xf>
    <xf numFmtId="0" fontId="12" fillId="0" borderId="58" xfId="0" applyFont="1" applyFill="1" applyBorder="1" applyAlignment="1"/>
    <xf numFmtId="0" fontId="12" fillId="0" borderId="58" xfId="0" applyNumberFormat="1" applyFont="1" applyFill="1" applyBorder="1" applyAlignment="1"/>
    <xf numFmtId="0" fontId="12" fillId="0" borderId="60" xfId="0" applyFont="1" applyFill="1" applyBorder="1" applyAlignment="1"/>
    <xf numFmtId="0" fontId="12" fillId="0" borderId="58" xfId="0" applyNumberFormat="1" applyFont="1" applyFill="1" applyBorder="1" applyAlignment="1">
      <alignment horizontal="left"/>
    </xf>
    <xf numFmtId="3" fontId="10" fillId="0" borderId="58" xfId="0" applyNumberFormat="1" applyFont="1" applyBorder="1" applyAlignment="1"/>
    <xf numFmtId="168" fontId="12" fillId="0" borderId="58" xfId="0" applyNumberFormat="1" applyFont="1" applyBorder="1" applyAlignment="1">
      <alignment horizontal="left"/>
    </xf>
    <xf numFmtId="3" fontId="16" fillId="0" borderId="58" xfId="0" applyNumberFormat="1" applyFont="1" applyBorder="1" applyAlignment="1"/>
    <xf numFmtId="3" fontId="21" fillId="0" borderId="61" xfId="0" applyNumberFormat="1" applyFont="1" applyBorder="1" applyAlignment="1"/>
    <xf numFmtId="0" fontId="12" fillId="0" borderId="35" xfId="0" applyFont="1" applyBorder="1"/>
    <xf numFmtId="0" fontId="0" fillId="0" borderId="33" xfId="0" applyBorder="1"/>
    <xf numFmtId="0" fontId="12" fillId="0" borderId="35" xfId="0" applyFont="1" applyFill="1" applyBorder="1"/>
    <xf numFmtId="164" fontId="63" fillId="0" borderId="14" xfId="381" applyNumberFormat="1" applyFont="1" applyFill="1" applyBorder="1"/>
    <xf numFmtId="0" fontId="10" fillId="35" borderId="37" xfId="0" applyFont="1" applyFill="1" applyBorder="1" applyAlignment="1">
      <alignment horizontal="center" wrapText="1"/>
    </xf>
    <xf numFmtId="0" fontId="10" fillId="35" borderId="45" xfId="0" applyFont="1" applyFill="1" applyBorder="1"/>
    <xf numFmtId="3" fontId="12" fillId="0" borderId="62" xfId="0" applyNumberFormat="1" applyFont="1" applyFill="1" applyBorder="1" applyAlignment="1"/>
    <xf numFmtId="3" fontId="12" fillId="0" borderId="63" xfId="0" applyNumberFormat="1" applyFont="1" applyFill="1" applyBorder="1" applyAlignment="1"/>
    <xf numFmtId="3" fontId="12" fillId="0" borderId="19" xfId="0" applyNumberFormat="1" applyFont="1" applyFill="1" applyBorder="1" applyAlignment="1"/>
    <xf numFmtId="3" fontId="12" fillId="0" borderId="34" xfId="0" applyNumberFormat="1" applyFont="1" applyFill="1" applyBorder="1" applyAlignment="1"/>
    <xf numFmtId="164" fontId="12" fillId="0" borderId="12" xfId="381" applyNumberFormat="1" applyFont="1" applyFill="1" applyBorder="1"/>
    <xf numFmtId="177" fontId="12" fillId="0" borderId="28" xfId="381" applyNumberFormat="1" applyFont="1" applyBorder="1"/>
    <xf numFmtId="164" fontId="12" fillId="0" borderId="13" xfId="381" applyNumberFormat="1" applyFont="1" applyFill="1" applyBorder="1"/>
    <xf numFmtId="174" fontId="12" fillId="0" borderId="35" xfId="633" applyNumberFormat="1" applyFont="1" applyFill="1" applyBorder="1" applyAlignment="1"/>
    <xf numFmtId="164" fontId="10" fillId="0" borderId="13" xfId="381" applyNumberFormat="1" applyFont="1" applyFill="1" applyBorder="1"/>
    <xf numFmtId="0" fontId="0" fillId="0" borderId="13" xfId="0" applyBorder="1"/>
    <xf numFmtId="3" fontId="10" fillId="0" borderId="33" xfId="0" applyNumberFormat="1" applyFont="1" applyBorder="1" applyAlignment="1"/>
    <xf numFmtId="3" fontId="10" fillId="0" borderId="61" xfId="0" applyNumberFormat="1" applyFont="1" applyBorder="1" applyAlignment="1"/>
    <xf numFmtId="0" fontId="10" fillId="0" borderId="15" xfId="0" applyFont="1" applyBorder="1"/>
    <xf numFmtId="0" fontId="21" fillId="0" borderId="15" xfId="0" applyNumberFormat="1" applyFont="1" applyBorder="1" applyAlignment="1">
      <alignment horizontal="left"/>
    </xf>
    <xf numFmtId="0" fontId="21" fillId="0" borderId="15" xfId="0" applyFont="1" applyFill="1" applyBorder="1"/>
    <xf numFmtId="0" fontId="21" fillId="0" borderId="15" xfId="0" applyFont="1" applyBorder="1" applyAlignment="1">
      <alignment horizontal="center"/>
    </xf>
    <xf numFmtId="0" fontId="60" fillId="0" borderId="0" xfId="0" applyFont="1" applyFill="1" applyBorder="1" applyAlignment="1"/>
    <xf numFmtId="0" fontId="12" fillId="0" borderId="22" xfId="0" applyFont="1" applyFill="1" applyBorder="1" applyAlignment="1">
      <alignment horizontal="center"/>
    </xf>
    <xf numFmtId="0" fontId="12" fillId="0" borderId="10" xfId="0" applyNumberFormat="1" applyFont="1" applyFill="1" applyBorder="1" applyAlignment="1">
      <alignment horizontal="center"/>
    </xf>
    <xf numFmtId="0" fontId="12" fillId="0" borderId="10" xfId="0" applyNumberFormat="1" applyFont="1" applyBorder="1" applyAlignment="1">
      <alignment horizontal="left"/>
    </xf>
    <xf numFmtId="0" fontId="12" fillId="0" borderId="10" xfId="0" applyFont="1" applyBorder="1" applyAlignment="1"/>
    <xf numFmtId="0" fontId="15" fillId="0" borderId="10" xfId="0" applyFont="1" applyBorder="1" applyAlignment="1">
      <alignment horizontal="center"/>
    </xf>
    <xf numFmtId="3" fontId="12" fillId="0" borderId="10" xfId="0" applyNumberFormat="1" applyFont="1" applyBorder="1" applyAlignment="1"/>
    <xf numFmtId="0" fontId="0" fillId="0" borderId="49" xfId="0" applyBorder="1"/>
    <xf numFmtId="43" fontId="10" fillId="0" borderId="10" xfId="381" applyFont="1" applyBorder="1"/>
    <xf numFmtId="164" fontId="10" fillId="0" borderId="49" xfId="381" applyNumberFormat="1" applyFont="1" applyBorder="1"/>
    <xf numFmtId="37" fontId="0" fillId="0" borderId="12" xfId="0" applyNumberFormat="1" applyFill="1" applyBorder="1"/>
    <xf numFmtId="0" fontId="0" fillId="0" borderId="13" xfId="0" applyFill="1" applyBorder="1"/>
    <xf numFmtId="164" fontId="18" fillId="0" borderId="0" xfId="381" applyNumberFormat="1" applyFont="1" applyFill="1" applyBorder="1" applyAlignment="1">
      <alignment wrapText="1"/>
    </xf>
    <xf numFmtId="164" fontId="8" fillId="0" borderId="14" xfId="381" applyNumberFormat="1" applyFont="1" applyFill="1" applyBorder="1" applyAlignment="1"/>
    <xf numFmtId="164" fontId="0" fillId="0" borderId="14" xfId="0" applyNumberFormat="1" applyFill="1" applyBorder="1"/>
    <xf numFmtId="0" fontId="9" fillId="0" borderId="14" xfId="465" applyNumberFormat="1" applyFont="1" applyFill="1" applyBorder="1" applyAlignment="1">
      <alignment horizontal="left"/>
    </xf>
    <xf numFmtId="3" fontId="18" fillId="0" borderId="14" xfId="465" applyNumberFormat="1" applyFont="1" applyFill="1" applyBorder="1" applyAlignment="1">
      <alignment horizontal="center"/>
    </xf>
    <xf numFmtId="0" fontId="9" fillId="0" borderId="13" xfId="465" applyNumberFormat="1" applyFont="1" applyFill="1" applyBorder="1" applyAlignment="1">
      <alignment horizontal="left"/>
    </xf>
    <xf numFmtId="3" fontId="18" fillId="0" borderId="13" xfId="465" applyNumberFormat="1" applyFont="1" applyFill="1" applyBorder="1" applyAlignment="1"/>
    <xf numFmtId="164" fontId="9" fillId="0" borderId="33" xfId="390" applyNumberFormat="1" applyFont="1" applyFill="1" applyBorder="1" applyAlignment="1">
      <alignment horizontal="right"/>
    </xf>
    <xf numFmtId="168" fontId="8" fillId="0" borderId="0" xfId="465" applyNumberFormat="1" applyFont="1" applyFill="1" applyBorder="1" applyAlignment="1">
      <alignment horizontal="center" wrapText="1"/>
    </xf>
    <xf numFmtId="164" fontId="9" fillId="0" borderId="0" xfId="465" applyNumberFormat="1" applyFont="1" applyFill="1" applyBorder="1" applyAlignment="1">
      <alignment horizontal="center" wrapText="1"/>
    </xf>
    <xf numFmtId="0" fontId="52" fillId="0" borderId="0" xfId="465" applyFont="1" applyFill="1" applyBorder="1"/>
    <xf numFmtId="164" fontId="8" fillId="0" borderId="0" xfId="381" applyNumberFormat="1" applyFont="1" applyFill="1" applyBorder="1" applyAlignment="1"/>
    <xf numFmtId="164" fontId="52" fillId="0" borderId="0" xfId="381" applyNumberFormat="1" applyFont="1" applyFill="1" applyBorder="1"/>
    <xf numFmtId="164" fontId="52" fillId="0" borderId="0" xfId="465" applyNumberFormat="1" applyFont="1" applyFill="1" applyBorder="1"/>
    <xf numFmtId="10" fontId="52" fillId="0" borderId="0" xfId="633" applyNumberFormat="1" applyFont="1" applyFill="1" applyBorder="1"/>
    <xf numFmtId="164" fontId="8" fillId="0" borderId="10" xfId="390" applyNumberFormat="1" applyFont="1" applyFill="1" applyBorder="1" applyAlignment="1">
      <alignment wrapText="1"/>
    </xf>
    <xf numFmtId="164" fontId="8" fillId="0" borderId="23" xfId="390" applyNumberFormat="1" applyFont="1" applyFill="1" applyBorder="1" applyAlignment="1">
      <alignment wrapText="1"/>
    </xf>
    <xf numFmtId="0" fontId="18" fillId="0" borderId="40" xfId="465" applyNumberFormat="1" applyFont="1" applyFill="1" applyBorder="1" applyAlignment="1">
      <alignment horizontal="center"/>
    </xf>
    <xf numFmtId="0" fontId="18" fillId="0" borderId="40" xfId="465" applyNumberFormat="1" applyFont="1" applyFill="1" applyBorder="1" applyAlignment="1">
      <alignment horizontal="left"/>
    </xf>
    <xf numFmtId="0" fontId="18" fillId="0" borderId="41" xfId="465" applyNumberFormat="1" applyFont="1" applyFill="1" applyBorder="1" applyAlignment="1">
      <alignment horizontal="center"/>
    </xf>
    <xf numFmtId="0" fontId="9" fillId="0" borderId="25" xfId="465" applyFont="1" applyFill="1" applyBorder="1" applyAlignment="1">
      <alignment horizontal="center"/>
    </xf>
    <xf numFmtId="173" fontId="49" fillId="0" borderId="0" xfId="633" applyNumberFormat="1" applyFont="1" applyFill="1" applyBorder="1"/>
    <xf numFmtId="0" fontId="89" fillId="0" borderId="24" xfId="0" applyFont="1" applyFill="1" applyBorder="1" applyAlignment="1">
      <alignment horizontal="center"/>
    </xf>
    <xf numFmtId="0" fontId="49" fillId="0" borderId="22" xfId="0" applyFont="1" applyFill="1" applyBorder="1"/>
    <xf numFmtId="173" fontId="49" fillId="0" borderId="40" xfId="633" applyNumberFormat="1" applyFont="1" applyFill="1" applyBorder="1"/>
    <xf numFmtId="0" fontId="51" fillId="0" borderId="40" xfId="0" applyFont="1" applyFill="1" applyBorder="1"/>
    <xf numFmtId="164" fontId="49" fillId="0" borderId="3" xfId="381" applyNumberFormat="1" applyFont="1" applyFill="1" applyBorder="1"/>
    <xf numFmtId="0" fontId="49" fillId="0" borderId="40" xfId="0" applyFont="1" applyFill="1" applyBorder="1"/>
    <xf numFmtId="0" fontId="89" fillId="0" borderId="39" xfId="0" applyFont="1" applyFill="1" applyBorder="1" applyAlignment="1">
      <alignment horizontal="center"/>
    </xf>
    <xf numFmtId="0" fontId="89" fillId="0" borderId="20" xfId="0" applyFont="1" applyFill="1" applyBorder="1"/>
    <xf numFmtId="0" fontId="9" fillId="0" borderId="20" xfId="465" applyFont="1" applyFill="1" applyBorder="1"/>
    <xf numFmtId="164" fontId="81" fillId="0" borderId="0" xfId="381" applyNumberFormat="1" applyFont="1" applyBorder="1"/>
    <xf numFmtId="164" fontId="45" fillId="0" borderId="0" xfId="381" applyNumberFormat="1" applyFont="1" applyBorder="1"/>
    <xf numFmtId="164" fontId="9" fillId="0" borderId="0" xfId="0" applyNumberFormat="1" applyFont="1"/>
    <xf numFmtId="43" fontId="12" fillId="0" borderId="28" xfId="381" applyFont="1" applyFill="1" applyBorder="1" applyAlignment="1"/>
    <xf numFmtId="43" fontId="12" fillId="0" borderId="0" xfId="381" applyFont="1" applyFill="1" applyBorder="1"/>
    <xf numFmtId="43" fontId="12" fillId="0" borderId="28" xfId="381" applyFont="1" applyFill="1" applyBorder="1"/>
    <xf numFmtId="164" fontId="12" fillId="0" borderId="21" xfId="381" applyNumberFormat="1" applyFont="1" applyFill="1" applyBorder="1"/>
    <xf numFmtId="0" fontId="12" fillId="0" borderId="22" xfId="0" applyFont="1" applyBorder="1" applyAlignment="1">
      <alignment horizontal="left"/>
    </xf>
    <xf numFmtId="0" fontId="12" fillId="0" borderId="10" xfId="0" applyFont="1" applyBorder="1"/>
    <xf numFmtId="0" fontId="12" fillId="0" borderId="10" xfId="0" applyFont="1" applyBorder="1" applyAlignment="1">
      <alignment horizontal="center"/>
    </xf>
    <xf numFmtId="0" fontId="12" fillId="0" borderId="64" xfId="0" applyFont="1" applyBorder="1"/>
    <xf numFmtId="0" fontId="12" fillId="0" borderId="49" xfId="0" applyFont="1" applyBorder="1"/>
    <xf numFmtId="164" fontId="12" fillId="0" borderId="10" xfId="381" applyNumberFormat="1" applyFont="1" applyFill="1" applyBorder="1"/>
    <xf numFmtId="171" fontId="12" fillId="0" borderId="49" xfId="633" applyNumberFormat="1" applyFont="1" applyBorder="1"/>
    <xf numFmtId="171" fontId="12" fillId="0" borderId="65" xfId="633" applyNumberFormat="1" applyFont="1" applyBorder="1"/>
    <xf numFmtId="0" fontId="90" fillId="0" borderId="0" xfId="0" applyFont="1" applyFill="1" applyBorder="1"/>
    <xf numFmtId="37" fontId="92" fillId="0" borderId="0" xfId="0" applyNumberFormat="1" applyFont="1" applyFill="1" applyBorder="1" applyAlignment="1">
      <alignment horizontal="right"/>
    </xf>
    <xf numFmtId="0" fontId="90" fillId="0" borderId="0" xfId="0" applyFont="1" applyFill="1"/>
    <xf numFmtId="37" fontId="10" fillId="0" borderId="0" xfId="0" applyNumberFormat="1" applyFont="1" applyFill="1" applyBorder="1" applyAlignment="1">
      <alignment horizontal="right"/>
    </xf>
    <xf numFmtId="39" fontId="10" fillId="0" borderId="28" xfId="0" applyNumberFormat="1" applyFont="1" applyFill="1" applyBorder="1" applyAlignment="1">
      <alignment horizontal="right"/>
    </xf>
    <xf numFmtId="10" fontId="12" fillId="0" borderId="28" xfId="633" applyNumberFormat="1" applyFont="1" applyFill="1" applyBorder="1"/>
    <xf numFmtId="10" fontId="12" fillId="0" borderId="52" xfId="633" applyNumberFormat="1" applyFont="1" applyFill="1" applyBorder="1"/>
    <xf numFmtId="37" fontId="10" fillId="0" borderId="0" xfId="0" applyNumberFormat="1" applyFont="1" applyFill="1" applyBorder="1"/>
    <xf numFmtId="37" fontId="117" fillId="0" borderId="0" xfId="0" applyNumberFormat="1" applyFont="1" applyFill="1" applyBorder="1"/>
    <xf numFmtId="37" fontId="118" fillId="0" borderId="0" xfId="0" applyNumberFormat="1" applyFont="1" applyFill="1" applyBorder="1"/>
    <xf numFmtId="37" fontId="12" fillId="0" borderId="58" xfId="0" applyNumberFormat="1" applyFont="1" applyFill="1" applyBorder="1"/>
    <xf numFmtId="37" fontId="12" fillId="0" borderId="0" xfId="0" applyNumberFormat="1" applyFont="1" applyFill="1" applyBorder="1"/>
    <xf numFmtId="37" fontId="12" fillId="0" borderId="28" xfId="0" applyNumberFormat="1" applyFont="1" applyFill="1" applyBorder="1" applyAlignment="1"/>
    <xf numFmtId="37" fontId="12" fillId="0" borderId="0" xfId="0" applyNumberFormat="1" applyFont="1" applyFill="1" applyBorder="1" applyAlignment="1"/>
    <xf numFmtId="37" fontId="12" fillId="0" borderId="58" xfId="0" applyNumberFormat="1" applyFont="1" applyFill="1" applyBorder="1" applyAlignment="1"/>
    <xf numFmtId="37" fontId="12" fillId="0" borderId="28" xfId="0" applyNumberFormat="1" applyFont="1" applyFill="1" applyBorder="1"/>
    <xf numFmtId="37" fontId="12" fillId="0" borderId="14" xfId="0" applyNumberFormat="1" applyFont="1" applyFill="1" applyBorder="1"/>
    <xf numFmtId="37" fontId="12" fillId="0" borderId="14" xfId="0" applyNumberFormat="1" applyFont="1" applyFill="1" applyBorder="1" applyAlignment="1"/>
    <xf numFmtId="37" fontId="12" fillId="0" borderId="60" xfId="0" applyNumberFormat="1" applyFont="1" applyFill="1" applyBorder="1" applyAlignment="1"/>
    <xf numFmtId="37" fontId="12" fillId="0" borderId="35" xfId="0" applyNumberFormat="1" applyFont="1" applyFill="1" applyBorder="1"/>
    <xf numFmtId="37" fontId="16" fillId="0" borderId="0" xfId="0" applyNumberFormat="1" applyFont="1" applyFill="1" applyBorder="1"/>
    <xf numFmtId="37" fontId="16" fillId="0" borderId="35" xfId="0" applyNumberFormat="1" applyFont="1" applyFill="1" applyBorder="1"/>
    <xf numFmtId="37" fontId="119" fillId="0" borderId="28" xfId="0" applyNumberFormat="1" applyFont="1" applyFill="1" applyBorder="1" applyAlignment="1">
      <alignment horizontal="center"/>
    </xf>
    <xf numFmtId="10" fontId="12" fillId="0" borderId="28" xfId="0" applyNumberFormat="1" applyFont="1" applyFill="1" applyBorder="1" applyAlignment="1"/>
    <xf numFmtId="3" fontId="12" fillId="0" borderId="0" xfId="0" applyNumberFormat="1" applyFont="1" applyFill="1" applyBorder="1" applyAlignment="1">
      <alignment horizontal="left"/>
    </xf>
    <xf numFmtId="0" fontId="12" fillId="0" borderId="0" xfId="0" quotePrefix="1" applyNumberFormat="1" applyFont="1" applyFill="1" applyBorder="1" applyAlignment="1">
      <alignment wrapText="1"/>
    </xf>
    <xf numFmtId="0" fontId="18" fillId="0" borderId="0" xfId="0" applyFont="1" applyFill="1" applyBorder="1"/>
    <xf numFmtId="0" fontId="12" fillId="0" borderId="58" xfId="0" applyFont="1" applyFill="1" applyBorder="1" applyAlignment="1">
      <alignment horizontal="right"/>
    </xf>
    <xf numFmtId="173" fontId="14" fillId="0" borderId="28" xfId="0" applyNumberFormat="1" applyFont="1" applyFill="1" applyBorder="1" applyAlignment="1">
      <alignment horizontal="right"/>
    </xf>
    <xf numFmtId="173" fontId="12" fillId="0" borderId="35" xfId="633" applyNumberFormat="1" applyFont="1" applyFill="1" applyBorder="1"/>
    <xf numFmtId="172" fontId="12" fillId="0" borderId="35" xfId="381" applyNumberFormat="1" applyFont="1" applyFill="1" applyBorder="1" applyAlignment="1">
      <alignment horizontal="right"/>
    </xf>
    <xf numFmtId="172" fontId="12" fillId="0" borderId="14" xfId="381" applyNumberFormat="1" applyFont="1" applyFill="1" applyBorder="1"/>
    <xf numFmtId="172" fontId="12" fillId="0" borderId="35" xfId="381" applyNumberFormat="1" applyFont="1" applyFill="1" applyBorder="1"/>
    <xf numFmtId="0" fontId="14" fillId="0" borderId="14" xfId="0" quotePrefix="1" applyFont="1" applyFill="1" applyBorder="1" applyAlignment="1">
      <alignment horizontal="center" wrapText="1"/>
    </xf>
    <xf numFmtId="0" fontId="0" fillId="0" borderId="58" xfId="0" applyFill="1" applyBorder="1"/>
    <xf numFmtId="0" fontId="10" fillId="0" borderId="12" xfId="0" applyNumberFormat="1" applyFont="1" applyFill="1" applyBorder="1" applyAlignment="1">
      <alignment horizontal="center"/>
    </xf>
    <xf numFmtId="43" fontId="12" fillId="0" borderId="58" xfId="381" applyFont="1" applyFill="1" applyBorder="1" applyAlignment="1"/>
    <xf numFmtId="43" fontId="12" fillId="0" borderId="58" xfId="381" applyFont="1" applyFill="1" applyBorder="1"/>
    <xf numFmtId="164" fontId="12" fillId="0" borderId="58" xfId="381" applyNumberFormat="1" applyFont="1" applyFill="1" applyBorder="1"/>
    <xf numFmtId="0" fontId="12" fillId="0" borderId="25" xfId="0" applyFont="1" applyFill="1" applyBorder="1" applyAlignment="1">
      <alignment horizontal="center"/>
    </xf>
    <xf numFmtId="0" fontId="10" fillId="0" borderId="24" xfId="0" applyNumberFormat="1" applyFont="1" applyFill="1" applyBorder="1" applyAlignment="1">
      <alignment horizontal="left"/>
    </xf>
    <xf numFmtId="0" fontId="12" fillId="0" borderId="24" xfId="0" applyFont="1" applyBorder="1" applyAlignment="1"/>
    <xf numFmtId="0" fontId="12" fillId="0" borderId="24" xfId="0" applyFont="1" applyFill="1" applyBorder="1" applyAlignment="1">
      <alignment horizontal="right"/>
    </xf>
    <xf numFmtId="0" fontId="12" fillId="0" borderId="57" xfId="0" applyFont="1" applyBorder="1"/>
    <xf numFmtId="0" fontId="0" fillId="0" borderId="24" xfId="0" applyBorder="1"/>
    <xf numFmtId="3" fontId="12" fillId="0" borderId="50" xfId="0" applyNumberFormat="1" applyFont="1" applyBorder="1" applyAlignment="1"/>
    <xf numFmtId="164" fontId="12" fillId="0" borderId="50" xfId="381" applyNumberFormat="1" applyFont="1" applyBorder="1"/>
    <xf numFmtId="164" fontId="12" fillId="0" borderId="51" xfId="381" applyNumberFormat="1" applyFont="1" applyBorder="1"/>
    <xf numFmtId="168" fontId="12" fillId="0" borderId="35" xfId="633" applyNumberFormat="1" applyFont="1" applyFill="1" applyBorder="1" applyAlignment="1"/>
    <xf numFmtId="168" fontId="12" fillId="0" borderId="55" xfId="633" applyNumberFormat="1" applyFont="1" applyFill="1" applyBorder="1" applyAlignment="1"/>
    <xf numFmtId="0" fontId="10" fillId="0" borderId="13" xfId="0" applyFont="1" applyFill="1" applyBorder="1"/>
    <xf numFmtId="0" fontId="10" fillId="0" borderId="13" xfId="0" applyFont="1" applyFill="1" applyBorder="1" applyAlignment="1">
      <alignment horizontal="center"/>
    </xf>
    <xf numFmtId="0" fontId="35" fillId="0" borderId="0" xfId="0" applyFont="1" applyFill="1"/>
    <xf numFmtId="0" fontId="0" fillId="0" borderId="17" xfId="0" applyFill="1" applyBorder="1"/>
    <xf numFmtId="37" fontId="0" fillId="0" borderId="17" xfId="0" applyNumberFormat="1" applyFill="1" applyBorder="1" applyAlignment="1">
      <alignment horizontal="right"/>
    </xf>
    <xf numFmtId="173" fontId="0" fillId="0" borderId="0" xfId="0" applyNumberFormat="1" applyFill="1"/>
    <xf numFmtId="0" fontId="10" fillId="0" borderId="0" xfId="0" applyFont="1" applyFill="1" applyAlignment="1">
      <alignment horizontal="centerContinuous"/>
    </xf>
    <xf numFmtId="0" fontId="0" fillId="0" borderId="0" xfId="0" applyFill="1" applyBorder="1" applyAlignment="1">
      <alignment horizontal="left"/>
    </xf>
    <xf numFmtId="0" fontId="87" fillId="0" borderId="0" xfId="0" applyFont="1" applyFill="1" applyBorder="1" applyAlignment="1">
      <alignment horizontal="left"/>
    </xf>
    <xf numFmtId="0" fontId="87" fillId="0" borderId="0" xfId="0" applyFont="1" applyFill="1"/>
    <xf numFmtId="0" fontId="35" fillId="0" borderId="0" xfId="0" applyFont="1" applyFill="1" applyBorder="1"/>
    <xf numFmtId="0" fontId="21" fillId="0" borderId="0" xfId="0" applyFont="1" applyFill="1" applyBorder="1" applyAlignment="1">
      <alignment horizontal="center"/>
    </xf>
    <xf numFmtId="0" fontId="41" fillId="0" borderId="0" xfId="0" applyFont="1" applyFill="1" applyBorder="1" applyAlignment="1"/>
    <xf numFmtId="0" fontId="0" fillId="0" borderId="0" xfId="0" applyFill="1" applyBorder="1" applyAlignment="1"/>
    <xf numFmtId="0" fontId="21" fillId="0" borderId="0" xfId="0" applyFont="1" applyFill="1" applyBorder="1" applyAlignment="1">
      <alignment horizontal="centerContinuous"/>
    </xf>
    <xf numFmtId="0" fontId="11" fillId="0" borderId="0" xfId="0" applyFont="1" applyFill="1" applyBorder="1" applyAlignment="1">
      <alignment horizontal="centerContinuous"/>
    </xf>
    <xf numFmtId="0" fontId="32" fillId="0" borderId="0" xfId="0" applyFont="1" applyFill="1" applyBorder="1" applyAlignment="1">
      <alignment horizontal="left"/>
    </xf>
    <xf numFmtId="0" fontId="31" fillId="0" borderId="0" xfId="0" applyFont="1" applyFill="1" applyBorder="1"/>
    <xf numFmtId="0" fontId="8" fillId="0" borderId="0" xfId="0" applyFont="1" applyFill="1" applyBorder="1" applyAlignment="1">
      <alignment horizontal="left"/>
    </xf>
    <xf numFmtId="0" fontId="18" fillId="0" borderId="0" xfId="0" applyFont="1" applyFill="1" applyBorder="1" applyAlignment="1">
      <alignment horizontal="left"/>
    </xf>
    <xf numFmtId="0" fontId="0" fillId="0" borderId="17" xfId="0" applyFill="1" applyBorder="1" applyAlignment="1">
      <alignment horizontal="left"/>
    </xf>
    <xf numFmtId="0" fontId="8" fillId="0" borderId="17" xfId="0" applyFont="1" applyFill="1" applyBorder="1"/>
    <xf numFmtId="164" fontId="8" fillId="0" borderId="17" xfId="381" applyNumberFormat="1" applyFont="1" applyFill="1" applyBorder="1"/>
    <xf numFmtId="164" fontId="8" fillId="0" borderId="17" xfId="381" applyNumberFormat="1" applyFill="1" applyBorder="1"/>
    <xf numFmtId="0" fontId="55" fillId="0" borderId="0" xfId="0" applyFont="1" applyFill="1"/>
    <xf numFmtId="42" fontId="18" fillId="0" borderId="0" xfId="0" applyNumberFormat="1" applyFont="1" applyFill="1"/>
    <xf numFmtId="42" fontId="0" fillId="0" borderId="0" xfId="0" applyNumberFormat="1" applyFill="1"/>
    <xf numFmtId="0" fontId="0" fillId="0" borderId="0" xfId="0" applyFill="1" applyAlignment="1">
      <alignment horizontal="right" wrapText="1"/>
    </xf>
    <xf numFmtId="37" fontId="9" fillId="0" borderId="0" xfId="0" applyNumberFormat="1" applyFont="1" applyFill="1" applyAlignment="1">
      <alignment horizontal="right" wrapText="1"/>
    </xf>
    <xf numFmtId="37" fontId="31" fillId="0" borderId="0" xfId="0" applyNumberFormat="1" applyFont="1" applyFill="1"/>
    <xf numFmtId="0" fontId="37" fillId="0" borderId="0" xfId="0" applyFont="1" applyFill="1" applyAlignment="1">
      <alignment horizontal="right"/>
    </xf>
    <xf numFmtId="0" fontId="9" fillId="0" borderId="0" xfId="0" applyFont="1" applyFill="1" applyAlignment="1"/>
    <xf numFmtId="0" fontId="44" fillId="0" borderId="0" xfId="0" applyFont="1" applyFill="1" applyAlignment="1"/>
    <xf numFmtId="0" fontId="44" fillId="0" borderId="0" xfId="465" applyFont="1" applyFill="1" applyBorder="1" applyAlignment="1">
      <alignment horizontal="left"/>
    </xf>
    <xf numFmtId="0" fontId="10" fillId="0" borderId="17" xfId="0" applyFont="1" applyFill="1" applyBorder="1" applyAlignment="1">
      <alignment horizontal="center" wrapText="1"/>
    </xf>
    <xf numFmtId="0" fontId="10" fillId="0" borderId="26" xfId="0" applyFont="1" applyFill="1" applyBorder="1" applyAlignment="1">
      <alignment horizontal="center" wrapText="1"/>
    </xf>
    <xf numFmtId="164" fontId="52" fillId="0" borderId="0" xfId="465" applyNumberFormat="1" applyFont="1" applyFill="1" applyBorder="1" applyAlignment="1">
      <alignment horizontal="center"/>
    </xf>
    <xf numFmtId="164" fontId="52" fillId="0" borderId="0" xfId="390" applyNumberFormat="1" applyFont="1" applyFill="1" applyBorder="1" applyAlignment="1"/>
    <xf numFmtId="3" fontId="52" fillId="0" borderId="0" xfId="465" applyNumberFormat="1" applyFont="1" applyFill="1" applyBorder="1" applyAlignment="1">
      <alignment horizontal="center"/>
    </xf>
    <xf numFmtId="0" fontId="18" fillId="0" borderId="14" xfId="465" applyFont="1" applyFill="1" applyBorder="1" applyAlignment="1"/>
    <xf numFmtId="0" fontId="52" fillId="0" borderId="35" xfId="465" applyFont="1" applyFill="1" applyBorder="1"/>
    <xf numFmtId="3" fontId="18" fillId="0" borderId="13" xfId="465" applyNumberFormat="1" applyFont="1" applyFill="1" applyBorder="1" applyAlignment="1">
      <alignment horizontal="center"/>
    </xf>
    <xf numFmtId="3" fontId="18" fillId="0" borderId="17" xfId="465" applyNumberFormat="1" applyFont="1" applyFill="1" applyBorder="1" applyAlignment="1">
      <alignment horizontal="center" wrapText="1"/>
    </xf>
    <xf numFmtId="3" fontId="18" fillId="0" borderId="17" xfId="465" applyNumberFormat="1" applyFont="1" applyFill="1" applyBorder="1" applyAlignment="1">
      <alignment horizontal="right"/>
    </xf>
    <xf numFmtId="0" fontId="57" fillId="0" borderId="24" xfId="465" applyFont="1" applyFill="1" applyBorder="1" applyAlignment="1">
      <alignment horizontal="center"/>
    </xf>
    <xf numFmtId="0" fontId="18" fillId="0" borderId="25" xfId="465" applyFont="1" applyFill="1" applyBorder="1" applyAlignment="1">
      <alignment horizontal="center" wrapText="1"/>
    </xf>
    <xf numFmtId="0" fontId="52" fillId="0" borderId="24" xfId="465" applyFont="1" applyFill="1" applyBorder="1" applyAlignment="1">
      <alignment horizontal="center" wrapText="1"/>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52" fillId="0" borderId="21" xfId="465" applyFont="1" applyFill="1" applyBorder="1"/>
    <xf numFmtId="43" fontId="49" fillId="0" borderId="0" xfId="381" applyFont="1" applyFill="1" applyBorder="1" applyAlignment="1"/>
    <xf numFmtId="0" fontId="52" fillId="0" borderId="28" xfId="465" applyFont="1" applyFill="1" applyBorder="1"/>
    <xf numFmtId="0" fontId="18" fillId="0" borderId="13" xfId="465" applyFont="1" applyFill="1" applyBorder="1" applyAlignment="1"/>
    <xf numFmtId="0" fontId="52" fillId="0" borderId="10" xfId="465" applyFont="1" applyFill="1" applyBorder="1" applyAlignment="1"/>
    <xf numFmtId="0" fontId="34" fillId="0" borderId="0" xfId="465" applyFont="1" applyFill="1" applyBorder="1" applyAlignment="1">
      <alignment horizontal="center"/>
    </xf>
    <xf numFmtId="37" fontId="35" fillId="0" borderId="0" xfId="465" applyNumberFormat="1" applyFont="1" applyFill="1" applyBorder="1" applyAlignment="1">
      <alignment horizontal="left"/>
    </xf>
    <xf numFmtId="0" fontId="35" fillId="0" borderId="0" xfId="465" applyFont="1" applyFill="1"/>
    <xf numFmtId="0" fontId="39" fillId="0" borderId="25" xfId="465" applyFont="1" applyFill="1" applyBorder="1" applyAlignment="1">
      <alignment horizontal="center" wrapText="1"/>
    </xf>
    <xf numFmtId="0" fontId="39" fillId="0" borderId="24" xfId="465" applyFont="1" applyFill="1" applyBorder="1" applyAlignment="1">
      <alignment horizontal="center" wrapText="1"/>
    </xf>
    <xf numFmtId="0" fontId="35" fillId="0" borderId="24" xfId="465" applyFont="1" applyFill="1" applyBorder="1" applyAlignment="1">
      <alignment horizontal="center" wrapText="1"/>
    </xf>
    <xf numFmtId="0" fontId="35" fillId="0" borderId="29" xfId="465" applyFont="1" applyFill="1" applyBorder="1" applyAlignment="1">
      <alignment horizontal="center" wrapText="1"/>
    </xf>
    <xf numFmtId="0" fontId="35" fillId="0" borderId="21" xfId="465" applyFont="1" applyFill="1" applyBorder="1"/>
    <xf numFmtId="0" fontId="35" fillId="0" borderId="20" xfId="465" applyFont="1" applyFill="1" applyBorder="1"/>
    <xf numFmtId="3" fontId="35" fillId="0" borderId="0" xfId="465" applyNumberFormat="1" applyFont="1" applyFill="1" applyBorder="1" applyAlignment="1">
      <alignment horizontal="left" wrapText="1"/>
    </xf>
    <xf numFmtId="0" fontId="8" fillId="0" borderId="0" xfId="465" applyFont="1" applyFill="1" applyBorder="1" applyAlignment="1">
      <alignment wrapText="1"/>
    </xf>
    <xf numFmtId="0" fontId="8" fillId="0" borderId="21" xfId="465" applyFont="1" applyFill="1" applyBorder="1" applyAlignment="1">
      <alignment wrapText="1"/>
    </xf>
    <xf numFmtId="0" fontId="35" fillId="0" borderId="0" xfId="465" applyFont="1" applyFill="1" applyBorder="1" applyAlignment="1">
      <alignment wrapText="1"/>
    </xf>
    <xf numFmtId="0" fontId="35" fillId="0" borderId="21" xfId="465" applyFont="1" applyFill="1" applyBorder="1" applyAlignment="1">
      <alignment wrapText="1"/>
    </xf>
    <xf numFmtId="3" fontId="35" fillId="0" borderId="0" xfId="465" quotePrefix="1" applyNumberFormat="1" applyFont="1" applyFill="1" applyBorder="1" applyAlignment="1">
      <alignment horizontal="left" wrapText="1"/>
    </xf>
    <xf numFmtId="0" fontId="35" fillId="0" borderId="22" xfId="465" applyNumberFormat="1" applyFont="1" applyFill="1" applyBorder="1" applyAlignment="1">
      <alignment horizontal="center"/>
    </xf>
    <xf numFmtId="0" fontId="35" fillId="0" borderId="10" xfId="465" applyNumberFormat="1" applyFont="1" applyFill="1" applyBorder="1" applyAlignment="1">
      <alignment horizontal="right"/>
    </xf>
    <xf numFmtId="0" fontId="35" fillId="0" borderId="10" xfId="465" applyFont="1" applyFill="1" applyBorder="1" applyAlignment="1">
      <alignment horizontal="left"/>
    </xf>
    <xf numFmtId="0" fontId="35" fillId="0" borderId="10" xfId="465" applyNumberFormat="1" applyFont="1" applyFill="1" applyBorder="1" applyAlignment="1">
      <alignment horizontal="center"/>
    </xf>
    <xf numFmtId="0" fontId="35" fillId="0" borderId="23" xfId="465" applyNumberFormat="1" applyFont="1" applyFill="1" applyBorder="1" applyAlignment="1"/>
    <xf numFmtId="0" fontId="35" fillId="0" borderId="10" xfId="465" applyNumberFormat="1" applyFont="1" applyFill="1" applyBorder="1" applyAlignment="1"/>
    <xf numFmtId="3" fontId="35" fillId="0" borderId="10" xfId="465" applyNumberFormat="1" applyFont="1" applyFill="1" applyBorder="1" applyAlignment="1">
      <alignment horizontal="center"/>
    </xf>
    <xf numFmtId="3" fontId="35" fillId="0" borderId="10" xfId="465" applyNumberFormat="1" applyFont="1" applyFill="1" applyBorder="1" applyAlignment="1">
      <alignment horizontal="left" wrapText="1"/>
    </xf>
    <xf numFmtId="0" fontId="9" fillId="0" borderId="16" xfId="465" applyFont="1" applyFill="1" applyBorder="1" applyAlignment="1">
      <alignment horizontal="center"/>
    </xf>
    <xf numFmtId="0" fontId="9" fillId="0" borderId="16" xfId="465" applyFont="1" applyFill="1" applyBorder="1" applyAlignment="1">
      <alignment horizontal="center" wrapText="1"/>
    </xf>
    <xf numFmtId="0" fontId="9" fillId="0" borderId="15" xfId="465" applyFont="1" applyFill="1" applyBorder="1" applyAlignment="1">
      <alignment horizontal="center" wrapText="1"/>
    </xf>
    <xf numFmtId="164" fontId="18" fillId="0" borderId="0" xfId="381" applyNumberFormat="1" applyFont="1" applyFill="1" applyBorder="1" applyAlignment="1"/>
    <xf numFmtId="0" fontId="9" fillId="0" borderId="25" xfId="465" applyFont="1" applyFill="1" applyBorder="1" applyAlignment="1">
      <alignment horizontal="center" wrapText="1"/>
    </xf>
    <xf numFmtId="0" fontId="8" fillId="0" borderId="21" xfId="465" applyFont="1" applyFill="1" applyBorder="1"/>
    <xf numFmtId="3" fontId="9" fillId="0" borderId="0" xfId="465" applyNumberFormat="1" applyFont="1" applyFill="1" applyBorder="1" applyAlignment="1">
      <alignment horizontal="center"/>
    </xf>
    <xf numFmtId="0" fontId="8" fillId="0" borderId="20" xfId="473" applyNumberFormat="1" applyFont="1" applyFill="1" applyBorder="1" applyAlignment="1">
      <alignment horizontal="center"/>
    </xf>
    <xf numFmtId="3" fontId="8" fillId="0" borderId="0" xfId="473" applyNumberFormat="1" applyFont="1" applyFill="1" applyBorder="1" applyAlignment="1">
      <alignment horizontal="center"/>
    </xf>
    <xf numFmtId="0" fontId="8" fillId="0" borderId="0" xfId="473" applyFont="1" applyFill="1" applyBorder="1"/>
    <xf numFmtId="164" fontId="8" fillId="0" borderId="21" xfId="381" applyNumberFormat="1" applyFont="1" applyFill="1" applyBorder="1"/>
    <xf numFmtId="43" fontId="8" fillId="0" borderId="21" xfId="381" applyFont="1" applyFill="1" applyBorder="1"/>
    <xf numFmtId="0" fontId="8" fillId="0" borderId="21" xfId="473" applyFont="1" applyFill="1" applyBorder="1"/>
    <xf numFmtId="0" fontId="8" fillId="0" borderId="22" xfId="473" applyNumberFormat="1" applyFont="1" applyFill="1" applyBorder="1" applyAlignment="1">
      <alignment horizontal="center"/>
    </xf>
    <xf numFmtId="0" fontId="9" fillId="0" borderId="10" xfId="473" applyFont="1" applyFill="1" applyBorder="1"/>
    <xf numFmtId="0" fontId="20" fillId="0" borderId="10" xfId="465" applyNumberFormat="1" applyFont="1" applyFill="1" applyBorder="1" applyAlignment="1">
      <alignment horizontal="center"/>
    </xf>
    <xf numFmtId="3" fontId="9" fillId="0" borderId="21" xfId="465" applyNumberFormat="1" applyFont="1" applyFill="1" applyBorder="1" applyAlignment="1"/>
    <xf numFmtId="3" fontId="9" fillId="0" borderId="0" xfId="465" applyNumberFormat="1" applyFont="1" applyFill="1" applyBorder="1" applyAlignment="1"/>
    <xf numFmtId="164" fontId="18" fillId="0" borderId="20" xfId="381" applyNumberFormat="1" applyFont="1" applyFill="1" applyBorder="1"/>
    <xf numFmtId="164" fontId="18" fillId="0" borderId="66" xfId="381" applyNumberFormat="1" applyFont="1" applyFill="1" applyBorder="1"/>
    <xf numFmtId="0" fontId="18" fillId="0" borderId="23" xfId="465" applyFont="1" applyFill="1" applyBorder="1"/>
    <xf numFmtId="0" fontId="8" fillId="0" borderId="10" xfId="465" applyFont="1" applyFill="1" applyBorder="1"/>
    <xf numFmtId="0" fontId="9" fillId="0" borderId="10" xfId="465" applyFont="1" applyFill="1" applyBorder="1"/>
    <xf numFmtId="0" fontId="8" fillId="0" borderId="23" xfId="465" applyFont="1" applyFill="1" applyBorder="1"/>
    <xf numFmtId="0" fontId="9" fillId="0" borderId="0" xfId="465" applyFont="1" applyFill="1" applyBorder="1"/>
    <xf numFmtId="9" fontId="8" fillId="0" borderId="0" xfId="634" applyFont="1" applyFill="1" applyBorder="1" applyAlignment="1">
      <alignment horizontal="center"/>
    </xf>
    <xf numFmtId="164" fontId="18" fillId="0" borderId="0" xfId="381" applyNumberFormat="1" applyFont="1" applyFill="1" applyBorder="1"/>
    <xf numFmtId="0" fontId="0" fillId="0" borderId="22" xfId="0" applyFill="1" applyBorder="1"/>
    <xf numFmtId="0" fontId="0" fillId="0" borderId="10" xfId="0" applyFill="1" applyBorder="1"/>
    <xf numFmtId="0" fontId="0" fillId="0" borderId="23" xfId="0" applyFill="1" applyBorder="1"/>
    <xf numFmtId="168" fontId="8" fillId="0" borderId="10" xfId="634" applyNumberFormat="1" applyFont="1" applyFill="1" applyBorder="1" applyAlignment="1">
      <alignment horizontal="center"/>
    </xf>
    <xf numFmtId="0" fontId="8" fillId="0" borderId="10" xfId="0" applyFont="1" applyFill="1" applyBorder="1"/>
    <xf numFmtId="0" fontId="8" fillId="0" borderId="23" xfId="0" applyFont="1" applyFill="1" applyBorder="1"/>
    <xf numFmtId="0" fontId="9" fillId="0" borderId="25" xfId="465" applyFont="1" applyFill="1" applyBorder="1" applyAlignment="1">
      <alignment horizontal="left"/>
    </xf>
    <xf numFmtId="3" fontId="20" fillId="0" borderId="20" xfId="465" applyNumberFormat="1" applyFont="1" applyFill="1" applyBorder="1" applyAlignment="1">
      <alignment horizontal="center"/>
    </xf>
    <xf numFmtId="37" fontId="9" fillId="0" borderId="0" xfId="467" applyNumberFormat="1" applyFont="1" applyFill="1" applyBorder="1"/>
    <xf numFmtId="168" fontId="8" fillId="0" borderId="0" xfId="634" applyNumberFormat="1" applyFont="1" applyFill="1" applyBorder="1" applyAlignment="1"/>
    <xf numFmtId="164" fontId="18" fillId="0" borderId="0" xfId="390" applyNumberFormat="1" applyFont="1" applyFill="1" applyBorder="1"/>
    <xf numFmtId="164" fontId="8" fillId="0" borderId="0" xfId="390" applyNumberFormat="1" applyFont="1" applyFill="1" applyBorder="1"/>
    <xf numFmtId="0" fontId="9" fillId="0" borderId="10" xfId="465" applyFont="1" applyFill="1" applyBorder="1" applyAlignment="1"/>
    <xf numFmtId="164" fontId="18" fillId="0" borderId="22" xfId="390" applyNumberFormat="1" applyFont="1" applyFill="1" applyBorder="1"/>
    <xf numFmtId="164" fontId="18" fillId="0" borderId="10" xfId="390" applyNumberFormat="1" applyFont="1" applyFill="1" applyBorder="1"/>
    <xf numFmtId="164" fontId="9" fillId="0" borderId="10" xfId="390" applyNumberFormat="1" applyFont="1" applyFill="1" applyBorder="1" applyAlignment="1"/>
    <xf numFmtId="164" fontId="8" fillId="0" borderId="10" xfId="381" applyNumberFormat="1" applyFont="1" applyFill="1" applyBorder="1" applyAlignment="1"/>
    <xf numFmtId="183" fontId="115" fillId="0" borderId="0" xfId="0" applyNumberFormat="1" applyFont="1" applyFill="1" applyBorder="1"/>
    <xf numFmtId="0" fontId="115" fillId="0" borderId="21" xfId="0" applyFont="1" applyFill="1" applyBorder="1" applyAlignment="1">
      <alignment horizontal="right"/>
    </xf>
    <xf numFmtId="164" fontId="9" fillId="0" borderId="67" xfId="465" applyNumberFormat="1" applyFont="1" applyFill="1" applyBorder="1"/>
    <xf numFmtId="164" fontId="9" fillId="0" borderId="0" xfId="390" applyNumberFormat="1" applyFont="1" applyFill="1" applyBorder="1" applyAlignment="1"/>
    <xf numFmtId="3" fontId="18" fillId="0" borderId="21" xfId="465" applyNumberFormat="1" applyFont="1" applyFill="1" applyBorder="1" applyAlignment="1"/>
    <xf numFmtId="0" fontId="9" fillId="0" borderId="20" xfId="465" applyFont="1" applyFill="1" applyBorder="1" applyAlignment="1">
      <alignment horizontal="center" wrapText="1"/>
    </xf>
    <xf numFmtId="164" fontId="18" fillId="0" borderId="20" xfId="381" applyNumberFormat="1" applyFont="1" applyFill="1" applyBorder="1" applyAlignment="1">
      <alignment horizontal="right"/>
    </xf>
    <xf numFmtId="164" fontId="18" fillId="0" borderId="20" xfId="465" applyNumberFormat="1" applyFont="1" applyFill="1" applyBorder="1" applyAlignment="1">
      <alignment horizontal="right"/>
    </xf>
    <xf numFmtId="0" fontId="9" fillId="0" borderId="39" xfId="465" applyFont="1" applyFill="1" applyBorder="1" applyAlignment="1">
      <alignment horizontal="center"/>
    </xf>
    <xf numFmtId="0" fontId="18" fillId="0" borderId="40" xfId="465" applyFont="1" applyFill="1" applyBorder="1"/>
    <xf numFmtId="164" fontId="35" fillId="0" borderId="0" xfId="0" applyNumberFormat="1" applyFont="1" applyFill="1" applyBorder="1"/>
    <xf numFmtId="0" fontId="35" fillId="0" borderId="21" xfId="0" applyFont="1" applyFill="1" applyBorder="1"/>
    <xf numFmtId="164" fontId="35" fillId="0" borderId="10" xfId="0" applyNumberFormat="1" applyFont="1" applyFill="1" applyBorder="1"/>
    <xf numFmtId="0" fontId="34" fillId="0" borderId="10" xfId="0" applyFont="1" applyFill="1" applyBorder="1"/>
    <xf numFmtId="0" fontId="35" fillId="0" borderId="10" xfId="0" applyFont="1" applyFill="1" applyBorder="1"/>
    <xf numFmtId="0" fontId="35" fillId="0" borderId="23" xfId="0" applyFont="1" applyFill="1" applyBorder="1"/>
    <xf numFmtId="167" fontId="35" fillId="0" borderId="0" xfId="420" applyNumberFormat="1" applyFont="1" applyFill="1" applyBorder="1"/>
    <xf numFmtId="0" fontId="50" fillId="0" borderId="0" xfId="467" applyNumberFormat="1" applyFont="1" applyFill="1" applyAlignment="1">
      <alignment horizontal="left"/>
    </xf>
    <xf numFmtId="164" fontId="8" fillId="0" borderId="10" xfId="381" applyNumberFormat="1" applyFont="1" applyFill="1" applyBorder="1"/>
    <xf numFmtId="0" fontId="35" fillId="0" borderId="24" xfId="467" applyFont="1" applyFill="1" applyBorder="1" applyAlignment="1">
      <alignment horizontal="center"/>
    </xf>
    <xf numFmtId="0" fontId="8" fillId="0" borderId="21" xfId="467" applyFont="1" applyFill="1" applyBorder="1" applyAlignment="1">
      <alignment horizontal="center"/>
    </xf>
    <xf numFmtId="0" fontId="35" fillId="0" borderId="29" xfId="467" applyFont="1" applyFill="1" applyBorder="1"/>
    <xf numFmtId="0" fontId="35" fillId="0" borderId="21" xfId="467" applyFont="1" applyFill="1" applyBorder="1"/>
    <xf numFmtId="0" fontId="90" fillId="0" borderId="0" xfId="0" applyNumberFormat="1" applyFont="1" applyFill="1" applyAlignment="1">
      <alignment horizontal="left" wrapText="1"/>
    </xf>
    <xf numFmtId="0" fontId="35" fillId="0" borderId="10" xfId="467" applyFont="1" applyFill="1" applyBorder="1" applyAlignment="1">
      <alignment horizontal="center"/>
    </xf>
    <xf numFmtId="0" fontId="35" fillId="0" borderId="23" xfId="467" applyFont="1" applyFill="1" applyBorder="1"/>
    <xf numFmtId="0" fontId="35" fillId="0" borderId="22" xfId="467" applyFont="1" applyFill="1" applyBorder="1"/>
    <xf numFmtId="0" fontId="39" fillId="0" borderId="24" xfId="467" applyFont="1" applyFill="1" applyBorder="1" applyAlignment="1">
      <alignment horizontal="center" wrapText="1"/>
    </xf>
    <xf numFmtId="0" fontId="35" fillId="0" borderId="40" xfId="467" applyFont="1" applyFill="1" applyBorder="1" applyAlignment="1">
      <alignment horizontal="center"/>
    </xf>
    <xf numFmtId="167" fontId="35" fillId="0" borderId="40" xfId="420" applyNumberFormat="1" applyFont="1" applyFill="1" applyBorder="1"/>
    <xf numFmtId="167" fontId="35" fillId="0" borderId="0" xfId="467" applyNumberFormat="1" applyFont="1" applyFill="1" applyBorder="1"/>
    <xf numFmtId="0" fontId="9" fillId="0" borderId="26" xfId="0" applyFont="1" applyFill="1" applyBorder="1"/>
    <xf numFmtId="164" fontId="103" fillId="0" borderId="0" xfId="381" applyNumberFormat="1" applyFont="1" applyFill="1" applyBorder="1"/>
    <xf numFmtId="0" fontId="12" fillId="0" borderId="0" xfId="0" applyNumberFormat="1" applyFont="1" applyFill="1" applyBorder="1" applyAlignment="1">
      <alignment horizontal="center" vertical="top"/>
    </xf>
    <xf numFmtId="0" fontId="18" fillId="0" borderId="22" xfId="465" applyNumberFormat="1" applyFont="1" applyFill="1" applyBorder="1" applyAlignment="1">
      <alignment horizontal="left"/>
    </xf>
    <xf numFmtId="0" fontId="9" fillId="0" borderId="25" xfId="465" applyNumberFormat="1" applyFont="1" applyFill="1" applyBorder="1" applyAlignment="1">
      <alignment horizontal="center"/>
    </xf>
    <xf numFmtId="0" fontId="9" fillId="0" borderId="24" xfId="465" applyNumberFormat="1" applyFont="1" applyFill="1" applyBorder="1" applyAlignment="1">
      <alignment horizontal="center"/>
    </xf>
    <xf numFmtId="0" fontId="9" fillId="0" borderId="24" xfId="465" applyNumberFormat="1" applyFont="1" applyFill="1" applyBorder="1" applyAlignment="1">
      <alignment horizontal="left" wrapText="1"/>
    </xf>
    <xf numFmtId="0" fontId="8" fillId="0" borderId="0" xfId="467" applyFont="1" applyAlignment="1">
      <alignment horizontal="center" vertical="top"/>
    </xf>
    <xf numFmtId="43" fontId="0" fillId="0" borderId="17" xfId="381" applyFont="1" applyFill="1" applyBorder="1"/>
    <xf numFmtId="0" fontId="18" fillId="34" borderId="0" xfId="0" applyFont="1" applyFill="1"/>
    <xf numFmtId="0" fontId="0" fillId="34" borderId="0" xfId="0" applyFill="1"/>
    <xf numFmtId="0" fontId="52" fillId="34" borderId="0" xfId="0" applyFont="1" applyFill="1"/>
    <xf numFmtId="0" fontId="65" fillId="34" borderId="0" xfId="0" applyFont="1" applyFill="1"/>
    <xf numFmtId="164" fontId="50" fillId="34" borderId="0" xfId="381" applyNumberFormat="1" applyFont="1" applyFill="1"/>
    <xf numFmtId="0" fontId="9" fillId="0" borderId="0" xfId="467" applyFont="1" applyFill="1" applyBorder="1" applyAlignment="1">
      <alignment horizontal="left"/>
    </xf>
    <xf numFmtId="0" fontId="9" fillId="0" borderId="25" xfId="467" applyFont="1" applyFill="1" applyBorder="1" applyAlignment="1">
      <alignment horizontal="left"/>
    </xf>
    <xf numFmtId="0" fontId="9" fillId="0" borderId="24" xfId="467" applyFont="1" applyFill="1" applyBorder="1" applyAlignment="1">
      <alignment horizontal="left"/>
    </xf>
    <xf numFmtId="0" fontId="9" fillId="0" borderId="25" xfId="467" applyFont="1" applyFill="1" applyBorder="1" applyAlignment="1">
      <alignment horizontal="center" wrapText="1"/>
    </xf>
    <xf numFmtId="0" fontId="9" fillId="0" borderId="24" xfId="467" applyFont="1" applyFill="1" applyBorder="1" applyAlignment="1">
      <alignment horizontal="center" wrapText="1"/>
    </xf>
    <xf numFmtId="0" fontId="8" fillId="0" borderId="24" xfId="467" applyFont="1" applyBorder="1"/>
    <xf numFmtId="0" fontId="8" fillId="0" borderId="24" xfId="467" applyFont="1" applyFill="1" applyBorder="1" applyAlignment="1">
      <alignment wrapText="1"/>
    </xf>
    <xf numFmtId="0" fontId="9" fillId="0" borderId="24" xfId="467" applyFont="1" applyFill="1" applyBorder="1" applyAlignment="1">
      <alignment wrapText="1"/>
    </xf>
    <xf numFmtId="0" fontId="8" fillId="0" borderId="29" xfId="467" applyFont="1" applyFill="1" applyBorder="1" applyAlignment="1">
      <alignment wrapText="1"/>
    </xf>
    <xf numFmtId="0" fontId="9" fillId="0" borderId="20" xfId="467" applyFont="1" applyFill="1" applyBorder="1" applyAlignment="1">
      <alignment horizontal="left"/>
    </xf>
    <xf numFmtId="0" fontId="9" fillId="0" borderId="20" xfId="467" applyFont="1" applyFill="1" applyBorder="1" applyAlignment="1">
      <alignment horizontal="center" wrapText="1"/>
    </xf>
    <xf numFmtId="0" fontId="9" fillId="0" borderId="0" xfId="467" applyFont="1" applyFill="1" applyBorder="1" applyAlignment="1">
      <alignment horizontal="center" wrapText="1"/>
    </xf>
    <xf numFmtId="0" fontId="8" fillId="0" borderId="0" xfId="467" applyFont="1" applyFill="1" applyBorder="1" applyAlignment="1">
      <alignment wrapText="1"/>
    </xf>
    <xf numFmtId="0" fontId="9" fillId="0" borderId="0" xfId="467" applyFont="1" applyFill="1" applyBorder="1" applyAlignment="1">
      <alignment wrapText="1"/>
    </xf>
    <xf numFmtId="0" fontId="8" fillId="0" borderId="21" xfId="467" applyFont="1" applyFill="1" applyBorder="1" applyAlignment="1">
      <alignment wrapText="1"/>
    </xf>
    <xf numFmtId="164" fontId="9" fillId="0" borderId="0" xfId="467" applyNumberFormat="1" applyFont="1" applyFill="1" applyBorder="1" applyAlignment="1">
      <alignment horizontal="center" wrapText="1"/>
    </xf>
    <xf numFmtId="0" fontId="8" fillId="0" borderId="20" xfId="467" applyNumberFormat="1" applyFont="1" applyFill="1" applyBorder="1" applyAlignment="1">
      <alignment horizontal="center"/>
    </xf>
    <xf numFmtId="0" fontId="9" fillId="0" borderId="0" xfId="467" applyNumberFormat="1" applyFont="1" applyFill="1" applyBorder="1" applyAlignment="1"/>
    <xf numFmtId="0" fontId="8" fillId="0" borderId="0" xfId="467" applyFont="1" applyFill="1" applyBorder="1" applyAlignment="1">
      <alignment horizontal="left"/>
    </xf>
    <xf numFmtId="0" fontId="8" fillId="0" borderId="0" xfId="467" applyFont="1" applyFill="1" applyBorder="1" applyAlignment="1"/>
    <xf numFmtId="3" fontId="8" fillId="0" borderId="0" xfId="467" applyNumberFormat="1" applyFont="1" applyFill="1" applyBorder="1" applyAlignment="1">
      <alignment horizontal="center"/>
    </xf>
    <xf numFmtId="0" fontId="9" fillId="0" borderId="20" xfId="467" applyFont="1" applyFill="1" applyBorder="1" applyAlignment="1">
      <alignment horizontal="center"/>
    </xf>
    <xf numFmtId="3" fontId="9" fillId="0" borderId="0" xfId="467" applyNumberFormat="1" applyFont="1" applyFill="1" applyBorder="1" applyAlignment="1">
      <alignment horizontal="center"/>
    </xf>
    <xf numFmtId="0" fontId="9" fillId="0" borderId="0" xfId="467" applyFont="1" applyFill="1" applyBorder="1" applyAlignment="1">
      <alignment horizontal="center"/>
    </xf>
    <xf numFmtId="0" fontId="9" fillId="0" borderId="21" xfId="467" applyFont="1" applyFill="1" applyBorder="1"/>
    <xf numFmtId="164" fontId="8" fillId="0" borderId="0" xfId="467" applyNumberFormat="1" applyFont="1"/>
    <xf numFmtId="43" fontId="8" fillId="0" borderId="0" xfId="381" applyNumberFormat="1" applyFont="1" applyFill="1" applyBorder="1" applyAlignment="1">
      <alignment horizontal="center"/>
    </xf>
    <xf numFmtId="164" fontId="8" fillId="0" borderId="0" xfId="381" applyNumberFormat="1" applyFont="1" applyFill="1" applyBorder="1" applyAlignment="1">
      <alignment horizontal="center"/>
    </xf>
    <xf numFmtId="164" fontId="8" fillId="0" borderId="22" xfId="391" applyNumberFormat="1" applyFont="1" applyFill="1" applyBorder="1" applyAlignment="1">
      <alignment horizontal="center"/>
    </xf>
    <xf numFmtId="164" fontId="9" fillId="0" borderId="10" xfId="381" applyNumberFormat="1" applyFont="1" applyFill="1" applyBorder="1" applyAlignment="1">
      <alignment wrapText="1"/>
    </xf>
    <xf numFmtId="164" fontId="9" fillId="0" borderId="23" xfId="381" applyNumberFormat="1" applyFont="1" applyFill="1" applyBorder="1" applyAlignment="1">
      <alignment wrapText="1"/>
    </xf>
    <xf numFmtId="0" fontId="8" fillId="0" borderId="0" xfId="473" applyNumberFormat="1" applyFont="1" applyFill="1" applyBorder="1" applyAlignment="1">
      <alignment horizontal="center"/>
    </xf>
    <xf numFmtId="0" fontId="8" fillId="0" borderId="0" xfId="473" applyNumberFormat="1" applyFont="1" applyFill="1" applyBorder="1" applyAlignment="1">
      <alignment horizontal="right"/>
    </xf>
    <xf numFmtId="0" fontId="8" fillId="0" borderId="0" xfId="473" applyNumberFormat="1" applyFont="1" applyFill="1" applyBorder="1" applyAlignment="1">
      <alignment horizontal="left"/>
    </xf>
    <xf numFmtId="164" fontId="8" fillId="0" borderId="0" xfId="391" applyNumberFormat="1" applyFont="1" applyFill="1" applyBorder="1" applyAlignment="1">
      <alignment horizontal="center"/>
    </xf>
    <xf numFmtId="0" fontId="9" fillId="0" borderId="0" xfId="473" applyFont="1" applyFill="1" applyBorder="1"/>
    <xf numFmtId="164" fontId="9" fillId="0" borderId="0" xfId="381" applyNumberFormat="1" applyFont="1" applyFill="1" applyBorder="1" applyAlignment="1">
      <alignment wrapText="1"/>
    </xf>
    <xf numFmtId="37" fontId="50" fillId="0" borderId="0" xfId="391" applyNumberFormat="1" applyFont="1" applyFill="1" applyAlignment="1">
      <alignment horizontal="right"/>
    </xf>
    <xf numFmtId="43" fontId="21" fillId="0" borderId="28" xfId="381" applyFont="1" applyFill="1" applyBorder="1" applyAlignment="1">
      <alignment horizontal="center"/>
    </xf>
    <xf numFmtId="181" fontId="12" fillId="0" borderId="28" xfId="381" applyNumberFormat="1" applyFont="1" applyBorder="1"/>
    <xf numFmtId="43" fontId="35" fillId="0" borderId="20" xfId="381" applyFont="1" applyFill="1" applyBorder="1" applyAlignment="1">
      <alignment horizontal="center"/>
    </xf>
    <xf numFmtId="164" fontId="35" fillId="0" borderId="20" xfId="381" applyNumberFormat="1" applyFont="1" applyFill="1" applyBorder="1" applyAlignment="1">
      <alignment horizontal="center"/>
    </xf>
    <xf numFmtId="168" fontId="35" fillId="0" borderId="20" xfId="633" applyNumberFormat="1" applyFont="1" applyFill="1" applyBorder="1" applyAlignment="1">
      <alignment horizontal="right"/>
    </xf>
    <xf numFmtId="0" fontId="10" fillId="0" borderId="37" xfId="0" applyFont="1" applyFill="1" applyBorder="1" applyAlignment="1">
      <alignment horizontal="center" wrapText="1"/>
    </xf>
    <xf numFmtId="0" fontId="10" fillId="0" borderId="42" xfId="0" applyFont="1" applyFill="1" applyBorder="1" applyAlignment="1">
      <alignment horizontal="center" wrapText="1"/>
    </xf>
    <xf numFmtId="0" fontId="10" fillId="0" borderId="43" xfId="0" applyFont="1" applyFill="1" applyBorder="1" applyAlignment="1">
      <alignment horizontal="center" wrapText="1"/>
    </xf>
    <xf numFmtId="173" fontId="8" fillId="0" borderId="0" xfId="633" applyNumberFormat="1" applyFont="1" applyFill="1"/>
    <xf numFmtId="43" fontId="12" fillId="0" borderId="34" xfId="381" applyFont="1" applyFill="1" applyBorder="1" applyAlignment="1">
      <alignment horizontal="right"/>
    </xf>
    <xf numFmtId="43" fontId="12" fillId="0" borderId="53" xfId="381" applyFont="1" applyFill="1" applyBorder="1" applyAlignment="1">
      <alignment horizontal="right"/>
    </xf>
    <xf numFmtId="43" fontId="12" fillId="0" borderId="35" xfId="381" applyFont="1" applyFill="1" applyBorder="1"/>
    <xf numFmtId="43" fontId="12" fillId="0" borderId="55" xfId="381" applyFont="1" applyFill="1" applyBorder="1"/>
    <xf numFmtId="43" fontId="10" fillId="0" borderId="28" xfId="381" applyFont="1" applyFill="1" applyBorder="1"/>
    <xf numFmtId="43" fontId="10" fillId="0" borderId="53" xfId="381" applyFont="1" applyFill="1" applyBorder="1"/>
    <xf numFmtId="43" fontId="12" fillId="0" borderId="28" xfId="381" applyFont="1" applyBorder="1"/>
    <xf numFmtId="43" fontId="12" fillId="0" borderId="52" xfId="381" applyFont="1" applyBorder="1"/>
    <xf numFmtId="43" fontId="12" fillId="0" borderId="52" xfId="381" applyFont="1" applyFill="1" applyBorder="1"/>
    <xf numFmtId="43" fontId="10" fillId="0" borderId="28" xfId="381" applyFont="1" applyFill="1" applyBorder="1" applyAlignment="1">
      <alignment horizontal="right"/>
    </xf>
    <xf numFmtId="43" fontId="10" fillId="0" borderId="53" xfId="381" applyFont="1" applyFill="1" applyBorder="1" applyAlignment="1">
      <alignment horizontal="right"/>
    </xf>
    <xf numFmtId="43" fontId="10" fillId="0" borderId="28" xfId="381" applyFont="1" applyBorder="1"/>
    <xf numFmtId="43" fontId="10" fillId="0" borderId="52" xfId="381" applyFont="1" applyBorder="1"/>
    <xf numFmtId="43" fontId="10" fillId="0" borderId="52" xfId="381" applyFont="1" applyFill="1" applyBorder="1"/>
    <xf numFmtId="43" fontId="10" fillId="0" borderId="33" xfId="381" applyFont="1" applyFill="1" applyBorder="1"/>
    <xf numFmtId="43" fontId="10" fillId="0" borderId="0" xfId="381" applyFont="1" applyFill="1" applyBorder="1"/>
    <xf numFmtId="43" fontId="10" fillId="0" borderId="34" xfId="381" applyFont="1" applyFill="1" applyBorder="1" applyAlignment="1"/>
    <xf numFmtId="43" fontId="10" fillId="0" borderId="53" xfId="381" applyFont="1" applyFill="1" applyBorder="1" applyAlignment="1"/>
    <xf numFmtId="43" fontId="10" fillId="0" borderId="34" xfId="381" applyFont="1" applyFill="1" applyBorder="1" applyAlignment="1">
      <alignment horizontal="right"/>
    </xf>
    <xf numFmtId="43" fontId="10" fillId="0" borderId="52" xfId="381" applyFont="1" applyFill="1" applyBorder="1" applyAlignment="1">
      <alignment horizontal="right"/>
    </xf>
    <xf numFmtId="0" fontId="35" fillId="0" borderId="24" xfId="467" applyFont="1" applyFill="1" applyBorder="1"/>
    <xf numFmtId="0" fontId="35" fillId="0" borderId="10" xfId="467" applyFont="1" applyFill="1" applyBorder="1"/>
    <xf numFmtId="0" fontId="0" fillId="0" borderId="29" xfId="0" applyBorder="1"/>
    <xf numFmtId="0" fontId="39" fillId="0" borderId="25" xfId="467" applyFont="1" applyFill="1" applyBorder="1" applyAlignment="1">
      <alignment horizontal="center" wrapText="1"/>
    </xf>
    <xf numFmtId="167" fontId="35" fillId="0" borderId="20" xfId="467" applyNumberFormat="1" applyFont="1" applyFill="1" applyBorder="1"/>
    <xf numFmtId="167" fontId="8" fillId="0" borderId="21" xfId="467" applyNumberFormat="1" applyFont="1" applyBorder="1"/>
    <xf numFmtId="167" fontId="35" fillId="0" borderId="22" xfId="467" applyNumberFormat="1" applyFont="1" applyBorder="1"/>
    <xf numFmtId="0" fontId="0" fillId="0" borderId="23" xfId="0" applyBorder="1"/>
    <xf numFmtId="0" fontId="9" fillId="0" borderId="21" xfId="0" applyFont="1" applyBorder="1"/>
    <xf numFmtId="0" fontId="39" fillId="0" borderId="24" xfId="467" applyFont="1" applyFill="1" applyBorder="1" applyAlignment="1">
      <alignment horizontal="center" wrapText="1"/>
    </xf>
    <xf numFmtId="164" fontId="35" fillId="0" borderId="0" xfId="381" applyNumberFormat="1" applyFont="1" applyFill="1" applyBorder="1"/>
    <xf numFmtId="43" fontId="12" fillId="0" borderId="28" xfId="381" applyFont="1" applyFill="1" applyBorder="1" applyAlignment="1">
      <alignment horizontal="right"/>
    </xf>
    <xf numFmtId="0" fontId="10"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NumberFormat="1" applyFont="1" applyFill="1" applyBorder="1" applyAlignment="1">
      <alignment horizontal="center"/>
    </xf>
    <xf numFmtId="0" fontId="21" fillId="0" borderId="0" xfId="467" applyFont="1" applyAlignment="1">
      <alignment horizontal="centerContinuous"/>
    </xf>
    <xf numFmtId="17" fontId="45" fillId="0" borderId="12" xfId="0" applyNumberFormat="1" applyFont="1" applyBorder="1"/>
    <xf numFmtId="17" fontId="45" fillId="0" borderId="12" xfId="0" applyNumberFormat="1" applyFont="1" applyBorder="1" applyAlignment="1">
      <alignment horizontal="center"/>
    </xf>
    <xf numFmtId="17" fontId="45" fillId="0" borderId="26" xfId="0" applyNumberFormat="1" applyFont="1" applyBorder="1"/>
    <xf numFmtId="3" fontId="12" fillId="33" borderId="28" xfId="0" applyNumberFormat="1" applyFont="1" applyFill="1" applyBorder="1" applyAlignment="1"/>
    <xf numFmtId="164" fontId="12" fillId="33" borderId="28" xfId="381" applyNumberFormat="1" applyFont="1" applyFill="1" applyBorder="1"/>
    <xf numFmtId="3" fontId="12" fillId="33" borderId="28" xfId="0" applyNumberFormat="1" applyFont="1" applyFill="1" applyBorder="1" applyAlignment="1">
      <alignment horizontal="right"/>
    </xf>
    <xf numFmtId="3" fontId="12" fillId="33" borderId="35" xfId="0" applyNumberFormat="1" applyFont="1" applyFill="1" applyBorder="1" applyAlignment="1">
      <alignment horizontal="right"/>
    </xf>
    <xf numFmtId="164" fontId="8" fillId="33" borderId="0" xfId="381" applyNumberFormat="1" applyFont="1" applyFill="1"/>
    <xf numFmtId="164" fontId="8" fillId="33" borderId="14" xfId="381" applyNumberFormat="1" applyFont="1" applyFill="1" applyBorder="1"/>
    <xf numFmtId="0" fontId="8" fillId="33" borderId="0" xfId="0" applyFont="1" applyFill="1"/>
    <xf numFmtId="0" fontId="18" fillId="33" borderId="0" xfId="0" applyFont="1" applyFill="1"/>
    <xf numFmtId="0" fontId="0" fillId="33" borderId="0" xfId="0" applyFill="1"/>
    <xf numFmtId="37" fontId="0" fillId="33" borderId="0" xfId="0" applyNumberFormat="1" applyFill="1" applyAlignment="1">
      <alignment horizontal="right" wrapText="1"/>
    </xf>
    <xf numFmtId="0" fontId="0" fillId="33" borderId="0" xfId="0" applyFill="1" applyAlignment="1">
      <alignment horizontal="right"/>
    </xf>
    <xf numFmtId="0" fontId="8" fillId="33" borderId="0" xfId="0" applyFont="1" applyFill="1" applyAlignment="1">
      <alignment horizontal="left" wrapText="1"/>
    </xf>
    <xf numFmtId="0" fontId="0" fillId="33" borderId="0" xfId="0" applyFill="1" applyAlignment="1">
      <alignment horizontal="right" wrapText="1"/>
    </xf>
    <xf numFmtId="0" fontId="0" fillId="33" borderId="0" xfId="0" applyFill="1" applyAlignment="1">
      <alignment horizontal="left" wrapText="1"/>
    </xf>
    <xf numFmtId="164" fontId="18" fillId="33" borderId="35" xfId="390" applyNumberFormat="1" applyFont="1" applyFill="1" applyBorder="1" applyAlignment="1">
      <alignment horizontal="right"/>
    </xf>
    <xf numFmtId="164" fontId="18" fillId="33" borderId="35" xfId="390" applyNumberFormat="1" applyFont="1" applyFill="1" applyBorder="1" applyAlignment="1"/>
    <xf numFmtId="164" fontId="18" fillId="33" borderId="28" xfId="390" applyNumberFormat="1" applyFont="1" applyFill="1" applyBorder="1" applyAlignment="1"/>
    <xf numFmtId="164" fontId="18" fillId="33" borderId="21" xfId="390" applyNumberFormat="1" applyFont="1" applyFill="1" applyBorder="1" applyAlignment="1">
      <alignment horizontal="right"/>
    </xf>
    <xf numFmtId="164" fontId="18" fillId="33" borderId="31" xfId="390" applyNumberFormat="1" applyFont="1" applyFill="1" applyBorder="1" applyAlignment="1">
      <alignment horizontal="right"/>
    </xf>
    <xf numFmtId="164" fontId="9" fillId="33" borderId="20" xfId="381" applyNumberFormat="1" applyFont="1" applyFill="1" applyBorder="1"/>
    <xf numFmtId="164" fontId="18" fillId="33" borderId="22" xfId="390" applyNumberFormat="1" applyFont="1" applyFill="1" applyBorder="1" applyAlignment="1">
      <alignment horizontal="center"/>
    </xf>
    <xf numFmtId="0" fontId="18" fillId="33" borderId="10" xfId="465" applyFont="1" applyFill="1" applyBorder="1" applyAlignment="1">
      <alignment horizontal="center"/>
    </xf>
    <xf numFmtId="164" fontId="9" fillId="33" borderId="14" xfId="381" applyNumberFormat="1" applyFont="1" applyFill="1" applyBorder="1"/>
    <xf numFmtId="164" fontId="9" fillId="0" borderId="10" xfId="465" applyNumberFormat="1" applyFont="1" applyFill="1" applyBorder="1" applyAlignment="1">
      <alignment horizontal="center"/>
    </xf>
    <xf numFmtId="164" fontId="8" fillId="34" borderId="0" xfId="381" applyNumberFormat="1" applyFont="1" applyFill="1" applyBorder="1"/>
    <xf numFmtId="43" fontId="8" fillId="34" borderId="0" xfId="467" applyNumberFormat="1" applyFont="1" applyFill="1" applyBorder="1"/>
    <xf numFmtId="164" fontId="87" fillId="0" borderId="0" xfId="381" applyNumberFormat="1" applyFont="1" applyFill="1"/>
    <xf numFmtId="0" fontId="0" fillId="0" borderId="21" xfId="0" applyFill="1" applyBorder="1"/>
    <xf numFmtId="0" fontId="0" fillId="0" borderId="20" xfId="0" applyFill="1" applyBorder="1"/>
    <xf numFmtId="0" fontId="8" fillId="0" borderId="21" xfId="0" applyFont="1" applyFill="1" applyBorder="1"/>
    <xf numFmtId="167" fontId="0" fillId="33" borderId="0" xfId="0" applyNumberFormat="1" applyFill="1"/>
    <xf numFmtId="164" fontId="0" fillId="33" borderId="0" xfId="0" applyNumberFormat="1" applyFill="1"/>
    <xf numFmtId="37" fontId="0" fillId="33" borderId="0" xfId="0" applyNumberFormat="1" applyFill="1"/>
    <xf numFmtId="164" fontId="0" fillId="33" borderId="14" xfId="0" applyNumberFormat="1" applyFill="1" applyBorder="1"/>
    <xf numFmtId="164" fontId="0" fillId="33" borderId="21" xfId="0" applyNumberFormat="1" applyFill="1" applyBorder="1"/>
    <xf numFmtId="3" fontId="12" fillId="33" borderId="35" xfId="0" applyNumberFormat="1" applyFont="1" applyFill="1" applyBorder="1" applyAlignment="1"/>
    <xf numFmtId="164" fontId="12" fillId="33" borderId="14" xfId="381" applyNumberFormat="1" applyFont="1" applyFill="1" applyBorder="1"/>
    <xf numFmtId="164" fontId="9" fillId="33" borderId="24" xfId="381" applyNumberFormat="1" applyFont="1" applyFill="1" applyBorder="1" applyAlignment="1"/>
    <xf numFmtId="164" fontId="9" fillId="33" borderId="0" xfId="381" applyNumberFormat="1" applyFont="1" applyFill="1" applyBorder="1" applyAlignment="1"/>
    <xf numFmtId="0" fontId="87" fillId="0" borderId="0" xfId="0" applyFont="1" applyFill="1" applyAlignment="1">
      <alignment horizontal="left"/>
    </xf>
    <xf numFmtId="0" fontId="121" fillId="0" borderId="0" xfId="0" applyFont="1" applyFill="1" applyAlignment="1">
      <alignment horizontal="center"/>
    </xf>
    <xf numFmtId="0" fontId="122" fillId="0" borderId="0" xfId="0" applyFont="1" applyFill="1"/>
    <xf numFmtId="0" fontId="39" fillId="0" borderId="26" xfId="0" applyFont="1" applyFill="1" applyBorder="1"/>
    <xf numFmtId="0" fontId="87" fillId="0" borderId="19" xfId="0" applyFont="1" applyFill="1" applyBorder="1"/>
    <xf numFmtId="37" fontId="87" fillId="0" borderId="17" xfId="0" applyNumberFormat="1" applyFont="1" applyFill="1" applyBorder="1"/>
    <xf numFmtId="0" fontId="39" fillId="0" borderId="60" xfId="0" applyFont="1" applyFill="1" applyBorder="1"/>
    <xf numFmtId="0" fontId="87" fillId="0" borderId="60" xfId="0" applyFont="1" applyFill="1" applyBorder="1"/>
    <xf numFmtId="0" fontId="39" fillId="0" borderId="58" xfId="0" applyFont="1" applyFill="1" applyBorder="1"/>
    <xf numFmtId="0" fontId="87" fillId="0" borderId="58" xfId="0" applyFont="1" applyFill="1" applyBorder="1"/>
    <xf numFmtId="0" fontId="87" fillId="0" borderId="0" xfId="0" applyFont="1" applyBorder="1" applyAlignment="1">
      <alignment horizontal="left"/>
    </xf>
    <xf numFmtId="0" fontId="123" fillId="0" borderId="0" xfId="0" applyFont="1" applyFill="1" applyBorder="1"/>
    <xf numFmtId="0" fontId="124" fillId="0" borderId="0" xfId="0" applyFont="1" applyBorder="1"/>
    <xf numFmtId="37" fontId="124" fillId="0" borderId="0" xfId="0" applyNumberFormat="1" applyFont="1" applyFill="1" applyBorder="1"/>
    <xf numFmtId="0" fontId="87" fillId="0" borderId="0" xfId="0" applyFont="1" applyFill="1" applyBorder="1"/>
    <xf numFmtId="0" fontId="18" fillId="0" borderId="47" xfId="0" applyFont="1" applyFill="1" applyBorder="1" applyAlignment="1">
      <alignment horizontal="left"/>
    </xf>
    <xf numFmtId="0" fontId="18" fillId="0" borderId="26" xfId="0" applyFont="1" applyFill="1" applyBorder="1" applyAlignment="1">
      <alignment horizontal="left"/>
    </xf>
    <xf numFmtId="0" fontId="9" fillId="0" borderId="19" xfId="0" applyFont="1" applyFill="1" applyBorder="1" applyAlignment="1"/>
    <xf numFmtId="0" fontId="9" fillId="0" borderId="19" xfId="0" applyFont="1" applyFill="1" applyBorder="1"/>
    <xf numFmtId="0" fontId="9" fillId="0" borderId="18" xfId="0" applyFont="1" applyFill="1" applyBorder="1"/>
    <xf numFmtId="0" fontId="39" fillId="0" borderId="0" xfId="0" applyFont="1" applyFill="1" applyBorder="1"/>
    <xf numFmtId="0" fontId="9" fillId="0" borderId="26" xfId="0" applyFont="1" applyFill="1" applyBorder="1" applyAlignment="1"/>
    <xf numFmtId="164" fontId="18" fillId="0" borderId="17" xfId="381" applyNumberFormat="1" applyFont="1" applyFill="1" applyBorder="1" applyAlignment="1">
      <alignment horizontal="right"/>
    </xf>
    <xf numFmtId="0" fontId="9" fillId="0" borderId="14" xfId="0" applyFont="1" applyFill="1" applyBorder="1"/>
    <xf numFmtId="37" fontId="87" fillId="0" borderId="0" xfId="0" applyNumberFormat="1" applyFont="1" applyFill="1" applyBorder="1"/>
    <xf numFmtId="0" fontId="126" fillId="0" borderId="0" xfId="467" applyFont="1" applyAlignment="1">
      <alignment horizontal="center"/>
    </xf>
    <xf numFmtId="164" fontId="125" fillId="0" borderId="0" xfId="467" applyNumberFormat="1" applyFont="1"/>
    <xf numFmtId="0" fontId="125" fillId="0" borderId="0" xfId="467" applyFont="1"/>
    <xf numFmtId="0" fontId="125" fillId="0" borderId="0" xfId="467" applyFont="1" applyAlignment="1">
      <alignment horizontal="center"/>
    </xf>
    <xf numFmtId="0" fontId="127" fillId="0" borderId="0" xfId="467" applyFont="1"/>
    <xf numFmtId="167" fontId="125" fillId="0" borderId="0" xfId="467" applyNumberFormat="1" applyFont="1"/>
    <xf numFmtId="164" fontId="87" fillId="33" borderId="0" xfId="381" applyNumberFormat="1" applyFont="1" applyFill="1"/>
    <xf numFmtId="39" fontId="49" fillId="0" borderId="37" xfId="551" applyFont="1" applyFill="1" applyBorder="1" applyAlignment="1" applyProtection="1">
      <alignment horizontal="left"/>
    </xf>
    <xf numFmtId="39" fontId="49" fillId="0" borderId="68" xfId="549" applyFont="1" applyFill="1" applyBorder="1"/>
    <xf numFmtId="39" fontId="49" fillId="0" borderId="68" xfId="549" applyFont="1" applyFill="1" applyBorder="1" applyAlignment="1">
      <alignment wrapText="1"/>
    </xf>
    <xf numFmtId="0" fontId="49" fillId="0" borderId="68" xfId="0" applyFont="1" applyFill="1" applyBorder="1" applyAlignment="1">
      <alignment wrapText="1"/>
    </xf>
    <xf numFmtId="39" fontId="49" fillId="0" borderId="38" xfId="549" applyFont="1" applyFill="1" applyBorder="1" applyAlignment="1">
      <alignment wrapText="1"/>
    </xf>
    <xf numFmtId="39" fontId="49" fillId="0" borderId="20" xfId="551" applyFont="1" applyFill="1" applyBorder="1"/>
    <xf numFmtId="39" fontId="49" fillId="0" borderId="0" xfId="551" applyFont="1" applyFill="1" applyBorder="1"/>
    <xf numFmtId="0" fontId="49" fillId="0" borderId="21" xfId="0" applyFont="1" applyFill="1" applyBorder="1"/>
    <xf numFmtId="0" fontId="49" fillId="0" borderId="0" xfId="0" applyFont="1" applyFill="1"/>
    <xf numFmtId="37" fontId="49" fillId="0" borderId="21" xfId="0" applyNumberFormat="1" applyFont="1" applyFill="1" applyBorder="1"/>
    <xf numFmtId="37" fontId="49" fillId="0" borderId="0" xfId="551" applyNumberFormat="1" applyFont="1" applyFill="1" applyBorder="1"/>
    <xf numFmtId="37" fontId="49" fillId="0" borderId="10" xfId="551" applyNumberFormat="1" applyFont="1" applyFill="1" applyBorder="1"/>
    <xf numFmtId="39" fontId="49" fillId="0" borderId="10" xfId="551" applyFont="1" applyFill="1" applyBorder="1" applyAlignment="1">
      <alignment horizontal="center"/>
    </xf>
    <xf numFmtId="39" fontId="49" fillId="0" borderId="25" xfId="551" applyFont="1" applyFill="1" applyBorder="1"/>
    <xf numFmtId="39" fontId="49" fillId="0" borderId="24" xfId="551" applyFont="1" applyFill="1" applyBorder="1"/>
    <xf numFmtId="0" fontId="49" fillId="0" borderId="0" xfId="0" applyFont="1" applyFill="1" applyBorder="1"/>
    <xf numFmtId="164" fontId="49" fillId="0" borderId="21" xfId="381" applyNumberFormat="1" applyFont="1" applyFill="1" applyBorder="1"/>
    <xf numFmtId="39" fontId="49" fillId="0" borderId="22" xfId="551" applyFont="1" applyFill="1" applyBorder="1"/>
    <xf numFmtId="164" fontId="49" fillId="0" borderId="23" xfId="0" applyNumberFormat="1" applyFont="1" applyFill="1" applyBorder="1"/>
    <xf numFmtId="0" fontId="128" fillId="0" borderId="0" xfId="467" applyFont="1" applyAlignment="1">
      <alignment horizontal="center"/>
    </xf>
    <xf numFmtId="0" fontId="128" fillId="0" borderId="0" xfId="467" applyFont="1"/>
    <xf numFmtId="37" fontId="87" fillId="0" borderId="19" xfId="0" applyNumberFormat="1" applyFont="1" applyFill="1" applyBorder="1"/>
    <xf numFmtId="44" fontId="0" fillId="0" borderId="0" xfId="420" applyFont="1"/>
    <xf numFmtId="44" fontId="0" fillId="0" borderId="0" xfId="0" applyNumberFormat="1"/>
    <xf numFmtId="164" fontId="103" fillId="0" borderId="0" xfId="0" applyNumberFormat="1" applyFont="1" applyBorder="1"/>
    <xf numFmtId="164" fontId="50" fillId="0" borderId="0" xfId="381" applyNumberFormat="1" applyFont="1" applyFill="1" applyAlignment="1">
      <alignment horizontal="left"/>
    </xf>
    <xf numFmtId="164" fontId="8" fillId="33" borderId="20" xfId="381" applyNumberFormat="1" applyFont="1" applyFill="1" applyBorder="1" applyAlignment="1">
      <alignment horizontal="center"/>
    </xf>
    <xf numFmtId="164" fontId="90" fillId="33" borderId="20" xfId="381" applyNumberFormat="1" applyFont="1" applyFill="1" applyBorder="1" applyAlignment="1">
      <alignment vertical="center"/>
    </xf>
    <xf numFmtId="164" fontId="8" fillId="33" borderId="30" xfId="381" applyNumberFormat="1" applyFont="1" applyFill="1" applyBorder="1" applyAlignment="1">
      <alignment horizontal="center"/>
    </xf>
    <xf numFmtId="164" fontId="8" fillId="33" borderId="0" xfId="381" applyNumberFormat="1" applyFont="1" applyFill="1" applyBorder="1" applyAlignment="1">
      <alignment horizontal="center"/>
    </xf>
    <xf numFmtId="164" fontId="8" fillId="33" borderId="0" xfId="381" applyNumberFormat="1" applyFont="1" applyFill="1" applyBorder="1"/>
    <xf numFmtId="0" fontId="8" fillId="33" borderId="0" xfId="467" applyFont="1" applyFill="1" applyBorder="1"/>
    <xf numFmtId="0" fontId="8" fillId="33" borderId="0" xfId="473" applyFont="1" applyFill="1" applyBorder="1"/>
    <xf numFmtId="164" fontId="8" fillId="33" borderId="14" xfId="381" applyNumberFormat="1" applyFont="1" applyFill="1" applyBorder="1" applyAlignment="1">
      <alignment horizontal="center"/>
    </xf>
    <xf numFmtId="0" fontId="8" fillId="33" borderId="14" xfId="467" applyFont="1" applyFill="1" applyBorder="1"/>
    <xf numFmtId="0" fontId="8" fillId="33" borderId="14" xfId="473" applyFont="1" applyFill="1" applyBorder="1"/>
    <xf numFmtId="164" fontId="18" fillId="33" borderId="0" xfId="465" applyNumberFormat="1" applyFont="1" applyFill="1" applyBorder="1" applyAlignment="1">
      <alignment horizontal="center"/>
    </xf>
    <xf numFmtId="37" fontId="49" fillId="0" borderId="24" xfId="551" applyNumberFormat="1" applyFont="1" applyFill="1" applyBorder="1" applyAlignment="1">
      <alignment horizontal="right"/>
    </xf>
    <xf numFmtId="37" fontId="49" fillId="0" borderId="29" xfId="551" applyNumberFormat="1" applyFont="1" applyFill="1" applyBorder="1" applyAlignment="1">
      <alignment horizontal="right"/>
    </xf>
    <xf numFmtId="37" fontId="0" fillId="0" borderId="0" xfId="0" applyNumberFormat="1" applyFill="1" applyAlignment="1">
      <alignment horizontal="right"/>
    </xf>
    <xf numFmtId="164" fontId="0" fillId="0" borderId="0" xfId="0" applyNumberFormat="1" applyFill="1" applyAlignment="1">
      <alignment horizontal="right"/>
    </xf>
    <xf numFmtId="164" fontId="0" fillId="0" borderId="0" xfId="0" applyNumberFormat="1" applyFill="1" applyBorder="1"/>
    <xf numFmtId="164" fontId="50" fillId="33" borderId="0" xfId="467" applyNumberFormat="1" applyFont="1" applyFill="1" applyAlignment="1">
      <alignment horizontal="center"/>
    </xf>
    <xf numFmtId="167" fontId="50" fillId="33" borderId="0" xfId="467" applyNumberFormat="1" applyFont="1" applyFill="1" applyAlignment="1">
      <alignment horizontal="center"/>
    </xf>
    <xf numFmtId="3" fontId="129" fillId="0" borderId="0" xfId="0" applyNumberFormat="1" applyFont="1" applyFill="1" applyBorder="1" applyAlignment="1">
      <alignment horizontal="center"/>
    </xf>
    <xf numFmtId="3" fontId="129" fillId="0" borderId="14" xfId="0" applyNumberFormat="1" applyFont="1" applyBorder="1" applyAlignment="1">
      <alignment horizontal="center"/>
    </xf>
    <xf numFmtId="3" fontId="129" fillId="0" borderId="0" xfId="0" applyNumberFormat="1" applyFont="1" applyBorder="1" applyAlignment="1">
      <alignment horizontal="center"/>
    </xf>
    <xf numFmtId="3" fontId="14" fillId="0" borderId="0" xfId="0" applyNumberFormat="1" applyFont="1" applyBorder="1" applyAlignment="1">
      <alignment horizontal="center"/>
    </xf>
    <xf numFmtId="3" fontId="59" fillId="0" borderId="0" xfId="0" applyNumberFormat="1" applyFont="1" applyFill="1" applyBorder="1" applyAlignment="1">
      <alignment horizontal="center"/>
    </xf>
    <xf numFmtId="0" fontId="14" fillId="0" borderId="0" xfId="0" applyFont="1" applyBorder="1" applyAlignment="1">
      <alignment horizontal="center"/>
    </xf>
    <xf numFmtId="164" fontId="46" fillId="0" borderId="0" xfId="381" applyNumberFormat="1" applyFont="1" applyFill="1" applyAlignment="1"/>
    <xf numFmtId="0" fontId="10" fillId="0" borderId="0" xfId="0" applyFont="1" applyFill="1" applyBorder="1" applyAlignment="1">
      <alignment horizontal="center"/>
    </xf>
    <xf numFmtId="172" fontId="12" fillId="0" borderId="0" xfId="381" applyNumberFormat="1" applyFont="1" applyFill="1" applyBorder="1"/>
    <xf numFmtId="0" fontId="8" fillId="0" borderId="0" xfId="473" quotePrefix="1" applyFont="1" applyFill="1" applyBorder="1" applyAlignment="1"/>
    <xf numFmtId="164" fontId="51" fillId="0" borderId="0" xfId="381" applyNumberFormat="1" applyFont="1" applyFill="1"/>
    <xf numFmtId="0" fontId="49" fillId="0" borderId="10" xfId="0" applyFont="1" applyFill="1" applyBorder="1"/>
    <xf numFmtId="164" fontId="10" fillId="0" borderId="0" xfId="381" applyNumberFormat="1" applyFont="1" applyFill="1" applyBorder="1" applyAlignment="1">
      <alignment horizontal="right"/>
    </xf>
    <xf numFmtId="0" fontId="12" fillId="0" borderId="25" xfId="0" applyFont="1" applyFill="1" applyBorder="1" applyAlignment="1"/>
    <xf numFmtId="0" fontId="12" fillId="0" borderId="22" xfId="0" applyNumberFormat="1" applyFont="1" applyBorder="1" applyAlignment="1">
      <alignment horizontal="left"/>
    </xf>
    <xf numFmtId="0" fontId="12" fillId="0" borderId="10" xfId="0" applyNumberFormat="1" applyFont="1" applyBorder="1" applyAlignment="1">
      <alignment horizontal="center"/>
    </xf>
    <xf numFmtId="0" fontId="10" fillId="0" borderId="10" xfId="0" applyNumberFormat="1" applyFont="1" applyFill="1" applyBorder="1" applyAlignment="1"/>
    <xf numFmtId="0" fontId="12" fillId="0" borderId="10" xfId="0" applyFont="1" applyFill="1" applyBorder="1" applyAlignment="1"/>
    <xf numFmtId="3" fontId="12" fillId="0" borderId="10" xfId="0" applyNumberFormat="1" applyFont="1" applyBorder="1" applyAlignment="1">
      <alignment horizontal="center"/>
    </xf>
    <xf numFmtId="0" fontId="12" fillId="0" borderId="64" xfId="0" applyFont="1" applyBorder="1" applyAlignment="1"/>
    <xf numFmtId="173" fontId="10" fillId="0" borderId="49" xfId="633" applyNumberFormat="1" applyFont="1" applyBorder="1" applyAlignment="1"/>
    <xf numFmtId="164" fontId="12" fillId="0" borderId="49" xfId="381" applyNumberFormat="1" applyFont="1" applyBorder="1"/>
    <xf numFmtId="164" fontId="12" fillId="0" borderId="65" xfId="381" applyNumberFormat="1" applyFont="1" applyBorder="1"/>
    <xf numFmtId="41" fontId="0" fillId="0" borderId="14" xfId="0" applyNumberFormat="1" applyFill="1" applyBorder="1" applyAlignment="1">
      <alignment horizontal="right"/>
    </xf>
    <xf numFmtId="0" fontId="101" fillId="0" borderId="0" xfId="0" applyFont="1" applyFill="1" applyAlignment="1">
      <alignment horizontal="left"/>
    </xf>
    <xf numFmtId="0" fontId="0" fillId="34" borderId="26" xfId="0" applyFill="1" applyBorder="1" applyAlignment="1">
      <alignment horizontal="left"/>
    </xf>
    <xf numFmtId="37" fontId="0" fillId="34" borderId="17" xfId="0" applyNumberFormat="1" applyFill="1" applyBorder="1"/>
    <xf numFmtId="0" fontId="0" fillId="34" borderId="17" xfId="0" applyFill="1" applyBorder="1" applyAlignment="1">
      <alignment wrapText="1"/>
    </xf>
    <xf numFmtId="0" fontId="8" fillId="34" borderId="47" xfId="0" applyFont="1" applyFill="1" applyBorder="1" applyAlignment="1">
      <alignment horizontal="left"/>
    </xf>
    <xf numFmtId="0" fontId="8" fillId="34" borderId="26" xfId="0" applyFont="1" applyFill="1" applyBorder="1" applyAlignment="1">
      <alignment horizontal="left"/>
    </xf>
    <xf numFmtId="0" fontId="0" fillId="34" borderId="69" xfId="0" applyFill="1" applyBorder="1" applyAlignment="1">
      <alignment horizontal="left"/>
    </xf>
    <xf numFmtId="0" fontId="0" fillId="34" borderId="12" xfId="0" applyFill="1" applyBorder="1" applyAlignment="1">
      <alignment horizontal="left"/>
    </xf>
    <xf numFmtId="0" fontId="8" fillId="34" borderId="17" xfId="0" applyFont="1" applyFill="1" applyBorder="1" applyAlignment="1">
      <alignment wrapText="1"/>
    </xf>
    <xf numFmtId="0" fontId="0" fillId="34" borderId="17" xfId="0" applyFill="1" applyBorder="1"/>
    <xf numFmtId="0" fontId="35" fillId="34" borderId="19" xfId="0" applyFont="1" applyFill="1" applyBorder="1"/>
    <xf numFmtId="0" fontId="35" fillId="34" borderId="18" xfId="0" applyFont="1" applyFill="1" applyBorder="1"/>
    <xf numFmtId="0" fontId="34" fillId="0" borderId="47" xfId="0" applyFont="1" applyFill="1" applyBorder="1"/>
    <xf numFmtId="0" fontId="34" fillId="0" borderId="35" xfId="0" applyFont="1" applyFill="1" applyBorder="1"/>
    <xf numFmtId="0" fontId="34" fillId="0" borderId="28" xfId="0" applyFont="1" applyFill="1" applyBorder="1"/>
    <xf numFmtId="0" fontId="101" fillId="0" borderId="0" xfId="0" applyFont="1" applyBorder="1" applyAlignment="1">
      <alignment horizontal="left"/>
    </xf>
    <xf numFmtId="0" fontId="34" fillId="0" borderId="69" xfId="0" applyFont="1" applyFill="1" applyBorder="1"/>
    <xf numFmtId="0" fontId="101" fillId="0" borderId="12" xfId="0" applyFont="1" applyBorder="1"/>
    <xf numFmtId="0" fontId="101" fillId="0" borderId="12" xfId="0" applyFont="1" applyFill="1" applyBorder="1"/>
    <xf numFmtId="37" fontId="101" fillId="0" borderId="12" xfId="0" applyNumberFormat="1" applyFont="1" applyFill="1" applyBorder="1"/>
    <xf numFmtId="37" fontId="101" fillId="0" borderId="12" xfId="0" applyNumberFormat="1" applyFont="1" applyFill="1" applyBorder="1" applyAlignment="1">
      <alignment horizontal="center"/>
    </xf>
    <xf numFmtId="0" fontId="101" fillId="0" borderId="18" xfId="0" applyFont="1" applyFill="1" applyBorder="1" applyAlignment="1">
      <alignment horizontal="center"/>
    </xf>
    <xf numFmtId="0" fontId="34" fillId="0" borderId="27" xfId="0" applyFont="1" applyFill="1" applyBorder="1" applyAlignment="1">
      <alignment horizontal="left"/>
    </xf>
    <xf numFmtId="0" fontId="101" fillId="0" borderId="0" xfId="0" applyFont="1" applyBorder="1"/>
    <xf numFmtId="0" fontId="101" fillId="0" borderId="0" xfId="0" applyFont="1" applyFill="1" applyBorder="1"/>
    <xf numFmtId="0" fontId="101" fillId="0" borderId="0" xfId="0" applyFont="1" applyFill="1" applyBorder="1" applyAlignment="1">
      <alignment horizontal="center"/>
    </xf>
    <xf numFmtId="0" fontId="101" fillId="0" borderId="58" xfId="0" applyFont="1" applyFill="1" applyBorder="1" applyAlignment="1">
      <alignment horizontal="center"/>
    </xf>
    <xf numFmtId="0" fontId="34" fillId="0" borderId="70" xfId="0" applyFont="1" applyFill="1" applyBorder="1" applyAlignment="1">
      <alignment horizontal="left"/>
    </xf>
    <xf numFmtId="0" fontId="101" fillId="0" borderId="14" xfId="0" applyFont="1" applyBorder="1" applyAlignment="1">
      <alignment wrapText="1"/>
    </xf>
    <xf numFmtId="0" fontId="101" fillId="0" borderId="60" xfId="0" applyFont="1" applyBorder="1" applyAlignment="1">
      <alignment wrapText="1"/>
    </xf>
    <xf numFmtId="0" fontId="8" fillId="34" borderId="47" xfId="0" applyFont="1" applyFill="1" applyBorder="1"/>
    <xf numFmtId="0" fontId="8" fillId="34" borderId="26" xfId="0" applyFont="1" applyFill="1" applyBorder="1"/>
    <xf numFmtId="0" fontId="17" fillId="0" borderId="17" xfId="0" applyFont="1" applyFill="1" applyBorder="1" applyAlignment="1"/>
    <xf numFmtId="0" fontId="17" fillId="0" borderId="17" xfId="0" applyFont="1" applyFill="1" applyBorder="1"/>
    <xf numFmtId="0" fontId="17" fillId="0" borderId="34" xfId="0" applyFont="1" applyFill="1" applyBorder="1"/>
    <xf numFmtId="0" fontId="17" fillId="0" borderId="47" xfId="0" applyFont="1" applyFill="1" applyBorder="1"/>
    <xf numFmtId="0" fontId="101" fillId="0" borderId="12" xfId="0" applyFont="1" applyFill="1" applyBorder="1" applyAlignment="1">
      <alignment horizontal="center"/>
    </xf>
    <xf numFmtId="0" fontId="101" fillId="0" borderId="14" xfId="0" applyFont="1" applyFill="1" applyBorder="1"/>
    <xf numFmtId="0" fontId="101" fillId="0" borderId="14" xfId="0" applyFont="1" applyFill="1" applyBorder="1" applyAlignment="1">
      <alignment horizontal="center"/>
    </xf>
    <xf numFmtId="0" fontId="101" fillId="0" borderId="60" xfId="0" applyFont="1" applyFill="1" applyBorder="1" applyAlignment="1">
      <alignment horizontal="center"/>
    </xf>
    <xf numFmtId="37" fontId="8" fillId="34" borderId="17" xfId="0" applyNumberFormat="1" applyFont="1" applyFill="1" applyBorder="1"/>
    <xf numFmtId="0" fontId="8" fillId="34" borderId="12" xfId="0" applyFont="1" applyFill="1" applyBorder="1"/>
    <xf numFmtId="0" fontId="8" fillId="34" borderId="69" xfId="0" applyFont="1" applyFill="1" applyBorder="1" applyAlignment="1">
      <alignment horizontal="left"/>
    </xf>
    <xf numFmtId="0" fontId="8" fillId="34" borderId="12" xfId="0" applyFont="1" applyFill="1" applyBorder="1" applyAlignment="1">
      <alignment horizontal="left"/>
    </xf>
    <xf numFmtId="0" fontId="18" fillId="34" borderId="18" xfId="0" applyFont="1" applyFill="1" applyBorder="1"/>
    <xf numFmtId="0" fontId="18" fillId="34" borderId="19" xfId="0" applyFont="1" applyFill="1" applyBorder="1"/>
    <xf numFmtId="0" fontId="8" fillId="34" borderId="70" xfId="0" applyFont="1" applyFill="1" applyBorder="1" applyAlignment="1">
      <alignment horizontal="left"/>
    </xf>
    <xf numFmtId="0" fontId="8" fillId="34" borderId="0" xfId="0" applyFont="1" applyFill="1" applyBorder="1" applyAlignment="1">
      <alignment horizontal="left"/>
    </xf>
    <xf numFmtId="0" fontId="18" fillId="34" borderId="69" xfId="0" applyFont="1" applyFill="1" applyBorder="1" applyAlignment="1">
      <alignment horizontal="left"/>
    </xf>
    <xf numFmtId="0" fontId="18" fillId="34" borderId="12" xfId="0" applyFont="1" applyFill="1" applyBorder="1" applyAlignment="1">
      <alignment horizontal="left"/>
    </xf>
    <xf numFmtId="0" fontId="17" fillId="0" borderId="47" xfId="0" applyFont="1" applyFill="1" applyBorder="1" applyAlignment="1"/>
    <xf numFmtId="0" fontId="17" fillId="0" borderId="70" xfId="0" applyFont="1" applyFill="1" applyBorder="1"/>
    <xf numFmtId="0" fontId="101" fillId="0" borderId="58" xfId="0" applyFont="1" applyBorder="1"/>
    <xf numFmtId="0" fontId="101" fillId="0" borderId="14" xfId="0" applyFont="1" applyBorder="1"/>
    <xf numFmtId="0" fontId="101" fillId="0" borderId="60" xfId="0" applyFont="1" applyBorder="1"/>
    <xf numFmtId="164" fontId="8" fillId="34" borderId="17" xfId="381" applyNumberFormat="1" applyFont="1" applyFill="1" applyBorder="1"/>
    <xf numFmtId="164" fontId="8" fillId="34" borderId="17" xfId="381" applyNumberFormat="1" applyFill="1" applyBorder="1"/>
    <xf numFmtId="164" fontId="0" fillId="34" borderId="0" xfId="0" applyNumberFormat="1" applyFill="1"/>
    <xf numFmtId="0" fontId="0" fillId="34" borderId="0" xfId="0" applyFill="1" applyBorder="1"/>
    <xf numFmtId="0" fontId="18" fillId="34" borderId="0" xfId="465" applyFont="1" applyFill="1" applyBorder="1"/>
    <xf numFmtId="49" fontId="0" fillId="34" borderId="0" xfId="0" applyNumberFormat="1" applyFill="1" applyBorder="1" applyAlignment="1">
      <alignment horizontal="left"/>
    </xf>
    <xf numFmtId="0" fontId="18" fillId="34" borderId="0" xfId="465" applyFont="1" applyFill="1"/>
    <xf numFmtId="164" fontId="87" fillId="34" borderId="0" xfId="381" applyNumberFormat="1" applyFont="1" applyFill="1"/>
    <xf numFmtId="9" fontId="8" fillId="34" borderId="0" xfId="634" applyFont="1" applyFill="1" applyBorder="1" applyAlignment="1">
      <alignment horizontal="center"/>
    </xf>
    <xf numFmtId="0" fontId="8" fillId="34" borderId="0" xfId="465" applyFont="1" applyFill="1" applyBorder="1"/>
    <xf numFmtId="0" fontId="18" fillId="34" borderId="14" xfId="465" applyFont="1" applyFill="1" applyBorder="1"/>
    <xf numFmtId="164" fontId="18" fillId="34" borderId="0" xfId="465" applyNumberFormat="1" applyFont="1" applyFill="1" applyBorder="1" applyAlignment="1">
      <alignment horizontal="center"/>
    </xf>
    <xf numFmtId="164" fontId="9" fillId="34" borderId="0" xfId="390" applyNumberFormat="1" applyFont="1" applyFill="1" applyBorder="1"/>
    <xf numFmtId="10" fontId="8" fillId="34" borderId="0" xfId="634" applyNumberFormat="1" applyFont="1" applyFill="1" applyBorder="1" applyAlignment="1">
      <alignment horizontal="center"/>
    </xf>
    <xf numFmtId="164" fontId="8" fillId="34" borderId="0" xfId="465" applyNumberFormat="1" applyFont="1" applyFill="1" applyBorder="1" applyAlignment="1">
      <alignment horizontal="center"/>
    </xf>
    <xf numFmtId="164" fontId="8" fillId="34" borderId="0" xfId="381" applyNumberFormat="1" applyFont="1" applyFill="1" applyBorder="1" applyAlignment="1">
      <alignment horizontal="center"/>
    </xf>
    <xf numFmtId="164" fontId="87" fillId="34" borderId="14" xfId="381" applyNumberFormat="1" applyFont="1" applyFill="1" applyBorder="1"/>
    <xf numFmtId="164" fontId="8" fillId="34" borderId="0" xfId="465" applyNumberFormat="1" applyFont="1" applyFill="1" applyBorder="1"/>
    <xf numFmtId="0" fontId="9" fillId="34" borderId="0" xfId="465" applyFont="1" applyFill="1" applyBorder="1"/>
    <xf numFmtId="164" fontId="18" fillId="34" borderId="26" xfId="465" applyNumberFormat="1" applyFont="1" applyFill="1" applyBorder="1" applyAlignment="1">
      <alignment horizontal="center"/>
    </xf>
    <xf numFmtId="10" fontId="8" fillId="34" borderId="26" xfId="634" applyNumberFormat="1" applyFont="1" applyFill="1" applyBorder="1" applyAlignment="1">
      <alignment horizontal="center"/>
    </xf>
    <xf numFmtId="164" fontId="8" fillId="34" borderId="14" xfId="465" applyNumberFormat="1" applyFont="1" applyFill="1" applyBorder="1" applyAlignment="1">
      <alignment horizontal="center"/>
    </xf>
    <xf numFmtId="0" fontId="8" fillId="34" borderId="0" xfId="0" applyFont="1" applyFill="1" applyBorder="1"/>
    <xf numFmtId="173" fontId="49" fillId="0" borderId="41" xfId="633" applyNumberFormat="1" applyFont="1" applyFill="1" applyBorder="1"/>
    <xf numFmtId="173" fontId="49" fillId="0" borderId="10" xfId="633" applyNumberFormat="1" applyFont="1" applyFill="1" applyBorder="1"/>
    <xf numFmtId="0" fontId="51" fillId="0" borderId="16" xfId="0" applyFont="1" applyFill="1" applyBorder="1"/>
    <xf numFmtId="164" fontId="51" fillId="0" borderId="71" xfId="381" applyNumberFormat="1" applyFont="1" applyFill="1" applyBorder="1"/>
    <xf numFmtId="0" fontId="51" fillId="0" borderId="15" xfId="0" applyFont="1" applyFill="1" applyBorder="1"/>
    <xf numFmtId="43" fontId="49" fillId="0" borderId="15" xfId="381" applyFont="1" applyFill="1" applyBorder="1"/>
    <xf numFmtId="43" fontId="49" fillId="0" borderId="3" xfId="381" applyFont="1" applyFill="1" applyBorder="1"/>
    <xf numFmtId="164" fontId="49" fillId="0" borderId="3" xfId="0" applyNumberFormat="1" applyFont="1" applyFill="1" applyBorder="1"/>
    <xf numFmtId="164" fontId="49" fillId="0" borderId="15" xfId="0" applyNumberFormat="1" applyFont="1" applyFill="1" applyBorder="1"/>
    <xf numFmtId="164" fontId="51" fillId="0" borderId="0" xfId="0" applyNumberFormat="1" applyFont="1" applyFill="1"/>
    <xf numFmtId="37" fontId="49" fillId="0" borderId="23" xfId="0" applyNumberFormat="1" applyFont="1" applyFill="1" applyBorder="1"/>
    <xf numFmtId="164" fontId="8" fillId="0" borderId="0" xfId="381" applyNumberFormat="1"/>
    <xf numFmtId="164" fontId="84" fillId="0" borderId="0" xfId="381" applyNumberFormat="1" applyFont="1" applyFill="1"/>
    <xf numFmtId="41" fontId="8" fillId="0" borderId="0" xfId="0" applyNumberFormat="1" applyFont="1" applyFill="1" applyBorder="1" applyAlignment="1">
      <alignment horizontal="left"/>
    </xf>
    <xf numFmtId="3" fontId="0" fillId="0" borderId="0" xfId="0" applyNumberFormat="1"/>
    <xf numFmtId="164" fontId="0" fillId="0" borderId="22" xfId="0" applyNumberFormat="1" applyFill="1" applyBorder="1"/>
    <xf numFmtId="164" fontId="18" fillId="0" borderId="0" xfId="381" applyNumberFormat="1" applyFont="1"/>
    <xf numFmtId="164" fontId="18" fillId="0" borderId="0" xfId="465" applyNumberFormat="1" applyFont="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164" fontId="8" fillId="0" borderId="17" xfId="381" applyNumberFormat="1" applyFont="1" applyFill="1" applyBorder="1"/>
    <xf numFmtId="164" fontId="8" fillId="0" borderId="17" xfId="381" applyNumberFormat="1" applyFill="1" applyBorder="1"/>
    <xf numFmtId="0"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 fontId="8" fillId="0" borderId="0" xfId="465" applyNumberFormat="1" applyFont="1" applyFill="1" applyBorder="1" applyAlignment="1">
      <alignment horizontal="center"/>
    </xf>
    <xf numFmtId="1" fontId="8" fillId="0" borderId="14" xfId="465" applyNumberFormat="1" applyFont="1" applyFill="1" applyBorder="1" applyAlignment="1">
      <alignment horizontal="center"/>
    </xf>
    <xf numFmtId="0" fontId="149" fillId="0" borderId="0" xfId="465" applyFont="1" applyFill="1"/>
    <xf numFmtId="43" fontId="150" fillId="0" borderId="0" xfId="381" applyFont="1" applyFill="1" applyBorder="1" applyAlignment="1">
      <alignment horizontal="right" vertical="center" wrapText="1"/>
    </xf>
    <xf numFmtId="0" fontId="151" fillId="0" borderId="0" xfId="0" applyFont="1" applyFill="1" applyBorder="1"/>
    <xf numFmtId="39" fontId="49" fillId="0" borderId="68" xfId="551" applyFont="1" applyFill="1" applyBorder="1" applyAlignment="1" applyProtection="1">
      <alignment horizontal="left"/>
    </xf>
    <xf numFmtId="0" fontId="148" fillId="0" borderId="0" xfId="0" applyFont="1"/>
    <xf numFmtId="37" fontId="8" fillId="0" borderId="0" xfId="445" applyNumberFormat="1"/>
    <xf numFmtId="37" fontId="8" fillId="0" borderId="0" xfId="445" applyNumberFormat="1"/>
    <xf numFmtId="0" fontId="49" fillId="0" borderId="21" xfId="898" applyFont="1" applyFill="1" applyBorder="1"/>
    <xf numFmtId="0" fontId="49" fillId="0" borderId="0" xfId="898" applyFont="1" applyFill="1" applyBorder="1"/>
    <xf numFmtId="164" fontId="49" fillId="0" borderId="21" xfId="382" applyNumberFormat="1" applyFont="1" applyFill="1" applyBorder="1"/>
    <xf numFmtId="37" fontId="49" fillId="0" borderId="0" xfId="551" applyNumberFormat="1" applyFont="1" applyFill="1" applyBorder="1" applyAlignment="1">
      <alignment horizontal="center"/>
    </xf>
    <xf numFmtId="37" fontId="49" fillId="0" borderId="21" xfId="898" applyNumberFormat="1" applyFont="1" applyFill="1" applyBorder="1"/>
    <xf numFmtId="0" fontId="49" fillId="0" borderId="0" xfId="898" applyFont="1" applyFill="1" applyBorder="1" applyAlignment="1">
      <alignment horizontal="center"/>
    </xf>
    <xf numFmtId="168" fontId="12" fillId="33" borderId="35" xfId="633" applyNumberFormat="1" applyFont="1" applyFill="1" applyBorder="1" applyAlignment="1"/>
    <xf numFmtId="164" fontId="10" fillId="0" borderId="28" xfId="381" applyNumberFormat="1" applyFont="1" applyFill="1" applyBorder="1" applyAlignment="1"/>
    <xf numFmtId="0" fontId="149" fillId="0" borderId="0" xfId="0" applyFont="1"/>
    <xf numFmtId="0" fontId="152" fillId="0" borderId="0" xfId="0" applyFont="1" applyFill="1" applyBorder="1"/>
    <xf numFmtId="43" fontId="52" fillId="0" borderId="0" xfId="381" applyFont="1" applyFill="1" applyBorder="1"/>
    <xf numFmtId="0" fontId="8" fillId="0" borderId="0" xfId="465" applyNumberFormat="1" applyFont="1" applyFill="1" applyBorder="1" applyAlignment="1"/>
    <xf numFmtId="0" fontId="153" fillId="0" borderId="0" xfId="467" applyFont="1" applyAlignment="1">
      <alignment horizontal="left"/>
    </xf>
    <xf numFmtId="0" fontId="153" fillId="0" borderId="0" xfId="467" applyFont="1" applyFill="1" applyAlignment="1">
      <alignment horizontal="left"/>
    </xf>
    <xf numFmtId="0" fontId="148" fillId="0" borderId="0" xfId="0" applyFont="1" applyBorder="1"/>
    <xf numFmtId="0" fontId="8" fillId="69" borderId="0" xfId="0" applyFont="1" applyFill="1"/>
    <xf numFmtId="173" fontId="50" fillId="0" borderId="0" xfId="635" applyNumberFormat="1" applyFont="1" applyFill="1"/>
    <xf numFmtId="173" fontId="50" fillId="0" borderId="0" xfId="467" applyNumberFormat="1" applyFont="1" applyFill="1"/>
    <xf numFmtId="0" fontId="50" fillId="0" borderId="0" xfId="467" applyFont="1" applyFill="1" applyAlignment="1">
      <alignment horizontal="center" wrapText="1"/>
    </xf>
    <xf numFmtId="0" fontId="153" fillId="0" borderId="0" xfId="467" applyFont="1" applyFill="1"/>
    <xf numFmtId="164" fontId="50" fillId="0" borderId="0" xfId="467" applyNumberFormat="1" applyFont="1" applyFill="1" applyAlignment="1">
      <alignment horizontal="center"/>
    </xf>
    <xf numFmtId="43" fontId="50" fillId="0" borderId="0" xfId="391" applyNumberFormat="1" applyFont="1" applyFill="1"/>
    <xf numFmtId="164" fontId="50" fillId="0" borderId="0" xfId="467" applyNumberFormat="1" applyFont="1" applyFill="1" applyAlignment="1">
      <alignment horizontal="center" wrapText="1"/>
    </xf>
    <xf numFmtId="164" fontId="50" fillId="0" borderId="0" xfId="467" applyNumberFormat="1" applyFont="1"/>
    <xf numFmtId="0" fontId="153" fillId="0" borderId="0" xfId="467" applyFont="1" applyFill="1" applyAlignment="1">
      <alignment horizontal="center"/>
    </xf>
    <xf numFmtId="0" fontId="154" fillId="0" borderId="0" xfId="467" applyFont="1" applyFill="1"/>
    <xf numFmtId="0" fontId="49" fillId="0" borderId="0" xfId="898" applyFont="1" applyFill="1" applyAlignment="1"/>
    <xf numFmtId="164" fontId="18" fillId="0" borderId="10" xfId="381" applyNumberFormat="1" applyFont="1" applyFill="1" applyBorder="1" applyAlignment="1">
      <alignment horizontal="center"/>
    </xf>
    <xf numFmtId="43" fontId="10" fillId="0" borderId="10" xfId="381" applyNumberFormat="1" applyFont="1" applyBorder="1"/>
    <xf numFmtId="185" fontId="0" fillId="0" borderId="0" xfId="0" applyNumberFormat="1"/>
    <xf numFmtId="164" fontId="155" fillId="0" borderId="0" xfId="381" applyNumberFormat="1" applyFont="1"/>
    <xf numFmtId="9" fontId="8" fillId="0" borderId="0" xfId="633" applyFont="1" applyFill="1" applyBorder="1" applyAlignment="1">
      <alignment horizontal="center" wrapText="1"/>
    </xf>
    <xf numFmtId="0" fontId="156" fillId="0" borderId="0" xfId="0" applyFont="1" applyFill="1"/>
    <xf numFmtId="164" fontId="156" fillId="0" borderId="0" xfId="381" applyNumberFormat="1" applyFont="1" applyFill="1"/>
    <xf numFmtId="0" fontId="8" fillId="0" borderId="0" xfId="0" applyFont="1" applyAlignment="1">
      <alignment horizontal="center"/>
    </xf>
    <xf numFmtId="37" fontId="8" fillId="0" borderId="0" xfId="0" applyNumberFormat="1" applyFont="1"/>
    <xf numFmtId="37" fontId="8" fillId="0" borderId="14" xfId="0" applyNumberFormat="1" applyFont="1" applyBorder="1"/>
    <xf numFmtId="37" fontId="8" fillId="0" borderId="0" xfId="0" applyNumberFormat="1" applyFont="1" applyBorder="1"/>
    <xf numFmtId="164" fontId="150" fillId="0" borderId="0" xfId="381" applyNumberFormat="1" applyFont="1" applyFill="1" applyBorder="1" applyAlignment="1">
      <alignment horizontal="right" vertical="center" wrapText="1"/>
    </xf>
    <xf numFmtId="164" fontId="9" fillId="0" borderId="0" xfId="381" applyNumberFormat="1" applyFont="1" applyFill="1"/>
    <xf numFmtId="0" fontId="12" fillId="0" borderId="0" xfId="0" applyFont="1" applyAlignment="1">
      <alignment horizontal="center"/>
    </xf>
    <xf numFmtId="0" fontId="157" fillId="0" borderId="0" xfId="467" applyFont="1" applyFill="1"/>
    <xf numFmtId="164" fontId="158" fillId="0" borderId="12" xfId="467" applyNumberFormat="1" applyFont="1" applyFill="1" applyBorder="1"/>
    <xf numFmtId="0" fontId="158" fillId="0" borderId="0" xfId="467" applyFont="1" applyAlignment="1">
      <alignment horizontal="left"/>
    </xf>
    <xf numFmtId="0" fontId="83" fillId="0" borderId="0" xfId="467" applyFont="1"/>
    <xf numFmtId="0" fontId="158" fillId="0" borderId="0" xfId="467" applyFont="1" applyFill="1" applyAlignment="1">
      <alignment horizontal="center"/>
    </xf>
    <xf numFmtId="0" fontId="158" fillId="0" borderId="0" xfId="467" applyFont="1" applyFill="1" applyBorder="1" applyAlignment="1">
      <alignment wrapText="1"/>
    </xf>
    <xf numFmtId="0" fontId="158" fillId="0" borderId="0" xfId="467" applyFont="1" applyFill="1" applyBorder="1"/>
    <xf numFmtId="164" fontId="158" fillId="0" borderId="0" xfId="467" quotePrefix="1" applyNumberFormat="1" applyFont="1" applyFill="1" applyAlignment="1">
      <alignment horizontal="center"/>
    </xf>
    <xf numFmtId="0" fontId="50" fillId="0" borderId="0" xfId="467" quotePrefix="1" applyFont="1" applyFill="1"/>
    <xf numFmtId="0" fontId="8" fillId="0" borderId="0" xfId="467" applyFill="1" applyAlignment="1">
      <alignment horizontal="right"/>
    </xf>
    <xf numFmtId="0" fontId="8" fillId="69" borderId="0" xfId="467" applyFill="1" applyAlignment="1">
      <alignment horizontal="center"/>
    </xf>
    <xf numFmtId="0" fontId="8" fillId="69" borderId="0" xfId="467" applyFill="1" applyAlignment="1">
      <alignment horizontal="centerContinuous"/>
    </xf>
    <xf numFmtId="164" fontId="158" fillId="0" borderId="0" xfId="467" applyNumberFormat="1" applyFont="1" applyFill="1"/>
    <xf numFmtId="0" fontId="159" fillId="0" borderId="0" xfId="467" applyFont="1" applyFill="1" applyAlignment="1">
      <alignment horizontal="left"/>
    </xf>
    <xf numFmtId="0" fontId="159" fillId="0" borderId="0" xfId="467" applyFont="1" applyAlignment="1">
      <alignment horizontal="center"/>
    </xf>
    <xf numFmtId="0" fontId="159" fillId="0" borderId="0" xfId="467" applyFont="1"/>
    <xf numFmtId="0" fontId="159" fillId="0" borderId="0" xfId="467" applyFont="1" applyBorder="1"/>
    <xf numFmtId="167" fontId="160" fillId="0" borderId="0" xfId="422" applyNumberFormat="1" applyFont="1" applyFill="1" applyAlignment="1">
      <alignment horizontal="left"/>
    </xf>
    <xf numFmtId="0" fontId="148" fillId="0" borderId="0" xfId="467" applyFont="1" applyAlignment="1"/>
    <xf numFmtId="0" fontId="148" fillId="0" borderId="0" xfId="467" applyFont="1" applyFill="1" applyAlignment="1"/>
    <xf numFmtId="0" fontId="148" fillId="0" borderId="0" xfId="467" applyFont="1"/>
    <xf numFmtId="164" fontId="8" fillId="0" borderId="0" xfId="467" applyNumberFormat="1"/>
    <xf numFmtId="0" fontId="158" fillId="0" borderId="0" xfId="467" applyFont="1" applyFill="1" applyAlignment="1">
      <alignment horizontal="left"/>
    </xf>
    <xf numFmtId="0" fontId="161" fillId="0" borderId="0" xfId="467" applyFont="1" applyFill="1" applyAlignment="1">
      <alignment horizontal="left"/>
    </xf>
    <xf numFmtId="43" fontId="50" fillId="70" borderId="0" xfId="381" applyFont="1" applyFill="1"/>
    <xf numFmtId="0" fontId="158" fillId="0" borderId="0" xfId="467" applyFont="1"/>
    <xf numFmtId="0" fontId="8" fillId="0" borderId="17" xfId="381" applyNumberFormat="1" applyFont="1" applyFill="1" applyBorder="1"/>
    <xf numFmtId="0" fontId="8" fillId="0" borderId="0" xfId="0" applyFont="1" applyAlignment="1">
      <alignment horizontal="center"/>
    </xf>
    <xf numFmtId="49" fontId="8" fillId="34" borderId="0" xfId="0" applyNumberFormat="1" applyFont="1" applyFill="1" applyBorder="1" applyAlignment="1">
      <alignment horizontal="left"/>
    </xf>
    <xf numFmtId="37" fontId="49" fillId="0" borderId="0" xfId="898" applyNumberFormat="1" applyFont="1" applyFill="1" applyBorder="1" applyAlignment="1">
      <alignment horizontal="right"/>
    </xf>
    <xf numFmtId="10" fontId="50" fillId="0" borderId="0" xfId="633" applyNumberFormat="1" applyFont="1"/>
    <xf numFmtId="164" fontId="12" fillId="0" borderId="0" xfId="0" applyNumberFormat="1" applyFont="1"/>
    <xf numFmtId="3" fontId="12" fillId="0" borderId="0" xfId="0" applyNumberFormat="1" applyFont="1"/>
    <xf numFmtId="43" fontId="12" fillId="0" borderId="0" xfId="381" applyFont="1"/>
    <xf numFmtId="43" fontId="12" fillId="0" borderId="0" xfId="381" applyFont="1" applyFill="1"/>
    <xf numFmtId="0" fontId="8" fillId="0" borderId="0" xfId="0" applyFont="1" applyBorder="1" applyAlignment="1">
      <alignment horizontal="right"/>
    </xf>
    <xf numFmtId="0" fontId="8" fillId="0" borderId="0" xfId="0" applyFont="1" applyBorder="1"/>
    <xf numFmtId="164" fontId="10" fillId="0" borderId="0" xfId="0" applyNumberFormat="1" applyFont="1" applyBorder="1"/>
    <xf numFmtId="0" fontId="8" fillId="0" borderId="0" xfId="0" applyFont="1" applyAlignment="1">
      <alignment horizontal="center"/>
    </xf>
    <xf numFmtId="37" fontId="0" fillId="0" borderId="14" xfId="0" applyNumberFormat="1" applyBorder="1"/>
    <xf numFmtId="164" fontId="9" fillId="0" borderId="0" xfId="0" applyNumberFormat="1" applyFont="1" applyFill="1" applyBorder="1" applyAlignment="1">
      <alignment horizontal="center"/>
    </xf>
    <xf numFmtId="164" fontId="9" fillId="0" borderId="0" xfId="381" applyNumberFormat="1" applyFont="1" applyFill="1" applyBorder="1" applyAlignment="1">
      <alignment horizontal="center"/>
    </xf>
    <xf numFmtId="0" fontId="49" fillId="0" borderId="0" xfId="477" applyFont="1" applyFill="1" applyBorder="1"/>
    <xf numFmtId="41" fontId="0" fillId="0" borderId="0" xfId="0" applyNumberFormat="1" applyBorder="1"/>
    <xf numFmtId="164" fontId="29" fillId="0" borderId="28" xfId="381" applyNumberFormat="1" applyFont="1" applyBorder="1"/>
    <xf numFmtId="167" fontId="29" fillId="0" borderId="28" xfId="420" applyNumberFormat="1" applyFont="1" applyFill="1" applyBorder="1"/>
    <xf numFmtId="164" fontId="29" fillId="0" borderId="49" xfId="381" applyNumberFormat="1" applyFont="1" applyFill="1" applyBorder="1"/>
    <xf numFmtId="0" fontId="8" fillId="34" borderId="0" xfId="467" applyNumberFormat="1" applyFont="1" applyFill="1" applyBorder="1"/>
    <xf numFmtId="0" fontId="9" fillId="0" borderId="0" xfId="0" applyFont="1"/>
    <xf numFmtId="164" fontId="0" fillId="0" borderId="0" xfId="381" applyNumberFormat="1" applyFont="1" applyFill="1"/>
    <xf numFmtId="164" fontId="156" fillId="0" borderId="21" xfId="381" applyNumberFormat="1" applyFont="1" applyFill="1" applyBorder="1"/>
    <xf numFmtId="164" fontId="0" fillId="0" borderId="0" xfId="381" applyNumberFormat="1" applyFont="1" applyBorder="1"/>
    <xf numFmtId="164" fontId="9" fillId="0" borderId="26" xfId="0" applyNumberFormat="1" applyFont="1" applyFill="1" applyBorder="1"/>
    <xf numFmtId="164" fontId="0" fillId="0" borderId="0" xfId="381" applyNumberFormat="1" applyFont="1" applyFill="1" applyBorder="1"/>
    <xf numFmtId="0" fontId="9" fillId="0" borderId="26" xfId="0" applyFont="1" applyBorder="1"/>
    <xf numFmtId="164" fontId="9" fillId="0" borderId="26" xfId="381" applyNumberFormat="1" applyFont="1" applyFill="1" applyBorder="1"/>
    <xf numFmtId="164" fontId="9" fillId="0" borderId="26" xfId="0" applyNumberFormat="1" applyFont="1" applyBorder="1"/>
    <xf numFmtId="186" fontId="9" fillId="0" borderId="0" xfId="0" applyNumberFormat="1" applyFont="1" applyFill="1" applyBorder="1"/>
    <xf numFmtId="186" fontId="0" fillId="0" borderId="0" xfId="0" applyNumberFormat="1" applyFill="1" applyBorder="1"/>
    <xf numFmtId="186" fontId="0" fillId="0" borderId="0" xfId="0" applyNumberFormat="1" applyBorder="1"/>
    <xf numFmtId="186" fontId="9" fillId="0" borderId="0" xfId="0" applyNumberFormat="1" applyFont="1" applyBorder="1"/>
    <xf numFmtId="3" fontId="0" fillId="0" borderId="0" xfId="381" applyNumberFormat="1" applyFont="1" applyBorder="1"/>
    <xf numFmtId="3" fontId="9" fillId="0" borderId="0" xfId="0" applyNumberFormat="1" applyFont="1" applyFill="1" applyBorder="1"/>
    <xf numFmtId="3" fontId="0" fillId="0" borderId="0" xfId="0" applyNumberFormat="1" applyFill="1" applyBorder="1"/>
    <xf numFmtId="3" fontId="0" fillId="0" borderId="0" xfId="0" applyNumberFormat="1" applyBorder="1"/>
    <xf numFmtId="0" fontId="8" fillId="0" borderId="18" xfId="0" applyFont="1" applyFill="1" applyBorder="1"/>
    <xf numFmtId="37" fontId="8" fillId="0" borderId="26" xfId="0" applyNumberFormat="1" applyFont="1" applyFill="1" applyBorder="1"/>
    <xf numFmtId="37" fontId="8" fillId="0" borderId="14" xfId="0" applyNumberFormat="1" applyFont="1" applyFill="1" applyBorder="1"/>
    <xf numFmtId="164" fontId="0" fillId="0" borderId="0" xfId="0" applyNumberFormat="1" applyBorder="1" applyAlignment="1">
      <alignment horizontal="centerContinuous"/>
    </xf>
    <xf numFmtId="164" fontId="9" fillId="0" borderId="0" xfId="381" applyNumberFormat="1" applyFont="1" applyBorder="1" applyAlignment="1">
      <alignment horizontal="center"/>
    </xf>
    <xf numFmtId="164" fontId="10" fillId="0" borderId="0" xfId="0" applyNumberFormat="1" applyFont="1" applyFill="1" applyBorder="1"/>
    <xf numFmtId="43" fontId="9" fillId="0" borderId="26" xfId="381" applyFont="1" applyBorder="1" applyAlignment="1">
      <alignment horizontal="left"/>
    </xf>
    <xf numFmtId="1" fontId="51" fillId="0" borderId="21" xfId="381" applyNumberFormat="1" applyFont="1" applyFill="1" applyBorder="1"/>
    <xf numFmtId="37" fontId="39" fillId="0" borderId="0" xfId="0" applyNumberFormat="1" applyFont="1" applyFill="1" applyBorder="1"/>
    <xf numFmtId="164" fontId="148" fillId="0" borderId="0" xfId="381" applyNumberFormat="1" applyFont="1" applyBorder="1"/>
    <xf numFmtId="164" fontId="52" fillId="0" borderId="0" xfId="381" applyNumberFormat="1" applyFont="1"/>
    <xf numFmtId="164" fontId="35" fillId="0" borderId="0" xfId="381" applyNumberFormat="1" applyFont="1" applyFill="1" applyBorder="1" applyAlignment="1">
      <alignment horizontal="left" wrapText="1"/>
    </xf>
    <xf numFmtId="164" fontId="52" fillId="0" borderId="0" xfId="465" applyNumberFormat="1" applyFont="1"/>
    <xf numFmtId="41" fontId="0" fillId="0" borderId="0" xfId="0" applyNumberFormat="1" applyFill="1" applyBorder="1" applyAlignment="1">
      <alignment horizontal="left"/>
    </xf>
    <xf numFmtId="3" fontId="50" fillId="34" borderId="0" xfId="474" applyNumberFormat="1" applyFont="1" applyFill="1" applyBorder="1"/>
    <xf numFmtId="164" fontId="10" fillId="0" borderId="0" xfId="381" applyNumberFormat="1" applyFont="1"/>
    <xf numFmtId="37" fontId="8" fillId="0" borderId="0" xfId="0" applyNumberFormat="1" applyFont="1" applyFill="1"/>
    <xf numFmtId="164" fontId="18" fillId="34" borderId="0" xfId="381" applyNumberFormat="1" applyFont="1" applyFill="1" applyBorder="1"/>
    <xf numFmtId="164" fontId="9" fillId="34" borderId="26" xfId="465" applyNumberFormat="1" applyFont="1" applyFill="1" applyBorder="1" applyAlignment="1">
      <alignment horizontal="center"/>
    </xf>
    <xf numFmtId="0" fontId="0" fillId="0" borderId="0" xfId="0" applyAlignment="1">
      <alignment horizontal="left"/>
    </xf>
    <xf numFmtId="164" fontId="18" fillId="33" borderId="34" xfId="390" applyNumberFormat="1" applyFont="1" applyFill="1" applyBorder="1" applyAlignment="1">
      <alignment horizontal="right"/>
    </xf>
    <xf numFmtId="164" fontId="18" fillId="33" borderId="28" xfId="390" applyNumberFormat="1" applyFont="1" applyFill="1" applyBorder="1" applyAlignment="1">
      <alignment horizontal="right"/>
    </xf>
    <xf numFmtId="164" fontId="18" fillId="33" borderId="0" xfId="390" applyNumberFormat="1" applyFont="1" applyFill="1" applyBorder="1" applyAlignment="1">
      <alignment horizontal="right"/>
    </xf>
    <xf numFmtId="10" fontId="18" fillId="33" borderId="35" xfId="633" applyNumberFormat="1" applyFont="1" applyFill="1" applyBorder="1" applyAlignment="1">
      <alignment horizontal="right"/>
    </xf>
    <xf numFmtId="43" fontId="10" fillId="0" borderId="81" xfId="381" applyFont="1" applyBorder="1"/>
    <xf numFmtId="164" fontId="9" fillId="33" borderId="0" xfId="381" applyNumberFormat="1" applyFont="1" applyFill="1" applyBorder="1"/>
    <xf numFmtId="43" fontId="0" fillId="0" borderId="0" xfId="0" applyNumberFormat="1"/>
    <xf numFmtId="10" fontId="12" fillId="0" borderId="0" xfId="633" applyNumberFormat="1" applyFont="1"/>
    <xf numFmtId="10" fontId="12" fillId="0" borderId="0" xfId="0" applyNumberFormat="1" applyFont="1"/>
    <xf numFmtId="3" fontId="10" fillId="0" borderId="58" xfId="0" applyNumberFormat="1" applyFont="1" applyFill="1" applyBorder="1" applyAlignment="1">
      <alignment horizontal="right"/>
    </xf>
    <xf numFmtId="3" fontId="10" fillId="0" borderId="0" xfId="0" applyNumberFormat="1" applyFont="1" applyFill="1" applyBorder="1" applyAlignment="1">
      <alignment horizontal="right"/>
    </xf>
    <xf numFmtId="39" fontId="10" fillId="0" borderId="0" xfId="0" applyNumberFormat="1" applyFont="1" applyFill="1" applyBorder="1" applyAlignment="1">
      <alignment horizontal="right"/>
    </xf>
    <xf numFmtId="39" fontId="10" fillId="0" borderId="27" xfId="0" applyNumberFormat="1" applyFont="1" applyFill="1" applyBorder="1" applyAlignment="1">
      <alignment horizontal="right"/>
    </xf>
    <xf numFmtId="43" fontId="10" fillId="0" borderId="52" xfId="381" applyNumberFormat="1" applyFont="1" applyBorder="1" applyAlignment="1"/>
    <xf numFmtId="43" fontId="10" fillId="0" borderId="65" xfId="381" applyNumberFormat="1" applyFont="1" applyBorder="1" applyAlignment="1"/>
    <xf numFmtId="164" fontId="52" fillId="0" borderId="0" xfId="381" applyNumberFormat="1" applyFont="1" applyFill="1" applyBorder="1" applyAlignment="1">
      <alignment horizontal="center"/>
    </xf>
    <xf numFmtId="164" fontId="52" fillId="0" borderId="0" xfId="381" applyNumberFormat="1" applyFont="1" applyFill="1" applyBorder="1" applyAlignment="1"/>
    <xf numFmtId="0" fontId="162" fillId="0" borderId="0" xfId="0" applyFont="1" applyFill="1"/>
    <xf numFmtId="0" fontId="35" fillId="0" borderId="10" xfId="0" applyFont="1" applyBorder="1"/>
    <xf numFmtId="10" fontId="8" fillId="0" borderId="0" xfId="467" applyNumberFormat="1" applyFont="1"/>
    <xf numFmtId="0" fontId="44" fillId="0" borderId="10" xfId="467" applyFont="1" applyFill="1" applyBorder="1" applyAlignment="1">
      <alignment horizontal="left"/>
    </xf>
    <xf numFmtId="0" fontId="44" fillId="0" borderId="0" xfId="467" applyFont="1"/>
    <xf numFmtId="168" fontId="8" fillId="0" borderId="0" xfId="633" applyNumberFormat="1" applyFont="1"/>
    <xf numFmtId="168" fontId="8" fillId="0" borderId="0" xfId="467" applyNumberFormat="1" applyFont="1"/>
    <xf numFmtId="3" fontId="10" fillId="0" borderId="28" xfId="0" applyNumberFormat="1" applyFont="1" applyBorder="1" applyAlignment="1">
      <alignment horizontal="right"/>
    </xf>
    <xf numFmtId="0" fontId="8" fillId="34" borderId="0" xfId="465" applyFont="1" applyFill="1"/>
    <xf numFmtId="0" fontId="18" fillId="0" borderId="39" xfId="465" applyFont="1" applyFill="1" applyBorder="1" applyAlignment="1">
      <alignment horizontal="left" wrapText="1"/>
    </xf>
    <xf numFmtId="0" fontId="18" fillId="0" borderId="40" xfId="465" applyFont="1" applyFill="1" applyBorder="1" applyAlignment="1">
      <alignment horizontal="left" wrapText="1"/>
    </xf>
    <xf numFmtId="0" fontId="18" fillId="0" borderId="41" xfId="465" applyFont="1" applyFill="1" applyBorder="1" applyAlignment="1">
      <alignment horizontal="left" wrapText="1"/>
    </xf>
    <xf numFmtId="0" fontId="83" fillId="0" borderId="0" xfId="467" applyFont="1" applyFill="1"/>
    <xf numFmtId="14" fontId="8" fillId="0" borderId="14" xfId="0" applyNumberFormat="1" applyFont="1" applyFill="1" applyBorder="1" applyAlignment="1">
      <alignment horizontal="center" wrapText="1"/>
    </xf>
    <xf numFmtId="43" fontId="8" fillId="0" borderId="20" xfId="381" applyFont="1" applyFill="1" applyBorder="1"/>
    <xf numFmtId="164" fontId="8" fillId="33" borderId="20" xfId="381" applyNumberFormat="1" applyFont="1" applyFill="1" applyBorder="1"/>
    <xf numFmtId="0" fontId="38" fillId="0" borderId="0" xfId="465" applyNumberFormat="1" applyFont="1" applyFill="1" applyBorder="1" applyAlignment="1">
      <alignment horizontal="left"/>
    </xf>
    <xf numFmtId="3" fontId="24" fillId="0" borderId="0" xfId="465" applyNumberFormat="1" applyFont="1" applyFill="1" applyBorder="1" applyAlignment="1">
      <alignment horizontal="right"/>
    </xf>
    <xf numFmtId="0" fontId="119" fillId="0" borderId="20" xfId="0" applyNumberFormat="1" applyFont="1" applyBorder="1" applyAlignment="1">
      <alignment horizontal="center"/>
    </xf>
    <xf numFmtId="0" fontId="58" fillId="0" borderId="0" xfId="0" applyNumberFormat="1" applyFont="1" applyBorder="1" applyAlignment="1">
      <alignment horizontal="left"/>
    </xf>
    <xf numFmtId="3" fontId="24" fillId="0" borderId="0" xfId="467" applyNumberFormat="1" applyFont="1" applyFill="1" applyBorder="1" applyAlignment="1">
      <alignment horizontal="right"/>
    </xf>
    <xf numFmtId="0" fontId="12" fillId="0" borderId="0" xfId="467" applyNumberFormat="1" applyFont="1" applyFill="1" applyAlignment="1">
      <alignment horizontal="center"/>
    </xf>
    <xf numFmtId="0" fontId="12" fillId="0" borderId="0" xfId="467" applyFont="1" applyFill="1"/>
    <xf numFmtId="0" fontId="10" fillId="0" borderId="0" xfId="467" applyNumberFormat="1" applyFont="1" applyFill="1" applyBorder="1" applyAlignment="1">
      <alignment horizontal="left"/>
    </xf>
    <xf numFmtId="0" fontId="38" fillId="0" borderId="0" xfId="467" applyNumberFormat="1" applyFont="1" applyFill="1" applyBorder="1" applyAlignment="1">
      <alignment horizontal="left"/>
    </xf>
    <xf numFmtId="3" fontId="22" fillId="0" borderId="0" xfId="467" applyNumberFormat="1" applyFont="1" applyFill="1" applyBorder="1" applyAlignment="1">
      <alignment horizontal="right"/>
    </xf>
    <xf numFmtId="164" fontId="12" fillId="0" borderId="0" xfId="467" applyNumberFormat="1" applyFont="1" applyFill="1"/>
    <xf numFmtId="164" fontId="10" fillId="0" borderId="0" xfId="381" applyNumberFormat="1" applyFont="1" applyBorder="1" applyAlignment="1">
      <alignment horizontal="right"/>
    </xf>
    <xf numFmtId="3" fontId="10" fillId="0" borderId="13" xfId="467" applyNumberFormat="1" applyFont="1" applyFill="1" applyBorder="1" applyAlignment="1"/>
    <xf numFmtId="10" fontId="0" fillId="0" borderId="0" xfId="0" applyNumberFormat="1"/>
    <xf numFmtId="8" fontId="0" fillId="0" borderId="0" xfId="0" applyNumberFormat="1"/>
    <xf numFmtId="164" fontId="18" fillId="0" borderId="19" xfId="381" applyNumberFormat="1" applyFont="1" applyFill="1" applyBorder="1"/>
    <xf numFmtId="187" fontId="0" fillId="0" borderId="0" xfId="0" applyNumberFormat="1"/>
    <xf numFmtId="164" fontId="50" fillId="0" borderId="0" xfId="381" applyNumberFormat="1" applyFont="1" applyAlignment="1">
      <alignment horizontal="center"/>
    </xf>
    <xf numFmtId="43" fontId="51" fillId="0" borderId="0" xfId="0" applyNumberFormat="1" applyFont="1" applyFill="1" applyBorder="1"/>
    <xf numFmtId="9" fontId="51" fillId="0" borderId="0" xfId="633" applyFont="1" applyFill="1" applyBorder="1"/>
    <xf numFmtId="164" fontId="51" fillId="0" borderId="0" xfId="0" applyNumberFormat="1" applyFont="1" applyFill="1" applyBorder="1"/>
    <xf numFmtId="0" fontId="166" fillId="0" borderId="0" xfId="0" applyFont="1" applyBorder="1" applyAlignment="1">
      <alignment wrapText="1"/>
    </xf>
    <xf numFmtId="164" fontId="156" fillId="0" borderId="0" xfId="381" applyNumberFormat="1" applyFont="1" applyFill="1" applyBorder="1"/>
    <xf numFmtId="189" fontId="166" fillId="0" borderId="0" xfId="0" applyNumberFormat="1" applyFont="1" applyBorder="1" applyAlignment="1">
      <alignment wrapText="1"/>
    </xf>
    <xf numFmtId="0" fontId="156" fillId="0" borderId="0" xfId="0" applyFont="1" applyFill="1" applyBorder="1"/>
    <xf numFmtId="0" fontId="167" fillId="0" borderId="0" xfId="0" applyFont="1" applyFill="1" applyBorder="1"/>
    <xf numFmtId="0" fontId="165" fillId="0" borderId="0" xfId="0" applyFont="1" applyFill="1"/>
    <xf numFmtId="0" fontId="165" fillId="0" borderId="0" xfId="0" applyFont="1"/>
    <xf numFmtId="0" fontId="168" fillId="0" borderId="0" xfId="0" applyFont="1" applyFill="1" applyBorder="1"/>
    <xf numFmtId="0" fontId="165" fillId="0" borderId="0" xfId="0" applyFont="1" applyFill="1" applyAlignment="1">
      <alignment horizontal="left" vertical="top" wrapText="1"/>
    </xf>
    <xf numFmtId="0" fontId="165" fillId="0" borderId="0" xfId="0" applyFont="1" applyAlignment="1">
      <alignment horizontal="left" vertical="top" wrapText="1"/>
    </xf>
    <xf numFmtId="0" fontId="169" fillId="0" borderId="0" xfId="0" applyFont="1" applyFill="1" applyAlignment="1">
      <alignment horizontal="left" vertical="top"/>
    </xf>
    <xf numFmtId="0" fontId="165" fillId="0" borderId="0" xfId="0" applyFont="1" applyFill="1" applyAlignment="1">
      <alignment horizontal="center" vertical="top" wrapText="1"/>
    </xf>
    <xf numFmtId="14" fontId="170" fillId="0" borderId="0" xfId="0" applyNumberFormat="1" applyFont="1" applyFill="1" applyBorder="1" applyAlignment="1">
      <alignment horizontal="center" wrapText="1"/>
    </xf>
    <xf numFmtId="0" fontId="165" fillId="0" borderId="0" xfId="0" applyFont="1" applyFill="1" applyAlignment="1">
      <alignment horizontal="center" wrapText="1"/>
    </xf>
    <xf numFmtId="0" fontId="165" fillId="0" borderId="14" xfId="0" applyFont="1" applyFill="1" applyBorder="1" applyAlignment="1">
      <alignment wrapText="1"/>
    </xf>
    <xf numFmtId="0" fontId="165" fillId="0" borderId="14" xfId="0" applyFont="1" applyFill="1" applyBorder="1" applyAlignment="1">
      <alignment horizontal="center" wrapText="1"/>
    </xf>
    <xf numFmtId="14" fontId="165" fillId="0" borderId="14" xfId="0" applyNumberFormat="1" applyFont="1" applyFill="1" applyBorder="1" applyAlignment="1">
      <alignment horizontal="center" wrapText="1"/>
    </xf>
    <xf numFmtId="0" fontId="165" fillId="0" borderId="0" xfId="0" applyFont="1" applyFill="1" applyAlignment="1">
      <alignment horizontal="center"/>
    </xf>
    <xf numFmtId="164" fontId="165" fillId="0" borderId="0" xfId="381" applyNumberFormat="1" applyFont="1" applyFill="1"/>
    <xf numFmtId="0" fontId="165" fillId="0" borderId="0" xfId="0" applyFont="1" applyFill="1" applyBorder="1" applyAlignment="1">
      <alignment horizontal="center"/>
    </xf>
    <xf numFmtId="43" fontId="165" fillId="0" borderId="0" xfId="381" applyFont="1" applyFill="1" applyAlignment="1">
      <alignment horizontal="center"/>
    </xf>
    <xf numFmtId="164" fontId="165" fillId="0" borderId="0" xfId="381" applyNumberFormat="1" applyFont="1" applyFill="1" applyAlignment="1">
      <alignment horizontal="center"/>
    </xf>
    <xf numFmtId="41" fontId="165" fillId="0" borderId="0" xfId="1158" applyFont="1" applyFill="1" applyBorder="1"/>
    <xf numFmtId="164" fontId="0" fillId="0" borderId="0" xfId="1157" applyNumberFormat="1" applyFont="1" applyFill="1"/>
    <xf numFmtId="43" fontId="165" fillId="0" borderId="0" xfId="381" applyFont="1" applyFill="1" applyBorder="1" applyAlignment="1">
      <alignment horizontal="center"/>
    </xf>
    <xf numFmtId="164" fontId="165" fillId="0" borderId="0" xfId="381" applyNumberFormat="1" applyFont="1" applyFill="1" applyBorder="1" applyAlignment="1">
      <alignment horizontal="center"/>
    </xf>
    <xf numFmtId="0" fontId="165" fillId="0" borderId="12" xfId="0" applyFont="1" applyFill="1" applyBorder="1"/>
    <xf numFmtId="41" fontId="165" fillId="0" borderId="13" xfId="1158" applyFont="1" applyFill="1" applyBorder="1"/>
    <xf numFmtId="0" fontId="165" fillId="0" borderId="0" xfId="0" applyFont="1" applyFill="1" applyBorder="1"/>
    <xf numFmtId="43" fontId="165" fillId="0" borderId="0" xfId="0" applyNumberFormat="1" applyFont="1" applyFill="1" applyBorder="1"/>
    <xf numFmtId="41" fontId="165" fillId="0" borderId="0" xfId="0" applyNumberFormat="1" applyFont="1"/>
    <xf numFmtId="0" fontId="165" fillId="0" borderId="0" xfId="0" applyFont="1" applyAlignment="1">
      <alignment horizontal="left" wrapText="1"/>
    </xf>
    <xf numFmtId="0" fontId="165" fillId="0" borderId="0" xfId="0" applyFont="1" applyFill="1" applyAlignment="1">
      <alignment horizontal="center" vertical="top"/>
    </xf>
    <xf numFmtId="0" fontId="165" fillId="0" borderId="0" xfId="0" applyFont="1" applyAlignment="1">
      <alignment vertical="top"/>
    </xf>
    <xf numFmtId="0" fontId="170" fillId="0" borderId="0" xfId="0" applyFont="1" applyAlignment="1">
      <alignment vertical="top"/>
    </xf>
    <xf numFmtId="0" fontId="170" fillId="0" borderId="0" xfId="0" applyFont="1" applyFill="1" applyAlignment="1">
      <alignment horizontal="center" vertical="top"/>
    </xf>
    <xf numFmtId="0" fontId="170" fillId="0" borderId="0" xfId="0" applyFont="1" applyAlignment="1">
      <alignment horizontal="left" vertical="top"/>
    </xf>
    <xf numFmtId="164" fontId="49" fillId="0" borderId="0" xfId="381" applyNumberFormat="1" applyFont="1" applyFill="1" applyBorder="1" applyAlignment="1"/>
    <xf numFmtId="167" fontId="29" fillId="33" borderId="0" xfId="422" applyNumberFormat="1" applyFont="1" applyFill="1" applyAlignment="1">
      <alignment horizontal="left"/>
    </xf>
    <xf numFmtId="0" fontId="12" fillId="0" borderId="0" xfId="467" applyFont="1"/>
    <xf numFmtId="167" fontId="29" fillId="0" borderId="0" xfId="422" applyNumberFormat="1" applyFont="1" applyFill="1" applyAlignment="1">
      <alignment horizontal="left"/>
    </xf>
    <xf numFmtId="0" fontId="0" fillId="0" borderId="0" xfId="0" applyAlignment="1">
      <alignment horizontal="left"/>
    </xf>
    <xf numFmtId="43" fontId="18" fillId="0" borderId="0" xfId="381" applyFont="1" applyFill="1" applyBorder="1" applyAlignment="1"/>
    <xf numFmtId="43" fontId="18" fillId="0" borderId="0" xfId="381" applyFont="1" applyFill="1" applyBorder="1" applyAlignment="1">
      <alignment horizontal="right"/>
    </xf>
    <xf numFmtId="43" fontId="18" fillId="0" borderId="0" xfId="381" applyFont="1" applyFill="1" applyBorder="1" applyAlignment="1">
      <alignment horizontal="left"/>
    </xf>
    <xf numFmtId="3" fontId="35" fillId="33" borderId="20" xfId="465" applyNumberFormat="1" applyFont="1" applyFill="1" applyBorder="1" applyAlignment="1">
      <alignment horizontal="right"/>
    </xf>
    <xf numFmtId="3" fontId="35" fillId="33" borderId="0" xfId="465" applyNumberFormat="1" applyFont="1" applyFill="1" applyBorder="1" applyAlignment="1">
      <alignment horizontal="right"/>
    </xf>
    <xf numFmtId="37" fontId="0" fillId="34" borderId="19" xfId="0" applyNumberFormat="1" applyFill="1" applyBorder="1"/>
    <xf numFmtId="10" fontId="12" fillId="33" borderId="35" xfId="633" applyNumberFormat="1" applyFont="1" applyFill="1" applyBorder="1" applyAlignment="1">
      <alignment horizontal="right"/>
    </xf>
    <xf numFmtId="168" fontId="12" fillId="33" borderId="35" xfId="633" applyNumberFormat="1" applyFont="1" applyFill="1" applyBorder="1"/>
    <xf numFmtId="0" fontId="166" fillId="0" borderId="0" xfId="0" applyFont="1" applyFill="1" applyBorder="1" applyAlignment="1">
      <alignment wrapText="1"/>
    </xf>
    <xf numFmtId="189" fontId="166" fillId="0" borderId="0" xfId="0" applyNumberFormat="1" applyFont="1" applyFill="1" applyBorder="1" applyAlignment="1">
      <alignment wrapText="1"/>
    </xf>
    <xf numFmtId="0" fontId="0" fillId="0" borderId="0" xfId="0" applyAlignment="1">
      <alignment horizontal="left"/>
    </xf>
    <xf numFmtId="0" fontId="165" fillId="0" borderId="0" xfId="0" applyFont="1" applyFill="1" applyAlignment="1">
      <alignment horizontal="left" vertical="top" wrapText="1"/>
    </xf>
    <xf numFmtId="164" fontId="56" fillId="0" borderId="0" xfId="381" applyNumberFormat="1" applyFont="1" applyFill="1" applyBorder="1" applyAlignment="1"/>
    <xf numFmtId="3" fontId="35" fillId="33" borderId="22" xfId="465" applyNumberFormat="1" applyFont="1" applyFill="1" applyBorder="1" applyAlignment="1">
      <alignment horizontal="right"/>
    </xf>
    <xf numFmtId="3" fontId="35" fillId="33" borderId="10" xfId="465" applyNumberFormat="1" applyFont="1" applyFill="1" applyBorder="1" applyAlignment="1">
      <alignment horizontal="right"/>
    </xf>
    <xf numFmtId="164" fontId="171" fillId="0" borderId="0" xfId="381" applyNumberFormat="1" applyFont="1"/>
    <xf numFmtId="173" fontId="12" fillId="0" borderId="0" xfId="0" applyNumberFormat="1" applyFont="1"/>
    <xf numFmtId="164" fontId="12" fillId="0" borderId="0" xfId="0" applyNumberFormat="1" applyFont="1" applyFill="1"/>
    <xf numFmtId="164" fontId="10" fillId="0" borderId="0" xfId="0" applyNumberFormat="1" applyFont="1"/>
    <xf numFmtId="10" fontId="29" fillId="0" borderId="0" xfId="633" applyNumberFormat="1" applyFont="1"/>
    <xf numFmtId="43" fontId="12" fillId="0" borderId="28" xfId="381" applyNumberFormat="1" applyFont="1" applyFill="1" applyBorder="1"/>
    <xf numFmtId="164" fontId="12" fillId="69" borderId="52" xfId="381" applyNumberFormat="1" applyFont="1" applyFill="1" applyBorder="1"/>
    <xf numFmtId="164" fontId="8" fillId="0" borderId="12" xfId="467" applyNumberFormat="1" applyFont="1" applyFill="1" applyBorder="1"/>
    <xf numFmtId="0" fontId="79" fillId="0" borderId="0" xfId="0" applyFont="1"/>
    <xf numFmtId="0" fontId="8" fillId="0" borderId="0" xfId="0" applyFont="1" applyAlignment="1">
      <alignment horizontal="center"/>
    </xf>
    <xf numFmtId="0" fontId="0" fillId="0" borderId="0" xfId="0" applyAlignment="1">
      <alignment horizontal="center"/>
    </xf>
    <xf numFmtId="165" fontId="8" fillId="31" borderId="0" xfId="498" applyNumberFormat="1" applyFont="1" applyFill="1" applyAlignment="1">
      <alignment horizontal="center"/>
    </xf>
    <xf numFmtId="0" fontId="78" fillId="0" borderId="0" xfId="0" applyFont="1"/>
    <xf numFmtId="170" fontId="90" fillId="0" borderId="0" xfId="550" applyFont="1" applyFill="1" applyAlignment="1" applyProtection="1">
      <alignment horizontal="left" wrapText="1"/>
      <protection locked="0"/>
    </xf>
    <xf numFmtId="0" fontId="90" fillId="0" borderId="0" xfId="0" applyFont="1" applyFill="1" applyAlignment="1">
      <alignment horizontal="left" wrapText="1"/>
    </xf>
    <xf numFmtId="0" fontId="90" fillId="0" borderId="0" xfId="0" applyFont="1" applyFill="1" applyBorder="1" applyAlignment="1">
      <alignment horizontal="left" wrapText="1"/>
    </xf>
    <xf numFmtId="0" fontId="90" fillId="0" borderId="0" xfId="0" applyNumberFormat="1" applyFont="1" applyFill="1" applyAlignment="1">
      <alignment horizontal="left" wrapText="1"/>
    </xf>
    <xf numFmtId="0" fontId="90" fillId="0" borderId="0" xfId="0" applyFont="1" applyFill="1" applyBorder="1" applyAlignment="1">
      <alignment horizontal="left"/>
    </xf>
    <xf numFmtId="0" fontId="34" fillId="0" borderId="27" xfId="0" applyFont="1" applyFill="1" applyBorder="1" applyAlignment="1">
      <alignment horizontal="left" wrapText="1"/>
    </xf>
    <xf numFmtId="0" fontId="34" fillId="0" borderId="0" xfId="0" applyFont="1" applyFill="1" applyBorder="1" applyAlignment="1">
      <alignment horizontal="left" wrapText="1"/>
    </xf>
    <xf numFmtId="0" fontId="34" fillId="0" borderId="58" xfId="0" applyFont="1" applyFill="1" applyBorder="1" applyAlignment="1">
      <alignment horizontal="left" wrapText="1"/>
    </xf>
    <xf numFmtId="0" fontId="34" fillId="0" borderId="27" xfId="0" applyFont="1" applyBorder="1" applyAlignment="1">
      <alignment horizontal="left" wrapText="1"/>
    </xf>
    <xf numFmtId="0" fontId="34" fillId="0" borderId="0" xfId="0" applyFont="1" applyBorder="1" applyAlignment="1">
      <alignment horizontal="left" wrapText="1"/>
    </xf>
    <xf numFmtId="0" fontId="34" fillId="0" borderId="58" xfId="0" applyFont="1" applyBorder="1" applyAlignment="1">
      <alignment horizontal="left" wrapText="1"/>
    </xf>
    <xf numFmtId="0" fontId="21" fillId="0" borderId="0" xfId="0" applyFont="1" applyAlignment="1">
      <alignment horizontal="center"/>
    </xf>
    <xf numFmtId="0" fontId="41" fillId="0" borderId="0" xfId="0" applyFont="1" applyAlignment="1"/>
    <xf numFmtId="0" fontId="0" fillId="0" borderId="0" xfId="0" applyAlignment="1"/>
    <xf numFmtId="164" fontId="0" fillId="0" borderId="0" xfId="381" applyNumberFormat="1" applyFont="1" applyBorder="1" applyAlignment="1">
      <alignment horizontal="center"/>
    </xf>
    <xf numFmtId="0" fontId="10" fillId="0" borderId="0" xfId="0" applyFont="1" applyAlignment="1">
      <alignment horizontal="center"/>
    </xf>
    <xf numFmtId="0" fontId="12" fillId="0" borderId="0" xfId="0" applyFont="1" applyAlignment="1">
      <alignment horizontal="center"/>
    </xf>
    <xf numFmtId="0" fontId="18" fillId="0" borderId="0" xfId="0" applyFont="1" applyAlignment="1"/>
    <xf numFmtId="0" fontId="55" fillId="0" borderId="0" xfId="0" applyFont="1" applyAlignment="1">
      <alignment horizontal="center" wrapText="1"/>
    </xf>
    <xf numFmtId="0" fontId="0" fillId="0" borderId="0" xfId="0" applyBorder="1" applyAlignment="1">
      <alignment horizontal="left" wrapText="1"/>
    </xf>
    <xf numFmtId="0" fontId="78" fillId="0" borderId="0" xfId="0" applyFont="1" applyAlignment="1">
      <alignment horizontal="left" wrapText="1"/>
    </xf>
    <xf numFmtId="0" fontId="9" fillId="0" borderId="0" xfId="465" applyFont="1" applyFill="1" applyBorder="1" applyAlignment="1">
      <alignment horizontal="center" wrapText="1"/>
    </xf>
    <xf numFmtId="0" fontId="18" fillId="0" borderId="0" xfId="465" applyFont="1" applyFill="1" applyBorder="1" applyAlignment="1">
      <alignment horizontal="center" wrapText="1"/>
    </xf>
    <xf numFmtId="0" fontId="18" fillId="0" borderId="21" xfId="465" applyFont="1" applyFill="1" applyBorder="1" applyAlignment="1">
      <alignment horizontal="center" wrapText="1"/>
    </xf>
    <xf numFmtId="0" fontId="9" fillId="0" borderId="25" xfId="465" applyFont="1" applyFill="1" applyBorder="1" applyAlignment="1">
      <alignment horizontal="center"/>
    </xf>
    <xf numFmtId="0" fontId="9" fillId="0" borderId="24" xfId="465" applyFont="1" applyFill="1" applyBorder="1" applyAlignment="1">
      <alignment horizontal="center"/>
    </xf>
    <xf numFmtId="0" fontId="9" fillId="0" borderId="24" xfId="465" applyFont="1" applyFill="1" applyBorder="1" applyAlignment="1">
      <alignment horizontal="center" wrapText="1"/>
    </xf>
    <xf numFmtId="0" fontId="18" fillId="0" borderId="24" xfId="465" applyFont="1" applyFill="1" applyBorder="1" applyAlignment="1">
      <alignment horizontal="center" wrapText="1"/>
    </xf>
    <xf numFmtId="0" fontId="18" fillId="0" borderId="29" xfId="465" applyFont="1" applyFill="1" applyBorder="1" applyAlignment="1">
      <alignment horizontal="center" wrapText="1"/>
    </xf>
    <xf numFmtId="0" fontId="88" fillId="0" borderId="25" xfId="465" applyFont="1" applyFill="1" applyBorder="1" applyAlignment="1">
      <alignment horizontal="center"/>
    </xf>
    <xf numFmtId="0" fontId="88" fillId="0" borderId="24" xfId="465" applyFont="1" applyFill="1" applyBorder="1" applyAlignment="1">
      <alignment horizontal="center"/>
    </xf>
    <xf numFmtId="0" fontId="88" fillId="0" borderId="29" xfId="465" applyFont="1" applyFill="1" applyBorder="1" applyAlignment="1">
      <alignment horizontal="center"/>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9" fillId="0" borderId="29" xfId="465" applyFont="1" applyFill="1" applyBorder="1" applyAlignment="1">
      <alignment horizontal="center"/>
    </xf>
    <xf numFmtId="0" fontId="104" fillId="0" borderId="0" xfId="465" applyFont="1" applyFill="1" applyBorder="1" applyAlignment="1">
      <alignment horizontal="center"/>
    </xf>
    <xf numFmtId="0" fontId="9" fillId="0" borderId="16" xfId="465" applyFont="1" applyFill="1" applyBorder="1" applyAlignment="1">
      <alignment horizontal="center"/>
    </xf>
    <xf numFmtId="0" fontId="9" fillId="0" borderId="15" xfId="465" applyFont="1" applyFill="1" applyBorder="1" applyAlignment="1">
      <alignment horizontal="center"/>
    </xf>
    <xf numFmtId="0" fontId="9" fillId="0" borderId="71" xfId="465" applyFont="1" applyFill="1" applyBorder="1" applyAlignment="1">
      <alignment horizontal="center"/>
    </xf>
    <xf numFmtId="0" fontId="9" fillId="0" borderId="15" xfId="465" applyFont="1" applyFill="1" applyBorder="1" applyAlignment="1">
      <alignment horizontal="center" wrapText="1"/>
    </xf>
    <xf numFmtId="0" fontId="8" fillId="0" borderId="15" xfId="465" applyFont="1" applyFill="1" applyBorder="1" applyAlignment="1">
      <alignment horizontal="center" wrapText="1"/>
    </xf>
    <xf numFmtId="0" fontId="8" fillId="0" borderId="71" xfId="465" applyFont="1" applyFill="1" applyBorder="1" applyAlignment="1">
      <alignment horizontal="center" wrapText="1"/>
    </xf>
    <xf numFmtId="0" fontId="9" fillId="0" borderId="29" xfId="465" applyFont="1" applyFill="1" applyBorder="1" applyAlignment="1">
      <alignment horizontal="center" wrapText="1"/>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alignment horizontal="center" wrapText="1"/>
    </xf>
    <xf numFmtId="0" fontId="8" fillId="0" borderId="21" xfId="465" applyFont="1" applyFill="1" applyBorder="1" applyAlignment="1">
      <alignment horizontal="center" wrapText="1"/>
    </xf>
    <xf numFmtId="0" fontId="50" fillId="0" borderId="0" xfId="467" applyNumberFormat="1" applyFont="1" applyAlignment="1">
      <alignment horizontal="left"/>
    </xf>
    <xf numFmtId="0" fontId="153" fillId="0" borderId="0" xfId="467" applyFont="1" applyAlignment="1">
      <alignment horizontal="center" wrapText="1"/>
    </xf>
    <xf numFmtId="43" fontId="50" fillId="34" borderId="0" xfId="381" applyFont="1" applyFill="1" applyAlignment="1">
      <alignment horizontal="left" wrapText="1"/>
    </xf>
    <xf numFmtId="0" fontId="21" fillId="0" borderId="0" xfId="467" applyFont="1" applyAlignment="1">
      <alignment horizontal="center"/>
    </xf>
    <xf numFmtId="0" fontId="0" fillId="0" borderId="0" xfId="0" applyAlignment="1">
      <alignment horizontal="left"/>
    </xf>
    <xf numFmtId="0" fontId="10" fillId="0" borderId="0" xfId="467" applyFont="1" applyAlignment="1">
      <alignment horizontal="center"/>
    </xf>
    <xf numFmtId="0" fontId="120" fillId="0" borderId="0" xfId="0" applyFont="1" applyAlignment="1">
      <alignment horizontal="left" wrapText="1"/>
    </xf>
    <xf numFmtId="0" fontId="120" fillId="0" borderId="0" xfId="0" applyFont="1" applyFill="1" applyAlignment="1">
      <alignment horizontal="left" wrapText="1"/>
    </xf>
    <xf numFmtId="0" fontId="39" fillId="0" borderId="20" xfId="467" applyFont="1" applyFill="1" applyBorder="1" applyAlignment="1">
      <alignment horizontal="center"/>
    </xf>
    <xf numFmtId="0" fontId="8" fillId="0" borderId="0" xfId="467" applyFont="1" applyFill="1" applyBorder="1" applyAlignment="1">
      <alignment horizontal="center"/>
    </xf>
    <xf numFmtId="0" fontId="8" fillId="0" borderId="21" xfId="467" applyFont="1" applyFill="1" applyBorder="1" applyAlignment="1">
      <alignment horizontal="center"/>
    </xf>
    <xf numFmtId="0" fontId="39" fillId="0" borderId="25" xfId="467" applyFont="1" applyFill="1" applyBorder="1" applyAlignment="1">
      <alignment horizontal="center"/>
    </xf>
    <xf numFmtId="0" fontId="8" fillId="0" borderId="24" xfId="467" applyFont="1" applyFill="1" applyBorder="1" applyAlignment="1">
      <alignment horizontal="center"/>
    </xf>
    <xf numFmtId="0" fontId="8" fillId="0" borderId="29" xfId="467" applyFont="1" applyFill="1" applyBorder="1" applyAlignment="1">
      <alignment horizontal="center"/>
    </xf>
    <xf numFmtId="0" fontId="0" fillId="0" borderId="0" xfId="0" applyAlignment="1">
      <alignment horizontal="left" wrapText="1"/>
    </xf>
    <xf numFmtId="0" fontId="165" fillId="0" borderId="0" xfId="0" applyFont="1" applyAlignment="1">
      <alignment horizontal="left" vertical="top" wrapText="1"/>
    </xf>
    <xf numFmtId="0" fontId="165" fillId="0" borderId="0" xfId="0" applyFont="1" applyFill="1" applyAlignment="1">
      <alignment horizontal="left" vertical="top" wrapText="1"/>
    </xf>
    <xf numFmtId="164" fontId="12" fillId="72" borderId="52" xfId="381" applyNumberFormat="1" applyFont="1" applyFill="1" applyBorder="1"/>
  </cellXfs>
  <cellStyles count="1159">
    <cellStyle name=" 1" xfId="1"/>
    <cellStyle name=" 1 2" xfId="2"/>
    <cellStyle name=" 1 2 2" xfId="3"/>
    <cellStyle name=" 1 3" xfId="4"/>
    <cellStyle name="20% - Accent1" xfId="722" builtinId="30" customBuiltin="1"/>
    <cellStyle name="20% - Accent1 10" xfId="5"/>
    <cellStyle name="20% - Accent1 11" xfId="6"/>
    <cellStyle name="20% - Accent1 12" xfId="7"/>
    <cellStyle name="20% - Accent1 13" xfId="8"/>
    <cellStyle name="20% - Accent1 14" xfId="788"/>
    <cellStyle name="20% - Accent1 14 2" xfId="940"/>
    <cellStyle name="20% - Accent1 14 3" xfId="1068"/>
    <cellStyle name="20% - Accent1 15" xfId="901"/>
    <cellStyle name="20% - Accent1 16" xfId="1029"/>
    <cellStyle name="20% - Accent1 2" xfId="9"/>
    <cellStyle name="20% - Accent1 2 2" xfId="10"/>
    <cellStyle name="20% - Accent1 2 3" xfId="11"/>
    <cellStyle name="20% - Accent1 2_10-15-10-Stmt AU - Period I - Working 1 0" xfId="12"/>
    <cellStyle name="20% - Accent1 3" xfId="13"/>
    <cellStyle name="20% - Accent1 3 2" xfId="14"/>
    <cellStyle name="20% - Accent1 3 3" xfId="15"/>
    <cellStyle name="20% - Accent1 3_10-15-10-Stmt AU - Period I - Working 1 0" xfId="16"/>
    <cellStyle name="20% - Accent1 4" xfId="17"/>
    <cellStyle name="20% - Accent1 4 2" xfId="18"/>
    <cellStyle name="20% - Accent1 4 3" xfId="19"/>
    <cellStyle name="20% - Accent1 4_10-15-10-Stmt AU - Period I - Working 1 0" xfId="20"/>
    <cellStyle name="20% - Accent1 5" xfId="21"/>
    <cellStyle name="20% - Accent1 5 2" xfId="22"/>
    <cellStyle name="20% - Accent1 5 3" xfId="23"/>
    <cellStyle name="20% - Accent1 5_10-15-10-Stmt AU - Period I - Working 1 0" xfId="24"/>
    <cellStyle name="20% - Accent1 6" xfId="25"/>
    <cellStyle name="20% - Accent1 6 2" xfId="26"/>
    <cellStyle name="20% - Accent1 6 3" xfId="27"/>
    <cellStyle name="20% - Accent1 6_10-15-10-Stmt AU - Period I - Working 1 0" xfId="28"/>
    <cellStyle name="20% - Accent1 7" xfId="29"/>
    <cellStyle name="20% - Accent1 7 2" xfId="30"/>
    <cellStyle name="20% - Accent1 7 3" xfId="31"/>
    <cellStyle name="20% - Accent1 7_10-15-10-Stmt AU - Period I - Working 1 0" xfId="32"/>
    <cellStyle name="20% - Accent1 8" xfId="33"/>
    <cellStyle name="20% - Accent1 9" xfId="34"/>
    <cellStyle name="20% - Accent2" xfId="726" builtinId="34" customBuiltin="1"/>
    <cellStyle name="20% - Accent2 10" xfId="35"/>
    <cellStyle name="20% - Accent2 11" xfId="36"/>
    <cellStyle name="20% - Accent2 12" xfId="37"/>
    <cellStyle name="20% - Accent2 13" xfId="38"/>
    <cellStyle name="20% - Accent2 14" xfId="789"/>
    <cellStyle name="20% - Accent2 14 2" xfId="941"/>
    <cellStyle name="20% - Accent2 14 3" xfId="1069"/>
    <cellStyle name="20% - Accent2 15" xfId="903"/>
    <cellStyle name="20% - Accent2 16" xfId="1031"/>
    <cellStyle name="20% - Accent2 2" xfId="39"/>
    <cellStyle name="20% - Accent2 2 2" xfId="40"/>
    <cellStyle name="20% - Accent2 2 3" xfId="41"/>
    <cellStyle name="20% - Accent2 2_10-15-10-Stmt AU - Period I - Working 1 0" xfId="42"/>
    <cellStyle name="20% - Accent2 3" xfId="43"/>
    <cellStyle name="20% - Accent2 3 2" xfId="44"/>
    <cellStyle name="20% - Accent2 3 3" xfId="45"/>
    <cellStyle name="20% - Accent2 3_10-15-10-Stmt AU - Period I - Working 1 0" xfId="46"/>
    <cellStyle name="20% - Accent2 4" xfId="47"/>
    <cellStyle name="20% - Accent2 4 2" xfId="48"/>
    <cellStyle name="20% - Accent2 4 3" xfId="49"/>
    <cellStyle name="20% - Accent2 4_10-15-10-Stmt AU - Period I - Working 1 0" xfId="50"/>
    <cellStyle name="20% - Accent2 5" xfId="51"/>
    <cellStyle name="20% - Accent2 5 2" xfId="52"/>
    <cellStyle name="20% - Accent2 5 3" xfId="53"/>
    <cellStyle name="20% - Accent2 5_10-15-10-Stmt AU - Period I - Working 1 0" xfId="54"/>
    <cellStyle name="20% - Accent2 6" xfId="55"/>
    <cellStyle name="20% - Accent2 6 2" xfId="56"/>
    <cellStyle name="20% - Accent2 6 3" xfId="57"/>
    <cellStyle name="20% - Accent2 6_10-15-10-Stmt AU - Period I - Working 1 0" xfId="58"/>
    <cellStyle name="20% - Accent2 7" xfId="59"/>
    <cellStyle name="20% - Accent2 7 2" xfId="60"/>
    <cellStyle name="20% - Accent2 7 3" xfId="61"/>
    <cellStyle name="20% - Accent2 7_10-15-10-Stmt AU - Period I - Working 1 0" xfId="62"/>
    <cellStyle name="20% - Accent2 8" xfId="63"/>
    <cellStyle name="20% - Accent2 9" xfId="64"/>
    <cellStyle name="20% - Accent3" xfId="730" builtinId="38" customBuiltin="1"/>
    <cellStyle name="20% - Accent3 10" xfId="65"/>
    <cellStyle name="20% - Accent3 11" xfId="66"/>
    <cellStyle name="20% - Accent3 12" xfId="67"/>
    <cellStyle name="20% - Accent3 13" xfId="68"/>
    <cellStyle name="20% - Accent3 14" xfId="790"/>
    <cellStyle name="20% - Accent3 14 2" xfId="942"/>
    <cellStyle name="20% - Accent3 14 3" xfId="1070"/>
    <cellStyle name="20% - Accent3 15" xfId="905"/>
    <cellStyle name="20% - Accent3 16" xfId="1033"/>
    <cellStyle name="20% - Accent3 2" xfId="69"/>
    <cellStyle name="20% - Accent3 2 2" xfId="70"/>
    <cellStyle name="20% - Accent3 2 3" xfId="71"/>
    <cellStyle name="20% - Accent3 2_10-15-10-Stmt AU - Period I - Working 1 0" xfId="72"/>
    <cellStyle name="20% - Accent3 3" xfId="73"/>
    <cellStyle name="20% - Accent3 3 2" xfId="74"/>
    <cellStyle name="20% - Accent3 3 3" xfId="75"/>
    <cellStyle name="20% - Accent3 3_10-15-10-Stmt AU - Period I - Working 1 0" xfId="76"/>
    <cellStyle name="20% - Accent3 4" xfId="77"/>
    <cellStyle name="20% - Accent3 4 2" xfId="78"/>
    <cellStyle name="20% - Accent3 4 3" xfId="79"/>
    <cellStyle name="20% - Accent3 4_10-15-10-Stmt AU - Period I - Working 1 0" xfId="80"/>
    <cellStyle name="20% - Accent3 5" xfId="81"/>
    <cellStyle name="20% - Accent3 5 2" xfId="82"/>
    <cellStyle name="20% - Accent3 5 3" xfId="83"/>
    <cellStyle name="20% - Accent3 5_10-15-10-Stmt AU - Period I - Working 1 0" xfId="84"/>
    <cellStyle name="20% - Accent3 6" xfId="85"/>
    <cellStyle name="20% - Accent3 6 2" xfId="86"/>
    <cellStyle name="20% - Accent3 6 3" xfId="87"/>
    <cellStyle name="20% - Accent3 6_10-15-10-Stmt AU - Period I - Working 1 0" xfId="88"/>
    <cellStyle name="20% - Accent3 7" xfId="89"/>
    <cellStyle name="20% - Accent3 7 2" xfId="90"/>
    <cellStyle name="20% - Accent3 7 3" xfId="91"/>
    <cellStyle name="20% - Accent3 7_10-15-10-Stmt AU - Period I - Working 1 0" xfId="92"/>
    <cellStyle name="20% - Accent3 8" xfId="93"/>
    <cellStyle name="20% - Accent3 9" xfId="94"/>
    <cellStyle name="20% - Accent4" xfId="734" builtinId="42" customBuiltin="1"/>
    <cellStyle name="20% - Accent4 10" xfId="95"/>
    <cellStyle name="20% - Accent4 11" xfId="96"/>
    <cellStyle name="20% - Accent4 12" xfId="97"/>
    <cellStyle name="20% - Accent4 13" xfId="98"/>
    <cellStyle name="20% - Accent4 14" xfId="791"/>
    <cellStyle name="20% - Accent4 14 2" xfId="943"/>
    <cellStyle name="20% - Accent4 14 3" xfId="1071"/>
    <cellStyle name="20% - Accent4 15" xfId="907"/>
    <cellStyle name="20% - Accent4 16" xfId="1035"/>
    <cellStyle name="20% - Accent4 2" xfId="99"/>
    <cellStyle name="20% - Accent4 2 2" xfId="100"/>
    <cellStyle name="20% - Accent4 2 3" xfId="101"/>
    <cellStyle name="20% - Accent4 2_10-15-10-Stmt AU - Period I - Working 1 0" xfId="102"/>
    <cellStyle name="20% - Accent4 3" xfId="103"/>
    <cellStyle name="20% - Accent4 3 2" xfId="104"/>
    <cellStyle name="20% - Accent4 3 3" xfId="105"/>
    <cellStyle name="20% - Accent4 3_10-15-10-Stmt AU - Period I - Working 1 0" xfId="106"/>
    <cellStyle name="20% - Accent4 4" xfId="107"/>
    <cellStyle name="20% - Accent4 4 2" xfId="108"/>
    <cellStyle name="20% - Accent4 4 3" xfId="109"/>
    <cellStyle name="20% - Accent4 4_10-15-10-Stmt AU - Period I - Working 1 0" xfId="110"/>
    <cellStyle name="20% - Accent4 5" xfId="111"/>
    <cellStyle name="20% - Accent4 5 2" xfId="112"/>
    <cellStyle name="20% - Accent4 5 3" xfId="113"/>
    <cellStyle name="20% - Accent4 5_10-15-10-Stmt AU - Period I - Working 1 0" xfId="114"/>
    <cellStyle name="20% - Accent4 6" xfId="115"/>
    <cellStyle name="20% - Accent4 6 2" xfId="116"/>
    <cellStyle name="20% - Accent4 6 3" xfId="117"/>
    <cellStyle name="20% - Accent4 6_10-15-10-Stmt AU - Period I - Working 1 0" xfId="118"/>
    <cellStyle name="20% - Accent4 7" xfId="119"/>
    <cellStyle name="20% - Accent4 7 2" xfId="120"/>
    <cellStyle name="20% - Accent4 7 3" xfId="121"/>
    <cellStyle name="20% - Accent4 7_10-15-10-Stmt AU - Period I - Working 1 0" xfId="122"/>
    <cellStyle name="20% - Accent4 8" xfId="123"/>
    <cellStyle name="20% - Accent4 9" xfId="124"/>
    <cellStyle name="20% - Accent5" xfId="738" builtinId="46" customBuiltin="1"/>
    <cellStyle name="20% - Accent5 10" xfId="125"/>
    <cellStyle name="20% - Accent5 11" xfId="126"/>
    <cellStyle name="20% - Accent5 12" xfId="127"/>
    <cellStyle name="20% - Accent5 13" xfId="128"/>
    <cellStyle name="20% - Accent5 14" xfId="792"/>
    <cellStyle name="20% - Accent5 14 2" xfId="944"/>
    <cellStyle name="20% - Accent5 14 3" xfId="1072"/>
    <cellStyle name="20% - Accent5 15" xfId="909"/>
    <cellStyle name="20% - Accent5 16" xfId="1037"/>
    <cellStyle name="20% - Accent5 2" xfId="129"/>
    <cellStyle name="20% - Accent5 2 2" xfId="130"/>
    <cellStyle name="20% - Accent5 2 3" xfId="131"/>
    <cellStyle name="20% - Accent5 2_10-15-10-Stmt AU - Period I - Working 1 0" xfId="132"/>
    <cellStyle name="20% - Accent5 3" xfId="133"/>
    <cellStyle name="20% - Accent5 3 2" xfId="134"/>
    <cellStyle name="20% - Accent5 3 3" xfId="135"/>
    <cellStyle name="20% - Accent5 3_10-15-10-Stmt AU - Period I - Working 1 0" xfId="136"/>
    <cellStyle name="20% - Accent5 4" xfId="137"/>
    <cellStyle name="20% - Accent5 4 2" xfId="138"/>
    <cellStyle name="20% - Accent5 4 3" xfId="139"/>
    <cellStyle name="20% - Accent5 4_10-15-10-Stmt AU - Period I - Working 1 0" xfId="140"/>
    <cellStyle name="20% - Accent5 5" xfId="141"/>
    <cellStyle name="20% - Accent5 5 2" xfId="142"/>
    <cellStyle name="20% - Accent5 5 3" xfId="143"/>
    <cellStyle name="20% - Accent5 5_10-15-10-Stmt AU - Period I - Working 1 0" xfId="144"/>
    <cellStyle name="20% - Accent5 6" xfId="145"/>
    <cellStyle name="20% - Accent5 6 2" xfId="146"/>
    <cellStyle name="20% - Accent5 6 3" xfId="147"/>
    <cellStyle name="20% - Accent5 6_10-15-10-Stmt AU - Period I - Working 1 0" xfId="148"/>
    <cellStyle name="20% - Accent5 7" xfId="149"/>
    <cellStyle name="20% - Accent5 7 2" xfId="150"/>
    <cellStyle name="20% - Accent5 7 3" xfId="151"/>
    <cellStyle name="20% - Accent5 7_10-15-10-Stmt AU - Period I - Working 1 0" xfId="152"/>
    <cellStyle name="20% - Accent5 8" xfId="153"/>
    <cellStyle name="20% - Accent5 9" xfId="154"/>
    <cellStyle name="20% - Accent6" xfId="742" builtinId="50" customBuiltin="1"/>
    <cellStyle name="20% - Accent6 10" xfId="155"/>
    <cellStyle name="20% - Accent6 11" xfId="156"/>
    <cellStyle name="20% - Accent6 12" xfId="157"/>
    <cellStyle name="20% - Accent6 13" xfId="158"/>
    <cellStyle name="20% - Accent6 14" xfId="793"/>
    <cellStyle name="20% - Accent6 14 2" xfId="945"/>
    <cellStyle name="20% - Accent6 14 3" xfId="1073"/>
    <cellStyle name="20% - Accent6 15" xfId="911"/>
    <cellStyle name="20% - Accent6 16" xfId="1039"/>
    <cellStyle name="20% - Accent6 2" xfId="159"/>
    <cellStyle name="20% - Accent6 2 2" xfId="160"/>
    <cellStyle name="20% - Accent6 2 3" xfId="161"/>
    <cellStyle name="20% - Accent6 2_10-15-10-Stmt AU - Period I - Working 1 0" xfId="162"/>
    <cellStyle name="20% - Accent6 3" xfId="163"/>
    <cellStyle name="20% - Accent6 3 2" xfId="164"/>
    <cellStyle name="20% - Accent6 3 3" xfId="165"/>
    <cellStyle name="20% - Accent6 3_10-15-10-Stmt AU - Period I - Working 1 0" xfId="166"/>
    <cellStyle name="20% - Accent6 4" xfId="167"/>
    <cellStyle name="20% - Accent6 4 2" xfId="168"/>
    <cellStyle name="20% - Accent6 4 3" xfId="169"/>
    <cellStyle name="20% - Accent6 4_10-15-10-Stmt AU - Period I - Working 1 0" xfId="170"/>
    <cellStyle name="20% - Accent6 5" xfId="171"/>
    <cellStyle name="20% - Accent6 5 2" xfId="172"/>
    <cellStyle name="20% - Accent6 5 3" xfId="173"/>
    <cellStyle name="20% - Accent6 5_10-15-10-Stmt AU - Period I - Working 1 0" xfId="174"/>
    <cellStyle name="20% - Accent6 6" xfId="175"/>
    <cellStyle name="20% - Accent6 6 2" xfId="176"/>
    <cellStyle name="20% - Accent6 6 3" xfId="177"/>
    <cellStyle name="20% - Accent6 6_10-15-10-Stmt AU - Period I - Working 1 0" xfId="178"/>
    <cellStyle name="20% - Accent6 7" xfId="179"/>
    <cellStyle name="20% - Accent6 7 2" xfId="180"/>
    <cellStyle name="20% - Accent6 7 3" xfId="181"/>
    <cellStyle name="20% - Accent6 7_10-15-10-Stmt AU - Period I - Working 1 0" xfId="182"/>
    <cellStyle name="20% - Accent6 8" xfId="183"/>
    <cellStyle name="20% - Accent6 9" xfId="184"/>
    <cellStyle name="40% - Accent1" xfId="723" builtinId="31" customBuiltin="1"/>
    <cellStyle name="40% - Accent1 10" xfId="185"/>
    <cellStyle name="40% - Accent1 11" xfId="186"/>
    <cellStyle name="40% - Accent1 12" xfId="187"/>
    <cellStyle name="40% - Accent1 13" xfId="188"/>
    <cellStyle name="40% - Accent1 14" xfId="794"/>
    <cellStyle name="40% - Accent1 14 2" xfId="946"/>
    <cellStyle name="40% - Accent1 14 3" xfId="1074"/>
    <cellStyle name="40% - Accent1 15" xfId="902"/>
    <cellStyle name="40% - Accent1 16" xfId="1030"/>
    <cellStyle name="40% - Accent1 2" xfId="189"/>
    <cellStyle name="40% - Accent1 2 2" xfId="190"/>
    <cellStyle name="40% - Accent1 2 3" xfId="191"/>
    <cellStyle name="40% - Accent1 2_10-15-10-Stmt AU - Period I - Working 1 0" xfId="192"/>
    <cellStyle name="40% - Accent1 3" xfId="193"/>
    <cellStyle name="40% - Accent1 3 2" xfId="194"/>
    <cellStyle name="40% - Accent1 3 3" xfId="195"/>
    <cellStyle name="40% - Accent1 3_10-15-10-Stmt AU - Period I - Working 1 0" xfId="196"/>
    <cellStyle name="40% - Accent1 4" xfId="197"/>
    <cellStyle name="40% - Accent1 4 2" xfId="198"/>
    <cellStyle name="40% - Accent1 4 3" xfId="199"/>
    <cellStyle name="40% - Accent1 4_10-15-10-Stmt AU - Period I - Working 1 0" xfId="200"/>
    <cellStyle name="40% - Accent1 5" xfId="201"/>
    <cellStyle name="40% - Accent1 5 2" xfId="202"/>
    <cellStyle name="40% - Accent1 5 3" xfId="203"/>
    <cellStyle name="40% - Accent1 5_10-15-10-Stmt AU - Period I - Working 1 0" xfId="204"/>
    <cellStyle name="40% - Accent1 6" xfId="205"/>
    <cellStyle name="40% - Accent1 6 2" xfId="206"/>
    <cellStyle name="40% - Accent1 6 3" xfId="207"/>
    <cellStyle name="40% - Accent1 6_10-15-10-Stmt AU - Period I - Working 1 0" xfId="208"/>
    <cellStyle name="40% - Accent1 7" xfId="209"/>
    <cellStyle name="40% - Accent1 7 2" xfId="210"/>
    <cellStyle name="40% - Accent1 7 3" xfId="211"/>
    <cellStyle name="40% - Accent1 7_10-15-10-Stmt AU - Period I - Working 1 0" xfId="212"/>
    <cellStyle name="40% - Accent1 8" xfId="213"/>
    <cellStyle name="40% - Accent1 9" xfId="214"/>
    <cellStyle name="40% - Accent2" xfId="727" builtinId="35" customBuiltin="1"/>
    <cellStyle name="40% - Accent2 10" xfId="215"/>
    <cellStyle name="40% - Accent2 11" xfId="216"/>
    <cellStyle name="40% - Accent2 12" xfId="217"/>
    <cellStyle name="40% - Accent2 13" xfId="218"/>
    <cellStyle name="40% - Accent2 14" xfId="795"/>
    <cellStyle name="40% - Accent2 14 2" xfId="947"/>
    <cellStyle name="40% - Accent2 14 3" xfId="1075"/>
    <cellStyle name="40% - Accent2 15" xfId="904"/>
    <cellStyle name="40% - Accent2 16" xfId="1032"/>
    <cellStyle name="40% - Accent2 2" xfId="219"/>
    <cellStyle name="40% - Accent2 2 2" xfId="220"/>
    <cellStyle name="40% - Accent2 2 3" xfId="221"/>
    <cellStyle name="40% - Accent2 2_10-15-10-Stmt AU - Period I - Working 1 0" xfId="222"/>
    <cellStyle name="40% - Accent2 3" xfId="223"/>
    <cellStyle name="40% - Accent2 3 2" xfId="224"/>
    <cellStyle name="40% - Accent2 3 3" xfId="225"/>
    <cellStyle name="40% - Accent2 3_10-15-10-Stmt AU - Period I - Working 1 0" xfId="226"/>
    <cellStyle name="40% - Accent2 4" xfId="227"/>
    <cellStyle name="40% - Accent2 4 2" xfId="228"/>
    <cellStyle name="40% - Accent2 4 3" xfId="229"/>
    <cellStyle name="40% - Accent2 4_10-15-10-Stmt AU - Period I - Working 1 0" xfId="230"/>
    <cellStyle name="40% - Accent2 5" xfId="231"/>
    <cellStyle name="40% - Accent2 5 2" xfId="232"/>
    <cellStyle name="40% - Accent2 5 3" xfId="233"/>
    <cellStyle name="40% - Accent2 5_10-15-10-Stmt AU - Period I - Working 1 0" xfId="234"/>
    <cellStyle name="40% - Accent2 6" xfId="235"/>
    <cellStyle name="40% - Accent2 6 2" xfId="236"/>
    <cellStyle name="40% - Accent2 6 3" xfId="237"/>
    <cellStyle name="40% - Accent2 6_10-15-10-Stmt AU - Period I - Working 1 0" xfId="238"/>
    <cellStyle name="40% - Accent2 7" xfId="239"/>
    <cellStyle name="40% - Accent2 7 2" xfId="240"/>
    <cellStyle name="40% - Accent2 7 3" xfId="241"/>
    <cellStyle name="40% - Accent2 7_10-15-10-Stmt AU - Period I - Working 1 0" xfId="242"/>
    <cellStyle name="40% - Accent2 8" xfId="243"/>
    <cellStyle name="40% - Accent2 9" xfId="244"/>
    <cellStyle name="40% - Accent3" xfId="731" builtinId="39" customBuiltin="1"/>
    <cellStyle name="40% - Accent3 10" xfId="245"/>
    <cellStyle name="40% - Accent3 11" xfId="246"/>
    <cellStyle name="40% - Accent3 12" xfId="247"/>
    <cellStyle name="40% - Accent3 13" xfId="248"/>
    <cellStyle name="40% - Accent3 14" xfId="796"/>
    <cellStyle name="40% - Accent3 14 2" xfId="948"/>
    <cellStyle name="40% - Accent3 14 3" xfId="1076"/>
    <cellStyle name="40% - Accent3 15" xfId="906"/>
    <cellStyle name="40% - Accent3 16" xfId="1034"/>
    <cellStyle name="40% - Accent3 2" xfId="249"/>
    <cellStyle name="40% - Accent3 2 2" xfId="250"/>
    <cellStyle name="40% - Accent3 2 3" xfId="251"/>
    <cellStyle name="40% - Accent3 2_10-15-10-Stmt AU - Period I - Working 1 0" xfId="252"/>
    <cellStyle name="40% - Accent3 3" xfId="253"/>
    <cellStyle name="40% - Accent3 3 2" xfId="254"/>
    <cellStyle name="40% - Accent3 3 3" xfId="255"/>
    <cellStyle name="40% - Accent3 3_10-15-10-Stmt AU - Period I - Working 1 0" xfId="256"/>
    <cellStyle name="40% - Accent3 4" xfId="257"/>
    <cellStyle name="40% - Accent3 4 2" xfId="258"/>
    <cellStyle name="40% - Accent3 4 3" xfId="259"/>
    <cellStyle name="40% - Accent3 4_10-15-10-Stmt AU - Period I - Working 1 0" xfId="260"/>
    <cellStyle name="40% - Accent3 5" xfId="261"/>
    <cellStyle name="40% - Accent3 5 2" xfId="262"/>
    <cellStyle name="40% - Accent3 5 3" xfId="263"/>
    <cellStyle name="40% - Accent3 5_10-15-10-Stmt AU - Period I - Working 1 0" xfId="264"/>
    <cellStyle name="40% - Accent3 6" xfId="265"/>
    <cellStyle name="40% - Accent3 6 2" xfId="266"/>
    <cellStyle name="40% - Accent3 6 3" xfId="267"/>
    <cellStyle name="40% - Accent3 6_10-15-10-Stmt AU - Period I - Working 1 0" xfId="268"/>
    <cellStyle name="40% - Accent3 7" xfId="269"/>
    <cellStyle name="40% - Accent3 7 2" xfId="270"/>
    <cellStyle name="40% - Accent3 7 3" xfId="271"/>
    <cellStyle name="40% - Accent3 7_10-15-10-Stmt AU - Period I - Working 1 0" xfId="272"/>
    <cellStyle name="40% - Accent3 8" xfId="273"/>
    <cellStyle name="40% - Accent3 9" xfId="274"/>
    <cellStyle name="40% - Accent4" xfId="735" builtinId="43" customBuiltin="1"/>
    <cellStyle name="40% - Accent4 10" xfId="275"/>
    <cellStyle name="40% - Accent4 11" xfId="276"/>
    <cellStyle name="40% - Accent4 12" xfId="277"/>
    <cellStyle name="40% - Accent4 13" xfId="278"/>
    <cellStyle name="40% - Accent4 14" xfId="797"/>
    <cellStyle name="40% - Accent4 14 2" xfId="949"/>
    <cellStyle name="40% - Accent4 14 3" xfId="1077"/>
    <cellStyle name="40% - Accent4 15" xfId="908"/>
    <cellStyle name="40% - Accent4 16" xfId="1036"/>
    <cellStyle name="40% - Accent4 2" xfId="279"/>
    <cellStyle name="40% - Accent4 2 2" xfId="280"/>
    <cellStyle name="40% - Accent4 2 3" xfId="281"/>
    <cellStyle name="40% - Accent4 2_10-15-10-Stmt AU - Period I - Working 1 0" xfId="282"/>
    <cellStyle name="40% - Accent4 3" xfId="283"/>
    <cellStyle name="40% - Accent4 3 2" xfId="284"/>
    <cellStyle name="40% - Accent4 3 3" xfId="285"/>
    <cellStyle name="40% - Accent4 3_10-15-10-Stmt AU - Period I - Working 1 0" xfId="286"/>
    <cellStyle name="40% - Accent4 4" xfId="287"/>
    <cellStyle name="40% - Accent4 4 2" xfId="288"/>
    <cellStyle name="40% - Accent4 4 3" xfId="289"/>
    <cellStyle name="40% - Accent4 4_10-15-10-Stmt AU - Period I - Working 1 0" xfId="290"/>
    <cellStyle name="40% - Accent4 5" xfId="291"/>
    <cellStyle name="40% - Accent4 5 2" xfId="292"/>
    <cellStyle name="40% - Accent4 5 3" xfId="293"/>
    <cellStyle name="40% - Accent4 5_10-15-10-Stmt AU - Period I - Working 1 0" xfId="294"/>
    <cellStyle name="40% - Accent4 6" xfId="295"/>
    <cellStyle name="40% - Accent4 6 2" xfId="296"/>
    <cellStyle name="40% - Accent4 6 3" xfId="297"/>
    <cellStyle name="40% - Accent4 6_10-15-10-Stmt AU - Period I - Working 1 0" xfId="298"/>
    <cellStyle name="40% - Accent4 7" xfId="299"/>
    <cellStyle name="40% - Accent4 7 2" xfId="300"/>
    <cellStyle name="40% - Accent4 7 3" xfId="301"/>
    <cellStyle name="40% - Accent4 7_10-15-10-Stmt AU - Period I - Working 1 0" xfId="302"/>
    <cellStyle name="40% - Accent4 8" xfId="303"/>
    <cellStyle name="40% - Accent4 9" xfId="304"/>
    <cellStyle name="40% - Accent5" xfId="739" builtinId="47" customBuiltin="1"/>
    <cellStyle name="40% - Accent5 10" xfId="305"/>
    <cellStyle name="40% - Accent5 11" xfId="306"/>
    <cellStyle name="40% - Accent5 12" xfId="307"/>
    <cellStyle name="40% - Accent5 13" xfId="308"/>
    <cellStyle name="40% - Accent5 14" xfId="798"/>
    <cellStyle name="40% - Accent5 14 2" xfId="950"/>
    <cellStyle name="40% - Accent5 14 3" xfId="1078"/>
    <cellStyle name="40% - Accent5 15" xfId="910"/>
    <cellStyle name="40% - Accent5 16" xfId="1038"/>
    <cellStyle name="40% - Accent5 2" xfId="309"/>
    <cellStyle name="40% - Accent5 2 2" xfId="310"/>
    <cellStyle name="40% - Accent5 2 3" xfId="311"/>
    <cellStyle name="40% - Accent5 2_10-15-10-Stmt AU - Period I - Working 1 0" xfId="312"/>
    <cellStyle name="40% - Accent5 3" xfId="313"/>
    <cellStyle name="40% - Accent5 3 2" xfId="314"/>
    <cellStyle name="40% - Accent5 3 3" xfId="315"/>
    <cellStyle name="40% - Accent5 3_10-15-10-Stmt AU - Period I - Working 1 0" xfId="316"/>
    <cellStyle name="40% - Accent5 4" xfId="317"/>
    <cellStyle name="40% - Accent5 4 2" xfId="318"/>
    <cellStyle name="40% - Accent5 4 3" xfId="319"/>
    <cellStyle name="40% - Accent5 4_10-15-10-Stmt AU - Period I - Working 1 0" xfId="320"/>
    <cellStyle name="40% - Accent5 5" xfId="321"/>
    <cellStyle name="40% - Accent5 5 2" xfId="322"/>
    <cellStyle name="40% - Accent5 5 3" xfId="323"/>
    <cellStyle name="40% - Accent5 5_10-15-10-Stmt AU - Period I - Working 1 0" xfId="324"/>
    <cellStyle name="40% - Accent5 6" xfId="325"/>
    <cellStyle name="40% - Accent5 6 2" xfId="326"/>
    <cellStyle name="40% - Accent5 6 3" xfId="327"/>
    <cellStyle name="40% - Accent5 6_10-15-10-Stmt AU - Period I - Working 1 0" xfId="328"/>
    <cellStyle name="40% - Accent5 7" xfId="329"/>
    <cellStyle name="40% - Accent5 7 2" xfId="330"/>
    <cellStyle name="40% - Accent5 7 3" xfId="331"/>
    <cellStyle name="40% - Accent5 7_10-15-10-Stmt AU - Period I - Working 1 0" xfId="332"/>
    <cellStyle name="40% - Accent5 8" xfId="333"/>
    <cellStyle name="40% - Accent5 9" xfId="334"/>
    <cellStyle name="40% - Accent6" xfId="743" builtinId="51" customBuiltin="1"/>
    <cellStyle name="40% - Accent6 10" xfId="335"/>
    <cellStyle name="40% - Accent6 11" xfId="336"/>
    <cellStyle name="40% - Accent6 12" xfId="337"/>
    <cellStyle name="40% - Accent6 13" xfId="338"/>
    <cellStyle name="40% - Accent6 14" xfId="799"/>
    <cellStyle name="40% - Accent6 14 2" xfId="951"/>
    <cellStyle name="40% - Accent6 14 3" xfId="1079"/>
    <cellStyle name="40% - Accent6 15" xfId="912"/>
    <cellStyle name="40% - Accent6 16" xfId="1040"/>
    <cellStyle name="40% - Accent6 2" xfId="339"/>
    <cellStyle name="40% - Accent6 2 2" xfId="340"/>
    <cellStyle name="40% - Accent6 2 3" xfId="341"/>
    <cellStyle name="40% - Accent6 2_10-15-10-Stmt AU - Period I - Working 1 0" xfId="342"/>
    <cellStyle name="40% - Accent6 3" xfId="343"/>
    <cellStyle name="40% - Accent6 3 2" xfId="344"/>
    <cellStyle name="40% - Accent6 3 3" xfId="345"/>
    <cellStyle name="40% - Accent6 3_10-15-10-Stmt AU - Period I - Working 1 0" xfId="346"/>
    <cellStyle name="40% - Accent6 4" xfId="347"/>
    <cellStyle name="40% - Accent6 4 2" xfId="348"/>
    <cellStyle name="40% - Accent6 4 3" xfId="349"/>
    <cellStyle name="40% - Accent6 4_10-15-10-Stmt AU - Period I - Working 1 0" xfId="350"/>
    <cellStyle name="40% - Accent6 5" xfId="351"/>
    <cellStyle name="40% - Accent6 5 2" xfId="352"/>
    <cellStyle name="40% - Accent6 5 3" xfId="353"/>
    <cellStyle name="40% - Accent6 5_10-15-10-Stmt AU - Period I - Working 1 0" xfId="354"/>
    <cellStyle name="40% - Accent6 6" xfId="355"/>
    <cellStyle name="40% - Accent6 6 2" xfId="356"/>
    <cellStyle name="40% - Accent6 6 3" xfId="357"/>
    <cellStyle name="40% - Accent6 6_10-15-10-Stmt AU - Period I - Working 1 0" xfId="358"/>
    <cellStyle name="40% - Accent6 7" xfId="359"/>
    <cellStyle name="40% - Accent6 7 2" xfId="360"/>
    <cellStyle name="40% - Accent6 7 3" xfId="361"/>
    <cellStyle name="40% - Accent6 7_10-15-10-Stmt AU - Period I - Working 1 0" xfId="362"/>
    <cellStyle name="40% - Accent6 8" xfId="363"/>
    <cellStyle name="40% - Accent6 9" xfId="364"/>
    <cellStyle name="60% - Accent1" xfId="724" builtinId="32" customBuiltin="1"/>
    <cellStyle name="60% - Accent1 2" xfId="365"/>
    <cellStyle name="60% - Accent2" xfId="728" builtinId="36" customBuiltin="1"/>
    <cellStyle name="60% - Accent2 2" xfId="366"/>
    <cellStyle name="60% - Accent3" xfId="732" builtinId="40" customBuiltin="1"/>
    <cellStyle name="60% - Accent3 2" xfId="367"/>
    <cellStyle name="60% - Accent4" xfId="736" builtinId="44" customBuiltin="1"/>
    <cellStyle name="60% - Accent4 2" xfId="368"/>
    <cellStyle name="60% - Accent5" xfId="740" builtinId="48" customBuiltin="1"/>
    <cellStyle name="60% - Accent5 2" xfId="369"/>
    <cellStyle name="60% - Accent6" xfId="744" builtinId="52" customBuiltin="1"/>
    <cellStyle name="60% - Accent6 2" xfId="370"/>
    <cellStyle name="Accent1" xfId="721" builtinId="29" customBuiltin="1"/>
    <cellStyle name="Accent1 2" xfId="371"/>
    <cellStyle name="Accent2" xfId="725" builtinId="33" customBuiltin="1"/>
    <cellStyle name="Accent2 2" xfId="372"/>
    <cellStyle name="Accent3" xfId="729" builtinId="37" customBuiltin="1"/>
    <cellStyle name="Accent3 2" xfId="373"/>
    <cellStyle name="Accent4" xfId="733" builtinId="41" customBuiltin="1"/>
    <cellStyle name="Accent4 2" xfId="374"/>
    <cellStyle name="Accent5" xfId="737" builtinId="45" customBuiltin="1"/>
    <cellStyle name="Accent5 2" xfId="375"/>
    <cellStyle name="Accent6" xfId="741" builtinId="49" customBuiltin="1"/>
    <cellStyle name="Accent6 2" xfId="376"/>
    <cellStyle name="Bad" xfId="711" builtinId="27" customBuiltin="1"/>
    <cellStyle name="Bad 2" xfId="377"/>
    <cellStyle name="Calculation" xfId="715" builtinId="22" customBuiltin="1"/>
    <cellStyle name="Calculation 2" xfId="378"/>
    <cellStyle name="Check Cell" xfId="717" builtinId="23" customBuiltin="1"/>
    <cellStyle name="Check Cell 2" xfId="379"/>
    <cellStyle name="Column.Head" xfId="380"/>
    <cellStyle name="Comma" xfId="381" builtinId="3"/>
    <cellStyle name="Comma [0] 2" xfId="1158"/>
    <cellStyle name="Comma 10" xfId="382"/>
    <cellStyle name="Comma 10 2" xfId="383"/>
    <cellStyle name="Comma 109" xfId="1157"/>
    <cellStyle name="Comma 11" xfId="384"/>
    <cellStyle name="Comma 11 2" xfId="385"/>
    <cellStyle name="Comma 12" xfId="386"/>
    <cellStyle name="Comma 12 2" xfId="387"/>
    <cellStyle name="Comma 13" xfId="388"/>
    <cellStyle name="Comma 13 2" xfId="389"/>
    <cellStyle name="Comma 14" xfId="747"/>
    <cellStyle name="Comma 15" xfId="746"/>
    <cellStyle name="Comma 15 2" xfId="868"/>
    <cellStyle name="Comma 15 2 2" xfId="997"/>
    <cellStyle name="Comma 15 2 3" xfId="1125"/>
    <cellStyle name="Comma 15 3" xfId="914"/>
    <cellStyle name="Comma 15 4" xfId="1042"/>
    <cellStyle name="Comma 16" xfId="802"/>
    <cellStyle name="Comma 16 2" xfId="954"/>
    <cellStyle name="Comma 16 3" xfId="1082"/>
    <cellStyle name="Comma 17" xfId="845"/>
    <cellStyle name="Comma 18" xfId="857"/>
    <cellStyle name="Comma 19" xfId="840"/>
    <cellStyle name="Comma 2" xfId="390"/>
    <cellStyle name="Comma 2 2" xfId="391"/>
    <cellStyle name="Comma 2 2 2" xfId="392"/>
    <cellStyle name="Comma 2 3" xfId="393"/>
    <cellStyle name="Comma 2 4" xfId="394"/>
    <cellStyle name="Comma 3" xfId="395"/>
    <cellStyle name="Comma 3 2" xfId="396"/>
    <cellStyle name="Comma 3 3" xfId="397"/>
    <cellStyle name="Comma 3 4" xfId="398"/>
    <cellStyle name="Comma 3 5" xfId="774"/>
    <cellStyle name="Comma 3 5 2" xfId="881"/>
    <cellStyle name="Comma 3 5 2 2" xfId="1010"/>
    <cellStyle name="Comma 3 5 2 3" xfId="1138"/>
    <cellStyle name="Comma 3 5 3" xfId="926"/>
    <cellStyle name="Comma 3 5 4" xfId="1054"/>
    <cellStyle name="Comma 3 6" xfId="803"/>
    <cellStyle name="Comma 3 6 2" xfId="955"/>
    <cellStyle name="Comma 3 6 3" xfId="1083"/>
    <cellStyle name="Comma 4" xfId="399"/>
    <cellStyle name="Comma 4 2" xfId="400"/>
    <cellStyle name="Comma 4 2 2" xfId="401"/>
    <cellStyle name="Comma 4 3" xfId="402"/>
    <cellStyle name="Comma 5" xfId="403"/>
    <cellStyle name="Comma 5 2" xfId="404"/>
    <cellStyle name="Comma 5 2 2" xfId="405"/>
    <cellStyle name="Comma 5 3" xfId="406"/>
    <cellStyle name="Comma 6" xfId="407"/>
    <cellStyle name="Comma 6 2" xfId="408"/>
    <cellStyle name="Comma 6 2 2" xfId="409"/>
    <cellStyle name="Comma 6 3" xfId="410"/>
    <cellStyle name="Comma 7" xfId="411"/>
    <cellStyle name="Comma 7 2" xfId="412"/>
    <cellStyle name="Comma 7 3" xfId="748"/>
    <cellStyle name="Comma 8" xfId="413"/>
    <cellStyle name="Comma 8 2" xfId="414"/>
    <cellStyle name="Comma 8 3" xfId="749"/>
    <cellStyle name="Comma 9" xfId="415"/>
    <cellStyle name="Comma 9 2" xfId="416"/>
    <cellStyle name="Comma0" xfId="417"/>
    <cellStyle name="Config Data" xfId="418"/>
    <cellStyle name="cost_per_kw" xfId="419"/>
    <cellStyle name="Currency" xfId="420" builtinId="4"/>
    <cellStyle name="Currency 2" xfId="421"/>
    <cellStyle name="Currency 2 2" xfId="422"/>
    <cellStyle name="Currency 3" xfId="423"/>
    <cellStyle name="Currency 3 2" xfId="424"/>
    <cellStyle name="Currency 3 3" xfId="772"/>
    <cellStyle name="Currency 3 3 2" xfId="879"/>
    <cellStyle name="Currency 3 3 2 2" xfId="1008"/>
    <cellStyle name="Currency 3 3 2 3" xfId="1136"/>
    <cellStyle name="Currency 3 3 3" xfId="924"/>
    <cellStyle name="Currency 3 3 4" xfId="1052"/>
    <cellStyle name="Currency 3 4" xfId="805"/>
    <cellStyle name="Currency 3 4 2" xfId="957"/>
    <cellStyle name="Currency 3 4 3" xfId="1085"/>
    <cellStyle name="Currency 4" xfId="425"/>
    <cellStyle name="Currency 4 2" xfId="751"/>
    <cellStyle name="Currency 5" xfId="750"/>
    <cellStyle name="Currency 6" xfId="773"/>
    <cellStyle name="Currency 6 2" xfId="880"/>
    <cellStyle name="Currency 6 2 2" xfId="1009"/>
    <cellStyle name="Currency 6 2 3" xfId="1137"/>
    <cellStyle name="Currency 6 3" xfId="925"/>
    <cellStyle name="Currency 6 4" xfId="1053"/>
    <cellStyle name="Currency 7" xfId="804"/>
    <cellStyle name="Currency 7 2" xfId="956"/>
    <cellStyle name="Currency 7 3" xfId="1084"/>
    <cellStyle name="Currency 8" xfId="846"/>
    <cellStyle name="Currency 9" xfId="843"/>
    <cellStyle name="Currency0" xfId="426"/>
    <cellStyle name="Date" xfId="427"/>
    <cellStyle name="Explanatory Text" xfId="719" builtinId="53" customBuiltin="1"/>
    <cellStyle name="Explanatory Text 2" xfId="428"/>
    <cellStyle name="Fixed" xfId="429"/>
    <cellStyle name="Good" xfId="710" builtinId="26" customBuiltin="1"/>
    <cellStyle name="Good 2" xfId="430"/>
    <cellStyle name="Heading 1" xfId="706" builtinId="16" customBuiltin="1"/>
    <cellStyle name="Heading 1 2" xfId="431"/>
    <cellStyle name="Heading 2" xfId="707" builtinId="17" customBuiltin="1"/>
    <cellStyle name="Heading 2 2" xfId="432"/>
    <cellStyle name="Heading 3" xfId="708" builtinId="18" customBuiltin="1"/>
    <cellStyle name="Heading 3 2" xfId="433"/>
    <cellStyle name="Heading 4" xfId="709" builtinId="19" customBuiltin="1"/>
    <cellStyle name="Heading 4 2" xfId="434"/>
    <cellStyle name="Hyperlink 2" xfId="435"/>
    <cellStyle name="Hyperlink 3" xfId="436"/>
    <cellStyle name="Hyperlink 4" xfId="437"/>
    <cellStyle name="Hyperlink 5" xfId="438"/>
    <cellStyle name="Hyperlink 6" xfId="439"/>
    <cellStyle name="Input" xfId="713" builtinId="20" customBuiltin="1"/>
    <cellStyle name="Input 2" xfId="440"/>
    <cellStyle name="kwh_centered" xfId="441"/>
    <cellStyle name="Linked Cell" xfId="716" builtinId="24" customBuiltin="1"/>
    <cellStyle name="Linked Cell 2" xfId="442"/>
    <cellStyle name="Neutral" xfId="712" builtinId="28" customBuiltin="1"/>
    <cellStyle name="Neutral 2" xfId="443"/>
    <cellStyle name="Normal" xfId="0" builtinId="0"/>
    <cellStyle name="Normal 10" xfId="444"/>
    <cellStyle name="Normal 10 2" xfId="445"/>
    <cellStyle name="Normal 10 2 2" xfId="446"/>
    <cellStyle name="Normal 10 3" xfId="447"/>
    <cellStyle name="Normal 10 4" xfId="752"/>
    <cellStyle name="Normal 10_10-15-10-Stmt AU - Period I - Working 1 0" xfId="448"/>
    <cellStyle name="Normal 11" xfId="449"/>
    <cellStyle name="Normal 11 2" xfId="450"/>
    <cellStyle name="Normal 11 3" xfId="753"/>
    <cellStyle name="Normal 11_3 - Revenue Credits" xfId="451"/>
    <cellStyle name="Normal 12" xfId="452"/>
    <cellStyle name="Normal 12 2" xfId="453"/>
    <cellStyle name="Normal 12 2 2" xfId="454"/>
    <cellStyle name="Normal 12 3" xfId="455"/>
    <cellStyle name="Normal 12_3 - Revenue Credits" xfId="456"/>
    <cellStyle name="Normal 13" xfId="457"/>
    <cellStyle name="Normal 13 2" xfId="458"/>
    <cellStyle name="Normal 13 2 2" xfId="459"/>
    <cellStyle name="Normal 13 2 3" xfId="755"/>
    <cellStyle name="Normal 13 2_3 - Revenue Credits" xfId="460"/>
    <cellStyle name="Normal 13 3" xfId="461"/>
    <cellStyle name="Normal 13 4" xfId="754"/>
    <cellStyle name="Normal 13_3 - Revenue Credits" xfId="462"/>
    <cellStyle name="Normal 14" xfId="463"/>
    <cellStyle name="Normal 15" xfId="464"/>
    <cellStyle name="Normal 16" xfId="745"/>
    <cellStyle name="Normal 16 2" xfId="867"/>
    <cellStyle name="Normal 16 2 2" xfId="996"/>
    <cellStyle name="Normal 16 2 3" xfId="1124"/>
    <cellStyle name="Normal 16 3" xfId="913"/>
    <cellStyle name="Normal 16 4" xfId="1041"/>
    <cellStyle name="Normal 17" xfId="777"/>
    <cellStyle name="Normal 17 2" xfId="884"/>
    <cellStyle name="Normal 17 2 2" xfId="1013"/>
    <cellStyle name="Normal 17 2 3" xfId="1141"/>
    <cellStyle name="Normal 17 3" xfId="929"/>
    <cellStyle name="Normal 17 4" xfId="1057"/>
    <cellStyle name="Normal 18" xfId="778"/>
    <cellStyle name="Normal 18 2" xfId="885"/>
    <cellStyle name="Normal 18 2 2" xfId="1014"/>
    <cellStyle name="Normal 18 2 3" xfId="1142"/>
    <cellStyle name="Normal 18 3" xfId="930"/>
    <cellStyle name="Normal 18 4" xfId="1058"/>
    <cellStyle name="Normal 19" xfId="779"/>
    <cellStyle name="Normal 19 2" xfId="886"/>
    <cellStyle name="Normal 19 2 2" xfId="1015"/>
    <cellStyle name="Normal 19 2 3" xfId="1143"/>
    <cellStyle name="Normal 19 3" xfId="931"/>
    <cellStyle name="Normal 19 4" xfId="1059"/>
    <cellStyle name="Normal 2" xfId="465"/>
    <cellStyle name="Normal 2 2" xfId="466"/>
    <cellStyle name="Normal 2 2 2" xfId="467"/>
    <cellStyle name="Normal 2 2_1 - ADIT" xfId="468"/>
    <cellStyle name="Normal 2 3" xfId="469"/>
    <cellStyle name="Normal 2 3 2" xfId="470"/>
    <cellStyle name="Normal 2 4" xfId="471"/>
    <cellStyle name="Normal 2_1 - ADIT" xfId="472"/>
    <cellStyle name="Normal 2_5 - Cost Support" xfId="473"/>
    <cellStyle name="Normal 2_6 - Est and True up" xfId="474"/>
    <cellStyle name="Normal 2_6A-Colstrip" xfId="475"/>
    <cellStyle name="Normal 2_6B-So Intertie" xfId="476"/>
    <cellStyle name="Normal 2_WKSHT5 - Prepaid" xfId="477"/>
    <cellStyle name="Normal 20" xfId="780"/>
    <cellStyle name="Normal 20 2" xfId="887"/>
    <cellStyle name="Normal 20 2 2" xfId="1016"/>
    <cellStyle name="Normal 20 2 3" xfId="1144"/>
    <cellStyle name="Normal 20 3" xfId="932"/>
    <cellStyle name="Normal 20 4" xfId="1060"/>
    <cellStyle name="Normal 21" xfId="781"/>
    <cellStyle name="Normal 21 2" xfId="888"/>
    <cellStyle name="Normal 21 2 2" xfId="1017"/>
    <cellStyle name="Normal 21 2 3" xfId="1145"/>
    <cellStyle name="Normal 21 3" xfId="933"/>
    <cellStyle name="Normal 21 4" xfId="1061"/>
    <cellStyle name="Normal 22" xfId="782"/>
    <cellStyle name="Normal 22 2" xfId="889"/>
    <cellStyle name="Normal 22 2 2" xfId="1018"/>
    <cellStyle name="Normal 22 2 3" xfId="1146"/>
    <cellStyle name="Normal 22 3" xfId="934"/>
    <cellStyle name="Normal 22 4" xfId="1062"/>
    <cellStyle name="Normal 23" xfId="783"/>
    <cellStyle name="Normal 23 2" xfId="890"/>
    <cellStyle name="Normal 23 2 2" xfId="1019"/>
    <cellStyle name="Normal 23 2 3" xfId="1147"/>
    <cellStyle name="Normal 23 3" xfId="935"/>
    <cellStyle name="Normal 23 4" xfId="1063"/>
    <cellStyle name="Normal 24" xfId="784"/>
    <cellStyle name="Normal 24 2" xfId="891"/>
    <cellStyle name="Normal 24 2 2" xfId="1020"/>
    <cellStyle name="Normal 24 2 3" xfId="1148"/>
    <cellStyle name="Normal 24 3" xfId="936"/>
    <cellStyle name="Normal 24 4" xfId="1064"/>
    <cellStyle name="Normal 25" xfId="785"/>
    <cellStyle name="Normal 25 2" xfId="892"/>
    <cellStyle name="Normal 25 2 2" xfId="1021"/>
    <cellStyle name="Normal 25 2 3" xfId="1149"/>
    <cellStyle name="Normal 25 3" xfId="937"/>
    <cellStyle name="Normal 25 4" xfId="1065"/>
    <cellStyle name="Normal 26" xfId="786"/>
    <cellStyle name="Normal 26 2" xfId="893"/>
    <cellStyle name="Normal 26 2 2" xfId="1022"/>
    <cellStyle name="Normal 26 2 3" xfId="1150"/>
    <cellStyle name="Normal 26 3" xfId="938"/>
    <cellStyle name="Normal 26 4" xfId="1066"/>
    <cellStyle name="Normal 27" xfId="776"/>
    <cellStyle name="Normal 27 2" xfId="883"/>
    <cellStyle name="Normal 27 2 2" xfId="1012"/>
    <cellStyle name="Normal 27 2 3" xfId="1140"/>
    <cellStyle name="Normal 27 3" xfId="928"/>
    <cellStyle name="Normal 27 4" xfId="1056"/>
    <cellStyle name="Normal 28" xfId="764"/>
    <cellStyle name="Normal 28 2" xfId="872"/>
    <cellStyle name="Normal 28 2 2" xfId="1001"/>
    <cellStyle name="Normal 28 2 3" xfId="1129"/>
    <cellStyle name="Normal 28 3" xfId="918"/>
    <cellStyle name="Normal 28 4" xfId="1046"/>
    <cellStyle name="Normal 29" xfId="787"/>
    <cellStyle name="Normal 29 2" xfId="939"/>
    <cellStyle name="Normal 29 3" xfId="1067"/>
    <cellStyle name="Normal 3" xfId="478"/>
    <cellStyle name="Normal 3 10" xfId="815"/>
    <cellStyle name="Normal 3 10 2" xfId="966"/>
    <cellStyle name="Normal 3 10 3" xfId="1094"/>
    <cellStyle name="Normal 3 2" xfId="479"/>
    <cellStyle name="Normal 3 2 2" xfId="480"/>
    <cellStyle name="Normal 3 2 2 2" xfId="481"/>
    <cellStyle name="Normal 3 2 3" xfId="482"/>
    <cellStyle name="Normal 3 2_5 - Cost Support" xfId="483"/>
    <cellStyle name="Normal 3 3" xfId="484"/>
    <cellStyle name="Normal 3 3 2" xfId="485"/>
    <cellStyle name="Normal 3 3 2 2" xfId="486"/>
    <cellStyle name="Normal 3 3 3" xfId="487"/>
    <cellStyle name="Normal 3 4" xfId="488"/>
    <cellStyle name="Normal 3 4 2" xfId="489"/>
    <cellStyle name="Normal 3 5" xfId="490"/>
    <cellStyle name="Normal 3 6" xfId="491"/>
    <cellStyle name="Normal 3 7" xfId="771"/>
    <cellStyle name="Normal 3 7 2" xfId="878"/>
    <cellStyle name="Normal 3 7 2 2" xfId="1007"/>
    <cellStyle name="Normal 3 7 2 3" xfId="1135"/>
    <cellStyle name="Normal 3 7 3" xfId="923"/>
    <cellStyle name="Normal 3 7 4" xfId="1051"/>
    <cellStyle name="Normal 3 8" xfId="775"/>
    <cellStyle name="Normal 3 8 2" xfId="882"/>
    <cellStyle name="Normal 3 8 2 2" xfId="1011"/>
    <cellStyle name="Normal 3 8 2 3" xfId="1139"/>
    <cellStyle name="Normal 3 8 3" xfId="927"/>
    <cellStyle name="Normal 3 8 4" xfId="1055"/>
    <cellStyle name="Normal 3 9" xfId="807"/>
    <cellStyle name="Normal 3 9 2" xfId="959"/>
    <cellStyle name="Normal 3 9 3" xfId="1087"/>
    <cellStyle name="Normal 3_10-15-10-Stmt AU - Period I - Working 1 0" xfId="492"/>
    <cellStyle name="Normal 30" xfId="812"/>
    <cellStyle name="Normal 30 2" xfId="964"/>
    <cellStyle name="Normal 30 3" xfId="1092"/>
    <cellStyle name="Normal 31" xfId="817"/>
    <cellStyle name="Normal 32" xfId="814"/>
    <cellStyle name="Normal 32 2" xfId="965"/>
    <cellStyle name="Normal 32 3" xfId="1093"/>
    <cellStyle name="Normal 33" xfId="866"/>
    <cellStyle name="Normal 33 2" xfId="995"/>
    <cellStyle name="Normal 33 3" xfId="1123"/>
    <cellStyle name="Normal 34" xfId="820"/>
    <cellStyle name="Normal 34 2" xfId="970"/>
    <cellStyle name="Normal 34 3" xfId="1098"/>
    <cellStyle name="Normal 35" xfId="859"/>
    <cellStyle name="Normal 35 2" xfId="991"/>
    <cellStyle name="Normal 35 3" xfId="1119"/>
    <cellStyle name="Normal 36" xfId="829"/>
    <cellStyle name="Normal 36 2" xfId="974"/>
    <cellStyle name="Normal 36 3" xfId="1102"/>
    <cellStyle name="Normal 37" xfId="851"/>
    <cellStyle name="Normal 37 2" xfId="984"/>
    <cellStyle name="Normal 37 3" xfId="1112"/>
    <cellStyle name="Normal 38" xfId="836"/>
    <cellStyle name="Normal 38 2" xfId="979"/>
    <cellStyle name="Normal 38 3" xfId="1107"/>
    <cellStyle name="Normal 39" xfId="897"/>
    <cellStyle name="Normal 39 2" xfId="1026"/>
    <cellStyle name="Normal 39 3" xfId="1154"/>
    <cellStyle name="Normal 4" xfId="493"/>
    <cellStyle name="Normal 4 2" xfId="494"/>
    <cellStyle name="Normal 4 2 2" xfId="495"/>
    <cellStyle name="Normal 4 3" xfId="496"/>
    <cellStyle name="Normal 4 4" xfId="756"/>
    <cellStyle name="Normal 4 4 2" xfId="869"/>
    <cellStyle name="Normal 4 4 2 2" xfId="998"/>
    <cellStyle name="Normal 4 4 2 3" xfId="1126"/>
    <cellStyle name="Normal 4 4 3" xfId="915"/>
    <cellStyle name="Normal 4 4 4" xfId="1043"/>
    <cellStyle name="Normal 4 5" xfId="853"/>
    <cellStyle name="Normal 4 5 2" xfId="986"/>
    <cellStyle name="Normal 4 5 3" xfId="1114"/>
    <cellStyle name="Normal 4 6" xfId="899"/>
    <cellStyle name="Normal 4 7" xfId="1027"/>
    <cellStyle name="Normal 4_3 - Revenue Credits" xfId="497"/>
    <cellStyle name="Normal 40" xfId="833"/>
    <cellStyle name="Normal 40 2" xfId="977"/>
    <cellStyle name="Normal 40 3" xfId="1105"/>
    <cellStyle name="Normal 41" xfId="850"/>
    <cellStyle name="Normal 41 2" xfId="983"/>
    <cellStyle name="Normal 41 3" xfId="1111"/>
    <cellStyle name="Normal 42" xfId="895"/>
    <cellStyle name="Normal 42 2" xfId="1024"/>
    <cellStyle name="Normal 42 3" xfId="1152"/>
    <cellStyle name="Normal 43" xfId="860"/>
    <cellStyle name="Normal 43 2" xfId="992"/>
    <cellStyle name="Normal 43 3" xfId="1120"/>
    <cellStyle name="Normal 44" xfId="801"/>
    <cellStyle name="Normal 44 2" xfId="953"/>
    <cellStyle name="Normal 44 3" xfId="1081"/>
    <cellStyle name="Normal 45" xfId="855"/>
    <cellStyle name="Normal 45 2" xfId="988"/>
    <cellStyle name="Normal 45 3" xfId="1116"/>
    <cellStyle name="Normal 46" xfId="852"/>
    <cellStyle name="Normal 46 2" xfId="985"/>
    <cellStyle name="Normal 46 3" xfId="1113"/>
    <cellStyle name="Normal 47" xfId="842"/>
    <cellStyle name="Normal 47 2" xfId="981"/>
    <cellStyle name="Normal 47 3" xfId="1109"/>
    <cellStyle name="Normal 48" xfId="825"/>
    <cellStyle name="Normal 48 2" xfId="973"/>
    <cellStyle name="Normal 48 3" xfId="1101"/>
    <cellStyle name="Normal 49" xfId="841"/>
    <cellStyle name="Normal 5" xfId="498"/>
    <cellStyle name="Normal 5 2" xfId="499"/>
    <cellStyle name="Normal 5 2 2" xfId="500"/>
    <cellStyle name="Normal 5 2 2 2" xfId="501"/>
    <cellStyle name="Normal 5 2 3" xfId="502"/>
    <cellStyle name="Normal 5 3" xfId="503"/>
    <cellStyle name="Normal 5 3 2" xfId="504"/>
    <cellStyle name="Normal 5 3 2 2" xfId="505"/>
    <cellStyle name="Normal 5 3 3" xfId="506"/>
    <cellStyle name="Normal 5 4" xfId="507"/>
    <cellStyle name="Normal 5 4 2" xfId="508"/>
    <cellStyle name="Normal 5 5" xfId="509"/>
    <cellStyle name="Normal 5 6" xfId="757"/>
    <cellStyle name="Normal 5 6 2" xfId="870"/>
    <cellStyle name="Normal 5 6 2 2" xfId="999"/>
    <cellStyle name="Normal 5 6 2 3" xfId="1127"/>
    <cellStyle name="Normal 5 6 3" xfId="916"/>
    <cellStyle name="Normal 5 6 4" xfId="1044"/>
    <cellStyle name="Normal 5 7" xfId="854"/>
    <cellStyle name="Normal 5 7 2" xfId="987"/>
    <cellStyle name="Normal 5 7 3" xfId="1115"/>
    <cellStyle name="Normal 5 8" xfId="900"/>
    <cellStyle name="Normal 5 9" xfId="1028"/>
    <cellStyle name="Normal 5_10-15-10-Stmt AU - Period I - Working 1 0" xfId="510"/>
    <cellStyle name="Normal 50" xfId="898"/>
    <cellStyle name="Normal 51" xfId="830"/>
    <cellStyle name="Normal 51 2" xfId="975"/>
    <cellStyle name="Normal 51 3" xfId="1103"/>
    <cellStyle name="Normal 6" xfId="511"/>
    <cellStyle name="Normal 6 2" xfId="512"/>
    <cellStyle name="Normal 6 2 2" xfId="513"/>
    <cellStyle name="Normal 6 2 2 2" xfId="514"/>
    <cellStyle name="Normal 6 2 3" xfId="515"/>
    <cellStyle name="Normal 6 3" xfId="516"/>
    <cellStyle name="Normal 6 3 2" xfId="517"/>
    <cellStyle name="Normal 6 3 2 2" xfId="518"/>
    <cellStyle name="Normal 6 3 3" xfId="519"/>
    <cellStyle name="Normal 6 4" xfId="520"/>
    <cellStyle name="Normal 6 4 2" xfId="521"/>
    <cellStyle name="Normal 6 5" xfId="522"/>
    <cellStyle name="Normal 6_10-15-10-Stmt AU - Period I - Working 1 0" xfId="523"/>
    <cellStyle name="Normal 7" xfId="524"/>
    <cellStyle name="Normal 7 2" xfId="525"/>
    <cellStyle name="Normal 7 2 2" xfId="526"/>
    <cellStyle name="Normal 7 2 2 2" xfId="527"/>
    <cellStyle name="Normal 7 2 3" xfId="528"/>
    <cellStyle name="Normal 7 3" xfId="529"/>
    <cellStyle name="Normal 7 3 2" xfId="530"/>
    <cellStyle name="Normal 7 3 2 2" xfId="531"/>
    <cellStyle name="Normal 7 3 3" xfId="532"/>
    <cellStyle name="Normal 7 4" xfId="533"/>
    <cellStyle name="Normal 7 4 2" xfId="534"/>
    <cellStyle name="Normal 7 5" xfId="535"/>
    <cellStyle name="Normal 7 6" xfId="758"/>
    <cellStyle name="Normal 7_10-15-10-Stmt AU - Period I - Working 1 0" xfId="536"/>
    <cellStyle name="Normal 8" xfId="537"/>
    <cellStyle name="Normal 8 2" xfId="538"/>
    <cellStyle name="Normal 8 2 2" xfId="539"/>
    <cellStyle name="Normal 8 2 3" xfId="760"/>
    <cellStyle name="Normal 8 2_3 - Revenue Credits" xfId="540"/>
    <cellStyle name="Normal 8 3" xfId="541"/>
    <cellStyle name="Normal 8 4" xfId="759"/>
    <cellStyle name="Normal 8_10-15-10-Stmt AU - Period I - Working 1 0" xfId="542"/>
    <cellStyle name="Normal 9" xfId="543"/>
    <cellStyle name="Normal 9 2" xfId="544"/>
    <cellStyle name="Normal 9 2 2" xfId="545"/>
    <cellStyle name="Normal 9 2 3" xfId="762"/>
    <cellStyle name="Normal 9 2_3 - Revenue Credits" xfId="546"/>
    <cellStyle name="Normal 9 3" xfId="547"/>
    <cellStyle name="Normal 9 4" xfId="761"/>
    <cellStyle name="Normal 9_10-15-10-Stmt AU - Period I - Working 1 0" xfId="548"/>
    <cellStyle name="Normal_Ferc pg 328-330 Transmission for Others for import_WKSHT1 - Rev Credits" xfId="549"/>
    <cellStyle name="Normal_FN1 Ratebase Draft SPP template (6-11-04) v2" xfId="550"/>
    <cellStyle name="Normal_Sheet4_WKSHT1 - Rev Credits" xfId="551"/>
    <cellStyle name="Normal_TrAILCo attach 6 &amp; 7 and Appendix A" xfId="552"/>
    <cellStyle name="Note 10" xfId="553"/>
    <cellStyle name="Note 10 2" xfId="554"/>
    <cellStyle name="Note 10 2 2" xfId="555"/>
    <cellStyle name="Note 10 2_6 - Est and True up" xfId="556"/>
    <cellStyle name="Note 10 3" xfId="557"/>
    <cellStyle name="Note 10 3 2" xfId="558"/>
    <cellStyle name="Note 10 3_6 - Est and True up" xfId="559"/>
    <cellStyle name="Note 10 4" xfId="560"/>
    <cellStyle name="Note 10_6 - Est and True up" xfId="561"/>
    <cellStyle name="Note 11" xfId="562"/>
    <cellStyle name="Note 11 2" xfId="563"/>
    <cellStyle name="Note 11_6 - Est and True up" xfId="564"/>
    <cellStyle name="Note 12" xfId="565"/>
    <cellStyle name="Note 12 2" xfId="566"/>
    <cellStyle name="Note 12_6 - Est and True up" xfId="567"/>
    <cellStyle name="Note 13" xfId="568"/>
    <cellStyle name="Note 13 2" xfId="569"/>
    <cellStyle name="Note 13_6 - Est and True up" xfId="570"/>
    <cellStyle name="Note 14" xfId="571"/>
    <cellStyle name="Note 14 2" xfId="572"/>
    <cellStyle name="Note 14_6 - Est and True up" xfId="573"/>
    <cellStyle name="Note 15" xfId="574"/>
    <cellStyle name="Note 15 2" xfId="575"/>
    <cellStyle name="Note 15_6 - Est and True up" xfId="576"/>
    <cellStyle name="Note 16" xfId="577"/>
    <cellStyle name="Note 17" xfId="770"/>
    <cellStyle name="Note 17 2" xfId="877"/>
    <cellStyle name="Note 17 2 2" xfId="1006"/>
    <cellStyle name="Note 17 2 3" xfId="1134"/>
    <cellStyle name="Note 17 3" xfId="922"/>
    <cellStyle name="Note 17 4" xfId="1050"/>
    <cellStyle name="Note 18" xfId="763"/>
    <cellStyle name="Note 18 2" xfId="871"/>
    <cellStyle name="Note 18 2 2" xfId="1000"/>
    <cellStyle name="Note 18 2 3" xfId="1128"/>
    <cellStyle name="Note 18 3" xfId="917"/>
    <cellStyle name="Note 18 4" xfId="1045"/>
    <cellStyle name="Note 19" xfId="808"/>
    <cellStyle name="Note 19 2" xfId="960"/>
    <cellStyle name="Note 19 3" xfId="1088"/>
    <cellStyle name="Note 2" xfId="578"/>
    <cellStyle name="Note 2 2" xfId="579"/>
    <cellStyle name="Note 2 3" xfId="769"/>
    <cellStyle name="Note 2 3 2" xfId="876"/>
    <cellStyle name="Note 2 3 2 2" xfId="1005"/>
    <cellStyle name="Note 2 3 2 3" xfId="1133"/>
    <cellStyle name="Note 2 3 3" xfId="921"/>
    <cellStyle name="Note 2 3 4" xfId="1049"/>
    <cellStyle name="Note 2 4" xfId="809"/>
    <cellStyle name="Note 2 4 2" xfId="961"/>
    <cellStyle name="Note 2 4 3" xfId="1089"/>
    <cellStyle name="Note 2_6 - Est and True up" xfId="580"/>
    <cellStyle name="Note 20" xfId="816"/>
    <cellStyle name="Note 20 2" xfId="967"/>
    <cellStyle name="Note 20 3" xfId="1095"/>
    <cellStyle name="Note 21" xfId="800"/>
    <cellStyle name="Note 21 2" xfId="952"/>
    <cellStyle name="Note 21 3" xfId="1080"/>
    <cellStyle name="Note 22" xfId="865"/>
    <cellStyle name="Note 22 2" xfId="994"/>
    <cellStyle name="Note 22 3" xfId="1122"/>
    <cellStyle name="Note 23" xfId="822"/>
    <cellStyle name="Note 23 2" xfId="971"/>
    <cellStyle name="Note 23 3" xfId="1099"/>
    <cellStyle name="Note 24" xfId="858"/>
    <cellStyle name="Note 24 2" xfId="990"/>
    <cellStyle name="Note 24 3" xfId="1118"/>
    <cellStyle name="Note 25" xfId="818"/>
    <cellStyle name="Note 25 2" xfId="968"/>
    <cellStyle name="Note 25 3" xfId="1096"/>
    <cellStyle name="Note 26" xfId="873"/>
    <cellStyle name="Note 26 2" xfId="1002"/>
    <cellStyle name="Note 26 3" xfId="1130"/>
    <cellStyle name="Note 27" xfId="838"/>
    <cellStyle name="Note 27 2" xfId="980"/>
    <cellStyle name="Note 27 3" xfId="1108"/>
    <cellStyle name="Note 28" xfId="856"/>
    <cellStyle name="Note 28 2" xfId="989"/>
    <cellStyle name="Note 28 3" xfId="1117"/>
    <cellStyle name="Note 29" xfId="819"/>
    <cellStyle name="Note 29 2" xfId="969"/>
    <cellStyle name="Note 29 3" xfId="1097"/>
    <cellStyle name="Note 3" xfId="581"/>
    <cellStyle name="Note 3 2" xfId="582"/>
    <cellStyle name="Note 3_6 - Est and True up" xfId="583"/>
    <cellStyle name="Note 30" xfId="848"/>
    <cellStyle name="Note 30 2" xfId="982"/>
    <cellStyle name="Note 30 3" xfId="1110"/>
    <cellStyle name="Note 31" xfId="894"/>
    <cellStyle name="Note 31 2" xfId="1023"/>
    <cellStyle name="Note 31 3" xfId="1151"/>
    <cellStyle name="Note 32" xfId="864"/>
    <cellStyle name="Note 32 2" xfId="993"/>
    <cellStyle name="Note 32 3" xfId="1121"/>
    <cellStyle name="Note 33" xfId="824"/>
    <cellStyle name="Note 33 2" xfId="972"/>
    <cellStyle name="Note 33 3" xfId="1100"/>
    <cellStyle name="Note 34" xfId="834"/>
    <cellStyle name="Note 34 2" xfId="978"/>
    <cellStyle name="Note 34 3" xfId="1106"/>
    <cellStyle name="Note 35" xfId="896"/>
    <cellStyle name="Note 35 2" xfId="1025"/>
    <cellStyle name="Note 35 3" xfId="1153"/>
    <cellStyle name="Note 36" xfId="806"/>
    <cellStyle name="Note 36 2" xfId="958"/>
    <cellStyle name="Note 36 3" xfId="1086"/>
    <cellStyle name="Note 37" xfId="831"/>
    <cellStyle name="Note 37 2" xfId="976"/>
    <cellStyle name="Note 37 3" xfId="1104"/>
    <cellStyle name="Note 38" xfId="835"/>
    <cellStyle name="Note 39" xfId="849"/>
    <cellStyle name="Note 4" xfId="584"/>
    <cellStyle name="Note 4 2" xfId="585"/>
    <cellStyle name="Note 4_6 - Est and True up" xfId="586"/>
    <cellStyle name="Note 40" xfId="827"/>
    <cellStyle name="Note 41" xfId="839"/>
    <cellStyle name="Note 42" xfId="861"/>
    <cellStyle name="Note 43" xfId="863"/>
    <cellStyle name="Note 44" xfId="847"/>
    <cellStyle name="Note 45" xfId="821"/>
    <cellStyle name="Note 46" xfId="832"/>
    <cellStyle name="Note 47" xfId="828"/>
    <cellStyle name="Note 48" xfId="826"/>
    <cellStyle name="Note 49" xfId="837"/>
    <cellStyle name="Note 5" xfId="587"/>
    <cellStyle name="Note 5 2" xfId="588"/>
    <cellStyle name="Note 5 2 2" xfId="589"/>
    <cellStyle name="Note 5 2_6 - Est and True up" xfId="590"/>
    <cellStyle name="Note 5 3" xfId="591"/>
    <cellStyle name="Note 5 3 2" xfId="592"/>
    <cellStyle name="Note 5 3_6 - Est and True up" xfId="593"/>
    <cellStyle name="Note 5 4" xfId="594"/>
    <cellStyle name="Note 5_6 - Est and True up" xfId="595"/>
    <cellStyle name="Note 50" xfId="823"/>
    <cellStyle name="Note 51" xfId="844"/>
    <cellStyle name="Note 6" xfId="596"/>
    <cellStyle name="Note 6 2" xfId="597"/>
    <cellStyle name="Note 6 2 2" xfId="598"/>
    <cellStyle name="Note 6 2_6 - Est and True up" xfId="599"/>
    <cellStyle name="Note 6 3" xfId="600"/>
    <cellStyle name="Note 6 3 2" xfId="601"/>
    <cellStyle name="Note 6 3_6 - Est and True up" xfId="602"/>
    <cellStyle name="Note 6 4" xfId="603"/>
    <cellStyle name="Note 6_6 - Est and True up" xfId="604"/>
    <cellStyle name="Note 7" xfId="605"/>
    <cellStyle name="Note 7 2" xfId="606"/>
    <cellStyle name="Note 7 2 2" xfId="607"/>
    <cellStyle name="Note 7 2_6 - Est and True up" xfId="608"/>
    <cellStyle name="Note 7 3" xfId="609"/>
    <cellStyle name="Note 7 3 2" xfId="610"/>
    <cellStyle name="Note 7 3_6 - Est and True up" xfId="611"/>
    <cellStyle name="Note 7 4" xfId="612"/>
    <cellStyle name="Note 7_6 - Est and True up" xfId="613"/>
    <cellStyle name="Note 8" xfId="614"/>
    <cellStyle name="Note 8 2" xfId="615"/>
    <cellStyle name="Note 8 2 2" xfId="616"/>
    <cellStyle name="Note 8 2_6 - Est and True up" xfId="617"/>
    <cellStyle name="Note 8 3" xfId="618"/>
    <cellStyle name="Note 8 3 2" xfId="619"/>
    <cellStyle name="Note 8 3_6 - Est and True up" xfId="620"/>
    <cellStyle name="Note 8 4" xfId="621"/>
    <cellStyle name="Note 8_6 - Est and True up" xfId="622"/>
    <cellStyle name="Note 9" xfId="623"/>
    <cellStyle name="Note 9 2" xfId="624"/>
    <cellStyle name="Note 9 2 2" xfId="625"/>
    <cellStyle name="Note 9 2_6 - Est and True up" xfId="626"/>
    <cellStyle name="Note 9 3" xfId="627"/>
    <cellStyle name="Note 9 3 2" xfId="628"/>
    <cellStyle name="Note 9 3_6 - Est and True up" xfId="629"/>
    <cellStyle name="Note 9 4" xfId="630"/>
    <cellStyle name="Note 9_6 - Est and True up" xfId="631"/>
    <cellStyle name="Output" xfId="714" builtinId="21" customBuiltin="1"/>
    <cellStyle name="Output 2" xfId="632"/>
    <cellStyle name="Percent" xfId="633" builtinId="5"/>
    <cellStyle name="Percent 10" xfId="813"/>
    <cellStyle name="Percent 2" xfId="634"/>
    <cellStyle name="Percent 2 2" xfId="635"/>
    <cellStyle name="Percent 2 2 2" xfId="636"/>
    <cellStyle name="Percent 3" xfId="637"/>
    <cellStyle name="Percent 3 2" xfId="638"/>
    <cellStyle name="Percent 3 3" xfId="767"/>
    <cellStyle name="Percent 3 3 2" xfId="874"/>
    <cellStyle name="Percent 3 3 2 2" xfId="1003"/>
    <cellStyle name="Percent 3 3 2 3" xfId="1131"/>
    <cellStyle name="Percent 3 3 3" xfId="919"/>
    <cellStyle name="Percent 3 3 4" xfId="1047"/>
    <cellStyle name="Percent 3 4" xfId="811"/>
    <cellStyle name="Percent 3 4 2" xfId="963"/>
    <cellStyle name="Percent 3 4 3" xfId="1091"/>
    <cellStyle name="Percent 4" xfId="639"/>
    <cellStyle name="Percent 4 2" xfId="640"/>
    <cellStyle name="Percent 4 3" xfId="766"/>
    <cellStyle name="Percent 5" xfId="641"/>
    <cellStyle name="Percent 6" xfId="765"/>
    <cellStyle name="Percent 7" xfId="768"/>
    <cellStyle name="Percent 7 2" xfId="875"/>
    <cellStyle name="Percent 7 2 2" xfId="1004"/>
    <cellStyle name="Percent 7 2 3" xfId="1132"/>
    <cellStyle name="Percent 7 3" xfId="920"/>
    <cellStyle name="Percent 7 4" xfId="1048"/>
    <cellStyle name="Percent 8" xfId="810"/>
    <cellStyle name="Percent 8 2" xfId="962"/>
    <cellStyle name="Percent 8 3" xfId="1090"/>
    <cellStyle name="Percent 9" xfId="862"/>
    <cellStyle name="PSChar" xfId="642"/>
    <cellStyle name="PSDate" xfId="643"/>
    <cellStyle name="PSDec" xfId="644"/>
    <cellStyle name="PSHeading" xfId="645"/>
    <cellStyle name="PSInt" xfId="646"/>
    <cellStyle name="PSSpacer" xfId="647"/>
    <cellStyle name="SAPBEXchaText" xfId="648"/>
    <cellStyle name="SAPBEXstdData" xfId="649"/>
    <cellStyle name="SAPBEXstdItem" xfId="650"/>
    <cellStyle name="SAPBEXstdItemX" xfId="651"/>
    <cellStyle name="SAPDataCell" xfId="1156"/>
    <cellStyle name="SAPHierarchyCell0" xfId="1155"/>
    <cellStyle name="SECTION" xfId="652"/>
    <cellStyle name="Style 1" xfId="653"/>
    <cellStyle name="Style 1 10" xfId="654"/>
    <cellStyle name="Style 1 10 2" xfId="655"/>
    <cellStyle name="Style 1 10 2 2" xfId="656"/>
    <cellStyle name="Style 1 10 3" xfId="657"/>
    <cellStyle name="Style 1 11" xfId="658"/>
    <cellStyle name="Style 1 11 2" xfId="659"/>
    <cellStyle name="Style 1 11 2 2" xfId="660"/>
    <cellStyle name="Style 1 11 3" xfId="661"/>
    <cellStyle name="Style 1 12" xfId="662"/>
    <cellStyle name="Style 1 12 2" xfId="663"/>
    <cellStyle name="Style 1 12 2 2" xfId="664"/>
    <cellStyle name="Style 1 12 3" xfId="665"/>
    <cellStyle name="Style 1 13" xfId="666"/>
    <cellStyle name="Style 1 13 2" xfId="667"/>
    <cellStyle name="Style 1 2" xfId="668"/>
    <cellStyle name="Style 1 2 2" xfId="669"/>
    <cellStyle name="Style 1 2 2 2" xfId="670"/>
    <cellStyle name="Style 1 2 3" xfId="671"/>
    <cellStyle name="Style 1 3" xfId="672"/>
    <cellStyle name="Style 1 3 2" xfId="673"/>
    <cellStyle name="Style 1 3 2 2" xfId="674"/>
    <cellStyle name="Style 1 3 3" xfId="675"/>
    <cellStyle name="Style 1 4" xfId="676"/>
    <cellStyle name="Style 1 4 2" xfId="677"/>
    <cellStyle name="Style 1 4 2 2" xfId="678"/>
    <cellStyle name="Style 1 4 3" xfId="679"/>
    <cellStyle name="Style 1 5" xfId="680"/>
    <cellStyle name="Style 1 5 2" xfId="681"/>
    <cellStyle name="Style 1 5 2 2" xfId="682"/>
    <cellStyle name="Style 1 5 3" xfId="683"/>
    <cellStyle name="Style 1 6" xfId="684"/>
    <cellStyle name="Style 1 6 2" xfId="685"/>
    <cellStyle name="Style 1 6 2 2" xfId="686"/>
    <cellStyle name="Style 1 6 3" xfId="687"/>
    <cellStyle name="Style 1 7" xfId="688"/>
    <cellStyle name="Style 1 7 2" xfId="689"/>
    <cellStyle name="Style 1 7 2 2" xfId="690"/>
    <cellStyle name="Style 1 7 3" xfId="691"/>
    <cellStyle name="Style 1 8" xfId="692"/>
    <cellStyle name="Style 1 8 2" xfId="693"/>
    <cellStyle name="Style 1 8 2 2" xfId="694"/>
    <cellStyle name="Style 1 8 3" xfId="695"/>
    <cellStyle name="Style 1 9" xfId="696"/>
    <cellStyle name="Style 1 9 2" xfId="697"/>
    <cellStyle name="Style 1 9 2 2" xfId="698"/>
    <cellStyle name="Style 1 9 3" xfId="699"/>
    <cellStyle name="Style 1_FERC General Taxes" xfId="700"/>
    <cellStyle name="System Defined" xfId="701"/>
    <cellStyle name="Title" xfId="705" builtinId="15" customBuiltin="1"/>
    <cellStyle name="Title 2" xfId="702"/>
    <cellStyle name="Total" xfId="720" builtinId="25" customBuiltin="1"/>
    <cellStyle name="Total 2" xfId="703"/>
    <cellStyle name="Warning Text" xfId="718" builtinId="11" customBuiltin="1"/>
    <cellStyle name="Warning Text 2" xfId="704"/>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808000"/>
      <rgbColor rgb="00FF00FF"/>
      <rgbColor rgb="0000FFFF"/>
      <rgbColor rgb="00800000"/>
      <rgbColor rgb="00008000"/>
      <rgbColor rgb="00000080"/>
      <rgbColor rgb="00FFFF86"/>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2590800</xdr:colOff>
      <xdr:row>162</xdr:row>
      <xdr:rowOff>152400</xdr:rowOff>
    </xdr:from>
    <xdr:to>
      <xdr:col>1</xdr:col>
      <xdr:colOff>165100</xdr:colOff>
      <xdr:row>164</xdr:row>
      <xdr:rowOff>0</xdr:rowOff>
    </xdr:to>
    <xdr:cxnSp macro="">
      <xdr:nvCxnSpPr>
        <xdr:cNvPr id="2" name="Straight Arrow Connector 1"/>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2590800</xdr:colOff>
      <xdr:row>162</xdr:row>
      <xdr:rowOff>152400</xdr:rowOff>
    </xdr:from>
    <xdr:to>
      <xdr:col>1</xdr:col>
      <xdr:colOff>165100</xdr:colOff>
      <xdr:row>164</xdr:row>
      <xdr:rowOff>0</xdr:rowOff>
    </xdr:to>
    <xdr:cxnSp macro="">
      <xdr:nvCxnSpPr>
        <xdr:cNvPr id="3" name="Straight Arrow Connector 2"/>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647700</xdr:colOff>
      <xdr:row>163</xdr:row>
      <xdr:rowOff>38100</xdr:rowOff>
    </xdr:from>
    <xdr:to>
      <xdr:col>13</xdr:col>
      <xdr:colOff>939800</xdr:colOff>
      <xdr:row>164</xdr:row>
      <xdr:rowOff>76200</xdr:rowOff>
    </xdr:to>
    <xdr:cxnSp macro="">
      <xdr:nvCxnSpPr>
        <xdr:cNvPr id="4" name="Straight Arrow Connector 3"/>
        <xdr:cNvCxnSpPr/>
      </xdr:nvCxnSpPr>
      <xdr:spPr>
        <a:xfrm flipH="1" flipV="1">
          <a:off x="14697075" y="27632025"/>
          <a:ext cx="29210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324</xdr:row>
      <xdr:rowOff>50800</xdr:rowOff>
    </xdr:from>
    <xdr:to>
      <xdr:col>13</xdr:col>
      <xdr:colOff>381000</xdr:colOff>
      <xdr:row>327</xdr:row>
      <xdr:rowOff>101600</xdr:rowOff>
    </xdr:to>
    <xdr:cxnSp macro="">
      <xdr:nvCxnSpPr>
        <xdr:cNvPr id="60" name="Straight Arrow Connector 59"/>
        <xdr:cNvCxnSpPr/>
      </xdr:nvCxnSpPr>
      <xdr:spPr>
        <a:xfrm flipV="1">
          <a:off x="14201775" y="55200550"/>
          <a:ext cx="228600" cy="536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bailey/Local%20Settings/Temporary%20Internet%20Files/OLKA/JE%20130111%20August%20200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eathas6-xp\cos0699%20case%203137\EXCEL\TGSgas\WP%20A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atioasis.com/TEMP/FERCFA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lecRate/Info%20from%20Previous%20Cases/COS/W&amp;S%20Ad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ederal%20&amp;%20Regional%20Policy/PSE%20Transmission%20Rates/Formula%20Rate%20FERC%20Filings/EDIT%20filing/Copy%20of%20Attachment%20A%20-%20PSE%20Formula%20rate%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ata"/>
      <sheetName val="Data Entry"/>
      <sheetName val="Temp Data"/>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 8"/>
      <sheetName val="RR 8 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FAC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amp;S Adj"/>
      <sheetName val="W&amp;S Nonsj"/>
      <sheetName val="W&amp;S sj"/>
      <sheetName val="W&amp;S by group"/>
      <sheetName val="RengO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
      <sheetName val="ATT H-1 "/>
      <sheetName val="1 - ADIT"/>
      <sheetName val="2 - Other Tax"/>
      <sheetName val="3 - Revenue Credits"/>
      <sheetName val="4 - 100 Basis Pt ROE"/>
      <sheetName val="5 - Cost Support"/>
      <sheetName val="6 - Est and True up"/>
      <sheetName val="6A-Colstrip"/>
      <sheetName val="6B-So Intertie"/>
      <sheetName val="7 - Cap Add WS"/>
      <sheetName val="8 - Depreciation Rates"/>
      <sheetName val="WKSHT1 - Rev Credits"/>
      <sheetName val="WKSHT2 - Prepaid"/>
      <sheetName val="WKSHT3 - All GIFs"/>
      <sheetName val="WKSHT4 - Monthly Tx System Peak"/>
      <sheetName val="WKSHT5 - Plant in Service 13mo "/>
      <sheetName val="WKSHT6 - Cost of Capital"/>
      <sheetName val="WKSHT7 - Excess &amp; Defic. ADIT"/>
    </sheetNames>
    <sheetDataSet>
      <sheetData sheetId="0"/>
      <sheetData sheetId="1">
        <row r="235">
          <cell r="A235" t="str">
            <v>145a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3"/>
  <sheetViews>
    <sheetView zoomScaleNormal="100" zoomScaleSheetLayoutView="75" workbookViewId="0">
      <selection activeCell="E17" sqref="E17"/>
    </sheetView>
  </sheetViews>
  <sheetFormatPr defaultRowHeight="12.75"/>
  <cols>
    <col min="2" max="2" width="56.7109375" bestFit="1" customWidth="1"/>
    <col min="4" max="4" width="33.85546875" bestFit="1" customWidth="1"/>
    <col min="5" max="5" width="17.140625" customWidth="1"/>
  </cols>
  <sheetData>
    <row r="2" spans="1:5">
      <c r="A2" s="1961" t="s">
        <v>407</v>
      </c>
      <c r="B2" s="1962"/>
      <c r="C2" s="1962"/>
      <c r="D2" s="1962"/>
      <c r="E2" s="1962"/>
    </row>
    <row r="3" spans="1:5">
      <c r="A3" s="1963" t="s">
        <v>370</v>
      </c>
      <c r="B3" s="1963"/>
      <c r="C3" s="1963"/>
      <c r="D3" s="1963"/>
      <c r="E3" s="1963"/>
    </row>
    <row r="4" spans="1:5">
      <c r="A4" s="1963" t="s">
        <v>371</v>
      </c>
      <c r="B4" s="1963"/>
      <c r="C4" s="1963"/>
      <c r="D4" s="1963"/>
      <c r="E4" s="1963"/>
    </row>
    <row r="5" spans="1:5">
      <c r="A5" s="545"/>
      <c r="B5" s="545"/>
      <c r="C5" s="545"/>
      <c r="D5" s="545"/>
      <c r="E5" s="545"/>
    </row>
    <row r="6" spans="1:5" ht="13.5" thickBot="1">
      <c r="A6" s="546" t="s">
        <v>372</v>
      </c>
      <c r="B6" s="546" t="s">
        <v>845</v>
      </c>
      <c r="C6" s="547"/>
      <c r="D6" s="546" t="s">
        <v>373</v>
      </c>
      <c r="E6" s="546" t="s">
        <v>136</v>
      </c>
    </row>
    <row r="7" spans="1:5">
      <c r="A7" s="548">
        <v>1</v>
      </c>
      <c r="B7" s="549" t="s">
        <v>374</v>
      </c>
      <c r="C7" s="550"/>
      <c r="D7" s="551" t="s">
        <v>375</v>
      </c>
      <c r="E7" s="1438">
        <v>0</v>
      </c>
    </row>
    <row r="8" spans="1:5">
      <c r="A8" s="548">
        <v>2</v>
      </c>
      <c r="B8" s="549" t="s">
        <v>376</v>
      </c>
      <c r="C8" s="550"/>
      <c r="D8" s="553" t="s">
        <v>377</v>
      </c>
      <c r="E8" s="1438">
        <v>44962</v>
      </c>
    </row>
    <row r="9" spans="1:5">
      <c r="A9" s="548">
        <v>3</v>
      </c>
      <c r="B9" s="549" t="s">
        <v>378</v>
      </c>
      <c r="C9" s="550"/>
      <c r="D9" s="553" t="s">
        <v>379</v>
      </c>
      <c r="E9" s="1438">
        <v>2909347</v>
      </c>
    </row>
    <row r="10" spans="1:5">
      <c r="A10" s="548">
        <v>4</v>
      </c>
      <c r="B10" s="549" t="s">
        <v>380</v>
      </c>
      <c r="C10" s="550"/>
      <c r="D10" s="553" t="s">
        <v>381</v>
      </c>
      <c r="E10" s="1438">
        <v>1334024</v>
      </c>
    </row>
    <row r="11" spans="1:5">
      <c r="A11" s="548">
        <v>5</v>
      </c>
      <c r="B11" s="549" t="s">
        <v>382</v>
      </c>
      <c r="C11" s="550"/>
      <c r="D11" s="553" t="s">
        <v>383</v>
      </c>
      <c r="E11" s="1438">
        <v>0</v>
      </c>
    </row>
    <row r="12" spans="1:5">
      <c r="A12" s="548">
        <v>6</v>
      </c>
      <c r="B12" s="549" t="s">
        <v>384</v>
      </c>
      <c r="C12" s="550"/>
      <c r="D12" s="553" t="s">
        <v>385</v>
      </c>
      <c r="E12" s="1439">
        <v>1901460</v>
      </c>
    </row>
    <row r="13" spans="1:5">
      <c r="A13" s="548">
        <v>7</v>
      </c>
      <c r="B13" s="549" t="s">
        <v>386</v>
      </c>
      <c r="C13" s="550"/>
      <c r="D13" s="553" t="s">
        <v>387</v>
      </c>
      <c r="E13" s="552">
        <f>SUM(E7:E12)</f>
        <v>6189793</v>
      </c>
    </row>
    <row r="14" spans="1:5">
      <c r="A14" s="548"/>
      <c r="B14" s="554"/>
      <c r="C14" s="550"/>
      <c r="D14" s="555"/>
      <c r="E14" s="550"/>
    </row>
    <row r="15" spans="1:5">
      <c r="A15" s="548"/>
      <c r="B15" s="554"/>
      <c r="C15" s="550"/>
      <c r="D15" s="555"/>
      <c r="E15" s="550"/>
    </row>
    <row r="16" spans="1:5">
      <c r="A16" s="548">
        <v>8</v>
      </c>
      <c r="B16" s="549" t="s">
        <v>388</v>
      </c>
      <c r="C16" s="550"/>
      <c r="D16" s="553" t="s">
        <v>389</v>
      </c>
      <c r="E16" s="552">
        <f>E13</f>
        <v>6189793</v>
      </c>
    </row>
    <row r="17" spans="1:7">
      <c r="A17" s="548">
        <v>9</v>
      </c>
      <c r="B17" s="158" t="s">
        <v>156</v>
      </c>
      <c r="C17" s="550"/>
      <c r="D17" s="556" t="s">
        <v>390</v>
      </c>
      <c r="E17" s="1555">
        <f>'6 - Est and True up'!J155</f>
        <v>473641.66582442884</v>
      </c>
      <c r="G17" s="1712"/>
    </row>
    <row r="18" spans="1:7">
      <c r="A18" s="548">
        <v>10</v>
      </c>
      <c r="B18" s="158" t="s">
        <v>388</v>
      </c>
      <c r="C18" s="550"/>
      <c r="D18" s="556" t="s">
        <v>391</v>
      </c>
      <c r="E18" s="557">
        <f>+E16+E17</f>
        <v>6663434.6658244291</v>
      </c>
    </row>
    <row r="19" spans="1:7">
      <c r="A19" s="548"/>
      <c r="B19" s="554"/>
      <c r="C19" s="550"/>
      <c r="D19" s="555"/>
      <c r="E19" s="554"/>
    </row>
    <row r="20" spans="1:7">
      <c r="A20" s="548"/>
      <c r="B20" s="558" t="s">
        <v>392</v>
      </c>
      <c r="C20" s="550"/>
      <c r="D20" s="558"/>
      <c r="E20" s="549"/>
    </row>
    <row r="21" spans="1:7">
      <c r="A21" s="548"/>
      <c r="B21" s="554"/>
      <c r="C21" s="550"/>
      <c r="D21" s="555"/>
      <c r="E21" s="549"/>
    </row>
    <row r="22" spans="1:7">
      <c r="A22" s="548">
        <v>11</v>
      </c>
      <c r="B22" s="549" t="s">
        <v>393</v>
      </c>
      <c r="C22" s="550"/>
      <c r="D22" s="553" t="s">
        <v>394</v>
      </c>
      <c r="E22" s="552">
        <f>'ATT H-1 '!H293</f>
        <v>4453205.3016066216</v>
      </c>
    </row>
    <row r="23" spans="1:7">
      <c r="A23" s="548"/>
      <c r="B23" s="549"/>
      <c r="C23" s="550"/>
      <c r="D23" s="555"/>
      <c r="E23" s="549"/>
    </row>
    <row r="24" spans="1:7">
      <c r="A24" s="548"/>
      <c r="B24" s="554"/>
      <c r="C24" s="550"/>
      <c r="D24" s="555"/>
      <c r="E24" s="549"/>
    </row>
    <row r="25" spans="1:7">
      <c r="A25" s="548">
        <v>12</v>
      </c>
      <c r="B25" s="549" t="s">
        <v>395</v>
      </c>
      <c r="C25" s="550"/>
      <c r="D25" s="553" t="s">
        <v>465</v>
      </c>
      <c r="E25" s="559">
        <f>E16/E22</f>
        <v>1.389963538794597</v>
      </c>
    </row>
    <row r="26" spans="1:7">
      <c r="A26" s="548">
        <v>13</v>
      </c>
      <c r="B26" s="549" t="s">
        <v>396</v>
      </c>
      <c r="C26" s="550"/>
      <c r="D26" s="553" t="s">
        <v>466</v>
      </c>
      <c r="E26" s="559">
        <f>($E$16/$E$22)/12</f>
        <v>0.11583029489954975</v>
      </c>
    </row>
    <row r="27" spans="1:7">
      <c r="A27" s="548">
        <v>14</v>
      </c>
      <c r="B27" s="549" t="s">
        <v>397</v>
      </c>
      <c r="C27" s="550"/>
      <c r="D27" s="553" t="s">
        <v>467</v>
      </c>
      <c r="E27" s="559">
        <f>($E$16/$E$22)/52</f>
        <v>2.6730068053742249E-2</v>
      </c>
    </row>
    <row r="28" spans="1:7">
      <c r="A28" s="548"/>
      <c r="B28" s="549"/>
      <c r="C28" s="550"/>
      <c r="D28" s="553"/>
      <c r="E28" s="559"/>
    </row>
    <row r="29" spans="1:7">
      <c r="A29" s="548">
        <v>13</v>
      </c>
      <c r="B29" s="549" t="s">
        <v>398</v>
      </c>
      <c r="C29" s="550"/>
      <c r="D29" s="553" t="s">
        <v>576</v>
      </c>
      <c r="E29" s="559">
        <f>($E$27/6)</f>
        <v>4.4550113422903749E-3</v>
      </c>
    </row>
    <row r="30" spans="1:7">
      <c r="A30" s="548">
        <v>14</v>
      </c>
      <c r="B30" s="549" t="s">
        <v>399</v>
      </c>
      <c r="C30" s="550"/>
      <c r="D30" s="553" t="s">
        <v>400</v>
      </c>
      <c r="E30" s="559">
        <f>($E$27/7)</f>
        <v>3.8185811505346071E-3</v>
      </c>
    </row>
    <row r="31" spans="1:7">
      <c r="A31" s="548"/>
      <c r="B31" s="549"/>
      <c r="C31" s="550"/>
      <c r="D31" s="553"/>
      <c r="E31" s="559"/>
    </row>
    <row r="32" spans="1:7">
      <c r="A32" s="548">
        <v>15</v>
      </c>
      <c r="B32" s="549" t="s">
        <v>401</v>
      </c>
      <c r="C32" s="550"/>
      <c r="D32" s="553" t="s">
        <v>402</v>
      </c>
      <c r="E32" s="559">
        <f>($E$29/16)*1000</f>
        <v>0.27843820889314841</v>
      </c>
    </row>
    <row r="33" spans="1:7">
      <c r="A33" s="548">
        <v>16</v>
      </c>
      <c r="B33" s="549" t="s">
        <v>403</v>
      </c>
      <c r="C33" s="550"/>
      <c r="D33" s="553" t="s">
        <v>404</v>
      </c>
      <c r="E33" s="559">
        <f>($E$30/24)*1000</f>
        <v>0.15910754793894197</v>
      </c>
    </row>
    <row r="34" spans="1:7">
      <c r="A34" s="550"/>
      <c r="B34" s="550"/>
      <c r="C34" s="550"/>
      <c r="D34" s="560"/>
      <c r="E34" s="554"/>
    </row>
    <row r="35" spans="1:7">
      <c r="A35" s="561"/>
      <c r="B35" s="561"/>
      <c r="C35" s="561"/>
      <c r="D35" s="562"/>
      <c r="E35" s="563"/>
    </row>
    <row r="36" spans="1:7">
      <c r="A36" s="561"/>
      <c r="B36" s="561"/>
      <c r="C36" s="561"/>
      <c r="D36" s="562"/>
      <c r="E36" s="176"/>
    </row>
    <row r="37" spans="1:7">
      <c r="A37" s="564"/>
      <c r="B37" s="564"/>
      <c r="C37" s="564"/>
      <c r="D37" s="565"/>
      <c r="E37" s="183"/>
    </row>
    <row r="38" spans="1:7" ht="15">
      <c r="A38" s="566" t="s">
        <v>405</v>
      </c>
      <c r="B38" s="567"/>
      <c r="C38" s="567"/>
      <c r="D38" s="567"/>
      <c r="E38" s="567"/>
    </row>
    <row r="39" spans="1:7" ht="15">
      <c r="A39" s="568">
        <v>1</v>
      </c>
      <c r="B39" s="1964" t="s">
        <v>459</v>
      </c>
      <c r="C39" s="1964"/>
      <c r="D39" s="1964"/>
      <c r="E39" s="1964"/>
    </row>
    <row r="40" spans="1:7" ht="15">
      <c r="A40" s="568">
        <v>2</v>
      </c>
      <c r="B40" s="1960" t="s">
        <v>406</v>
      </c>
      <c r="C40" s="1960"/>
      <c r="D40" s="1960"/>
      <c r="E40" s="567"/>
    </row>
    <row r="45" spans="1:7">
      <c r="F45" s="800"/>
      <c r="G45" s="800"/>
    </row>
    <row r="46" spans="1:7">
      <c r="E46" s="428"/>
    </row>
    <row r="47" spans="1:7">
      <c r="E47" s="801"/>
    </row>
    <row r="48" spans="1:7">
      <c r="E48" s="428"/>
    </row>
    <row r="49" spans="5:6">
      <c r="E49" s="428"/>
    </row>
    <row r="50" spans="5:6">
      <c r="E50" s="428"/>
    </row>
    <row r="51" spans="5:6">
      <c r="E51" s="486"/>
      <c r="F51" s="800"/>
    </row>
    <row r="52" spans="5:6">
      <c r="E52" s="802"/>
    </row>
    <row r="53" spans="5:6">
      <c r="E53" s="801"/>
    </row>
  </sheetData>
  <mergeCells count="5">
    <mergeCell ref="B40:D40"/>
    <mergeCell ref="A2:E2"/>
    <mergeCell ref="A3:E3"/>
    <mergeCell ref="A4:E4"/>
    <mergeCell ref="B39:E39"/>
  </mergeCells>
  <phoneticPr fontId="73" type="noConversion"/>
  <pageMargins left="0.2" right="0.2"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90"/>
  <sheetViews>
    <sheetView topLeftCell="A61" zoomScale="75" zoomScaleNormal="75" zoomScaleSheetLayoutView="55" workbookViewId="0">
      <selection activeCell="D69" sqref="D69"/>
    </sheetView>
  </sheetViews>
  <sheetFormatPr defaultRowHeight="12.75"/>
  <cols>
    <col min="3" max="3" width="18.140625" customWidth="1"/>
    <col min="4" max="4" width="18.85546875" customWidth="1"/>
    <col min="5" max="5" width="28.85546875" customWidth="1"/>
    <col min="6" max="6" width="16.42578125" customWidth="1"/>
    <col min="7" max="7" width="19.42578125" customWidth="1"/>
    <col min="8" max="8" width="20.5703125" customWidth="1"/>
    <col min="9" max="9" width="11.5703125" customWidth="1"/>
    <col min="10" max="11" width="13.5703125" customWidth="1"/>
    <col min="12" max="12" width="13.140625" customWidth="1"/>
    <col min="13" max="13" width="16" customWidth="1"/>
    <col min="14" max="14" width="15" customWidth="1"/>
  </cols>
  <sheetData>
    <row r="2" spans="1:28" ht="15">
      <c r="A2" s="1981" t="s">
        <v>447</v>
      </c>
      <c r="B2" s="1981"/>
      <c r="C2" s="1981"/>
      <c r="D2" s="1981"/>
      <c r="E2" s="1981"/>
      <c r="F2" s="1981"/>
      <c r="G2" s="1981"/>
      <c r="H2" s="1981"/>
      <c r="I2" s="1981"/>
      <c r="J2" s="1981"/>
      <c r="K2" s="1981"/>
      <c r="L2" s="1981"/>
      <c r="M2" s="1981"/>
      <c r="N2" s="1981"/>
      <c r="O2" s="1981"/>
      <c r="P2" s="1981"/>
      <c r="Q2" s="1981"/>
      <c r="R2" s="1981"/>
    </row>
    <row r="3" spans="1:28" ht="18">
      <c r="A3" s="1430" t="s">
        <v>882</v>
      </c>
      <c r="B3" s="569"/>
      <c r="C3" s="569"/>
      <c r="D3" s="569"/>
      <c r="E3" s="569"/>
      <c r="F3" s="569"/>
      <c r="G3" s="569"/>
      <c r="H3" s="569"/>
      <c r="I3" s="570"/>
      <c r="J3" s="570"/>
      <c r="K3" s="421"/>
      <c r="L3" s="421"/>
      <c r="M3" s="421"/>
      <c r="N3" s="421"/>
      <c r="O3" s="421"/>
      <c r="P3" s="421"/>
      <c r="Q3" s="421"/>
      <c r="R3" s="421"/>
      <c r="X3" s="97"/>
      <c r="Y3" s="97"/>
      <c r="Z3" s="97"/>
      <c r="AA3" s="97"/>
      <c r="AB3" s="97"/>
    </row>
    <row r="4" spans="1:28">
      <c r="A4" s="421"/>
      <c r="B4" s="421"/>
      <c r="C4" s="421"/>
      <c r="D4" s="421"/>
      <c r="E4" s="1765" t="s">
        <v>1105</v>
      </c>
      <c r="F4" s="1766">
        <v>2021</v>
      </c>
      <c r="G4" s="421"/>
      <c r="H4" s="421"/>
      <c r="I4" s="421"/>
      <c r="J4" s="421"/>
      <c r="K4" s="421"/>
      <c r="L4" s="421"/>
      <c r="M4" s="421"/>
      <c r="N4" s="421"/>
      <c r="O4" s="421"/>
      <c r="P4" s="421"/>
      <c r="Q4" s="421"/>
      <c r="R4" s="421"/>
      <c r="X4" s="97"/>
      <c r="Y4" s="97"/>
      <c r="Z4" s="97"/>
      <c r="AA4" s="97"/>
      <c r="AB4" s="97"/>
    </row>
    <row r="5" spans="1:28" ht="16.5">
      <c r="A5" s="420"/>
      <c r="B5" s="420"/>
      <c r="C5" s="420"/>
      <c r="D5" s="419"/>
      <c r="E5" s="1765" t="s">
        <v>1106</v>
      </c>
      <c r="F5" s="1767">
        <v>2022</v>
      </c>
      <c r="G5" s="419"/>
      <c r="H5" s="419"/>
      <c r="I5" s="419"/>
      <c r="J5" s="571"/>
      <c r="K5" s="419"/>
      <c r="L5" s="419"/>
      <c r="M5" s="419"/>
      <c r="N5" s="419"/>
      <c r="O5" s="419"/>
      <c r="P5" s="419"/>
      <c r="Q5" s="419"/>
      <c r="R5" s="419"/>
      <c r="X5" s="97"/>
      <c r="Y5" s="97"/>
      <c r="Z5" s="97"/>
      <c r="AA5" s="97"/>
      <c r="AB5" s="97"/>
    </row>
    <row r="6" spans="1:28" ht="13.5">
      <c r="A6" s="572" t="s">
        <v>621</v>
      </c>
      <c r="B6" s="572" t="s">
        <v>622</v>
      </c>
      <c r="C6" s="572" t="s">
        <v>623</v>
      </c>
      <c r="D6" s="572" t="s">
        <v>624</v>
      </c>
      <c r="E6" s="1765" t="s">
        <v>1107</v>
      </c>
      <c r="F6" s="1767">
        <v>2023</v>
      </c>
      <c r="G6" s="573"/>
      <c r="H6" s="573"/>
      <c r="I6" s="573"/>
      <c r="J6" s="573"/>
      <c r="K6" s="573"/>
      <c r="L6" s="573"/>
      <c r="M6" s="573"/>
      <c r="N6" s="573"/>
      <c r="O6" s="573"/>
      <c r="P6" s="573"/>
      <c r="Q6" s="573"/>
      <c r="R6" s="573"/>
      <c r="X6" s="597"/>
      <c r="Y6" s="597"/>
      <c r="Z6" s="597"/>
      <c r="AA6" s="597"/>
      <c r="AB6" s="97"/>
    </row>
    <row r="7" spans="1:28" ht="13.5">
      <c r="A7" s="420"/>
      <c r="B7" s="572"/>
      <c r="C7" s="572"/>
      <c r="D7" s="573"/>
      <c r="E7" s="573"/>
      <c r="F7" s="573"/>
      <c r="G7" s="573"/>
      <c r="H7" s="573"/>
      <c r="I7" s="573"/>
      <c r="J7" s="573"/>
      <c r="K7" s="573"/>
      <c r="L7" s="573"/>
      <c r="M7" s="573"/>
      <c r="N7" s="573"/>
      <c r="O7" s="573"/>
      <c r="P7" s="573"/>
      <c r="Q7" s="573"/>
      <c r="R7" s="573"/>
      <c r="X7" s="844"/>
      <c r="Y7" s="844"/>
      <c r="Z7" s="844"/>
      <c r="AA7" s="844"/>
      <c r="AB7" s="97"/>
    </row>
    <row r="8" spans="1:28" ht="13.5">
      <c r="A8" s="574" t="s">
        <v>625</v>
      </c>
      <c r="B8" s="572"/>
      <c r="C8" s="572"/>
      <c r="D8" s="573"/>
      <c r="E8" s="573"/>
      <c r="F8" s="573"/>
      <c r="G8" s="573"/>
      <c r="H8" s="573"/>
      <c r="I8" s="573"/>
      <c r="J8" s="573"/>
      <c r="K8" s="573"/>
      <c r="L8" s="573"/>
      <c r="M8" s="573"/>
      <c r="N8" s="573"/>
      <c r="X8" s="844"/>
      <c r="Y8" s="844"/>
      <c r="Z8" s="844"/>
      <c r="AA8" s="844"/>
      <c r="AB8" s="97"/>
    </row>
    <row r="9" spans="1:28" ht="15.75">
      <c r="A9" s="575">
        <v>1</v>
      </c>
      <c r="B9" s="575" t="s">
        <v>626</v>
      </c>
      <c r="C9" s="575" t="s">
        <v>601</v>
      </c>
      <c r="D9" s="1778" t="s">
        <v>1092</v>
      </c>
      <c r="E9" s="577"/>
      <c r="F9" s="577"/>
      <c r="G9" s="577"/>
      <c r="H9" s="577"/>
      <c r="I9" s="577"/>
      <c r="J9" s="577"/>
      <c r="K9" s="577"/>
      <c r="L9" s="577"/>
      <c r="M9" s="577"/>
      <c r="N9" s="577"/>
      <c r="X9" s="844"/>
      <c r="Y9" s="845"/>
      <c r="Z9" s="845"/>
      <c r="AA9" s="846"/>
      <c r="AB9" s="97"/>
    </row>
    <row r="10" spans="1:28" ht="13.5">
      <c r="A10" s="575">
        <v>2</v>
      </c>
      <c r="B10" s="575" t="s">
        <v>626</v>
      </c>
      <c r="C10" s="575" t="s">
        <v>601</v>
      </c>
      <c r="D10" s="576" t="s">
        <v>1093</v>
      </c>
      <c r="E10" s="577"/>
      <c r="F10" s="577"/>
      <c r="G10" s="577"/>
      <c r="H10" s="577"/>
      <c r="I10" s="577"/>
      <c r="J10" s="577"/>
      <c r="K10" s="577"/>
      <c r="L10" s="577"/>
      <c r="M10" s="577"/>
      <c r="N10" s="577"/>
      <c r="X10" s="844"/>
      <c r="Y10" s="845"/>
      <c r="Z10" s="845"/>
      <c r="AA10" s="846"/>
      <c r="AB10" s="97"/>
    </row>
    <row r="11" spans="1:28" ht="13.5">
      <c r="A11" s="575">
        <v>3</v>
      </c>
      <c r="B11" s="575" t="s">
        <v>626</v>
      </c>
      <c r="C11" s="575" t="s">
        <v>601</v>
      </c>
      <c r="D11" s="576" t="s">
        <v>1094</v>
      </c>
      <c r="E11" s="577"/>
      <c r="F11" s="577"/>
      <c r="G11" s="577"/>
      <c r="H11" s="577"/>
      <c r="I11" s="577"/>
      <c r="J11" s="577"/>
      <c r="K11" s="577"/>
      <c r="L11" s="577"/>
      <c r="M11" s="577"/>
      <c r="N11" s="577"/>
      <c r="X11" s="844"/>
      <c r="Y11" s="845"/>
      <c r="Z11" s="845"/>
      <c r="AA11" s="846"/>
      <c r="AB11" s="97"/>
    </row>
    <row r="12" spans="1:28" ht="13.5">
      <c r="A12" s="575">
        <v>4</v>
      </c>
      <c r="B12" s="575" t="s">
        <v>627</v>
      </c>
      <c r="C12" s="575" t="s">
        <v>601</v>
      </c>
      <c r="D12" s="576" t="s">
        <v>962</v>
      </c>
      <c r="E12" s="577"/>
      <c r="F12" s="577"/>
      <c r="G12" s="577"/>
      <c r="H12" s="577"/>
      <c r="I12" s="577"/>
      <c r="J12" s="577"/>
      <c r="K12" s="577"/>
      <c r="L12" s="577"/>
      <c r="M12" s="577"/>
      <c r="N12" s="577"/>
      <c r="X12" s="597"/>
      <c r="Y12" s="847"/>
      <c r="Z12" s="847"/>
      <c r="AA12" s="846"/>
      <c r="AB12" s="97"/>
    </row>
    <row r="13" spans="1:28" ht="13.5">
      <c r="A13" s="575">
        <v>5</v>
      </c>
      <c r="B13" s="578" t="s">
        <v>628</v>
      </c>
      <c r="C13" s="575" t="s">
        <v>601</v>
      </c>
      <c r="D13" s="576" t="s">
        <v>1095</v>
      </c>
      <c r="E13" s="577"/>
      <c r="F13" s="577"/>
      <c r="G13" s="577"/>
      <c r="H13" s="577"/>
      <c r="I13" s="577"/>
      <c r="J13" s="577"/>
      <c r="K13" s="577"/>
      <c r="L13" s="577"/>
      <c r="M13" s="577"/>
      <c r="N13" s="577"/>
      <c r="X13" s="597"/>
      <c r="Y13" s="847"/>
      <c r="Z13" s="847"/>
      <c r="AA13" s="846"/>
      <c r="AB13" s="97"/>
    </row>
    <row r="14" spans="1:28" ht="13.5">
      <c r="A14" s="572">
        <v>6</v>
      </c>
      <c r="B14" s="572" t="s">
        <v>626</v>
      </c>
      <c r="C14" s="575" t="s">
        <v>602</v>
      </c>
      <c r="D14" s="576" t="s">
        <v>1096</v>
      </c>
      <c r="E14" s="573"/>
      <c r="F14" s="573"/>
      <c r="G14" s="573"/>
      <c r="H14" s="573"/>
      <c r="I14" s="573"/>
      <c r="J14" s="573"/>
      <c r="K14" s="573"/>
      <c r="L14" s="573"/>
      <c r="M14" s="573"/>
      <c r="N14" s="573"/>
      <c r="X14" s="597"/>
      <c r="Y14" s="847"/>
      <c r="Z14" s="847"/>
      <c r="AA14" s="846"/>
      <c r="AB14" s="97"/>
    </row>
    <row r="15" spans="1:28" ht="13.5">
      <c r="A15" s="572">
        <v>7</v>
      </c>
      <c r="B15" s="572" t="s">
        <v>626</v>
      </c>
      <c r="C15" s="575" t="s">
        <v>602</v>
      </c>
      <c r="D15" s="576" t="str">
        <f>+D65</f>
        <v>Reconciliation</v>
      </c>
      <c r="E15" s="580"/>
      <c r="F15" s="580"/>
      <c r="G15" s="580"/>
      <c r="H15" s="580"/>
      <c r="I15" s="580"/>
      <c r="J15" s="580"/>
      <c r="K15" s="573"/>
      <c r="L15" s="573"/>
      <c r="M15" s="573"/>
      <c r="N15" s="573"/>
      <c r="X15" s="597"/>
      <c r="Y15" s="847"/>
      <c r="Z15" s="847"/>
      <c r="AA15" s="846"/>
      <c r="AB15" s="97"/>
    </row>
    <row r="16" spans="1:28" ht="13.5">
      <c r="A16" s="572">
        <v>8</v>
      </c>
      <c r="B16" s="572" t="s">
        <v>626</v>
      </c>
      <c r="C16" s="575" t="s">
        <v>602</v>
      </c>
      <c r="D16" s="576" t="s">
        <v>1110</v>
      </c>
      <c r="E16" s="573"/>
      <c r="F16" s="573"/>
      <c r="G16" s="573"/>
      <c r="H16" s="573"/>
      <c r="I16" s="573"/>
      <c r="J16" s="573"/>
      <c r="K16" s="573"/>
      <c r="L16" s="573"/>
      <c r="M16" s="573"/>
      <c r="N16" s="573"/>
      <c r="X16" s="597"/>
      <c r="Y16" s="847"/>
      <c r="Z16" s="847"/>
      <c r="AA16" s="846"/>
      <c r="AB16" s="97"/>
    </row>
    <row r="17" spans="1:28" ht="13.5">
      <c r="A17" s="572">
        <v>9</v>
      </c>
      <c r="B17" s="572" t="s">
        <v>626</v>
      </c>
      <c r="C17" s="575" t="s">
        <v>602</v>
      </c>
      <c r="D17" s="576" t="s">
        <v>1097</v>
      </c>
      <c r="E17" s="573"/>
      <c r="F17" s="573"/>
      <c r="G17" s="573"/>
      <c r="H17" s="573"/>
      <c r="I17" s="573"/>
      <c r="J17" s="573"/>
      <c r="K17" s="573"/>
      <c r="L17" s="573"/>
      <c r="M17" s="573"/>
      <c r="N17" s="573"/>
      <c r="X17" s="597"/>
      <c r="Y17" s="847"/>
      <c r="Z17" s="847"/>
      <c r="AA17" s="846"/>
      <c r="AB17" s="97"/>
    </row>
    <row r="18" spans="1:28" ht="13.5">
      <c r="A18" s="572">
        <v>10</v>
      </c>
      <c r="B18" s="572" t="s">
        <v>627</v>
      </c>
      <c r="C18" s="575" t="s">
        <v>602</v>
      </c>
      <c r="D18" s="576" t="s">
        <v>460</v>
      </c>
      <c r="E18" s="573"/>
      <c r="F18" s="573"/>
      <c r="G18" s="573"/>
      <c r="H18" s="573"/>
      <c r="I18" s="573"/>
      <c r="J18" s="573"/>
      <c r="K18" s="573"/>
      <c r="L18" s="573"/>
      <c r="M18" s="573"/>
      <c r="N18" s="573"/>
      <c r="X18" s="597"/>
      <c r="Y18" s="847"/>
      <c r="Z18" s="847"/>
      <c r="AA18" s="846"/>
      <c r="AB18" s="97"/>
    </row>
    <row r="19" spans="1:28" ht="13.5">
      <c r="A19" s="572">
        <v>11</v>
      </c>
      <c r="B19" s="581" t="s">
        <v>628</v>
      </c>
      <c r="C19" s="575" t="s">
        <v>602</v>
      </c>
      <c r="D19" s="576" t="s">
        <v>1098</v>
      </c>
      <c r="E19" s="573"/>
      <c r="F19" s="573"/>
      <c r="G19" s="573"/>
      <c r="H19" s="573"/>
      <c r="I19" s="573"/>
      <c r="J19" s="573"/>
      <c r="K19" s="573"/>
      <c r="L19" s="573"/>
      <c r="M19" s="573"/>
      <c r="N19" s="573"/>
      <c r="X19" s="597"/>
      <c r="Y19" s="847"/>
      <c r="Z19" s="847"/>
      <c r="AA19" s="847"/>
      <c r="AB19" s="97"/>
    </row>
    <row r="20" spans="1:28" ht="13.5">
      <c r="A20" s="572"/>
      <c r="B20" s="581"/>
      <c r="C20" s="572"/>
      <c r="D20" s="579"/>
      <c r="E20" s="573"/>
      <c r="F20" s="573"/>
      <c r="G20" s="573"/>
      <c r="H20" s="573"/>
      <c r="I20" s="573"/>
      <c r="J20" s="573"/>
      <c r="K20" s="573"/>
      <c r="L20" s="573"/>
      <c r="M20" s="573"/>
      <c r="N20" s="573"/>
      <c r="X20" s="597"/>
      <c r="Y20" s="597"/>
      <c r="Z20" s="597"/>
      <c r="AA20" s="597"/>
      <c r="AB20" s="97"/>
    </row>
    <row r="21" spans="1:28" ht="13.5">
      <c r="A21" s="582"/>
      <c r="B21" s="575"/>
      <c r="C21" s="572"/>
      <c r="D21" s="583"/>
      <c r="E21" s="573"/>
      <c r="F21" s="573"/>
      <c r="G21" s="573"/>
      <c r="H21" s="573"/>
      <c r="I21" s="573"/>
      <c r="J21" s="573"/>
      <c r="K21" s="573"/>
      <c r="L21" s="573"/>
      <c r="M21" s="573"/>
      <c r="N21" s="573"/>
      <c r="X21" s="597"/>
      <c r="Y21" s="597"/>
      <c r="Z21" s="597"/>
      <c r="AA21" s="597"/>
      <c r="AB21" s="97"/>
    </row>
    <row r="22" spans="1:28" ht="13.5">
      <c r="A22" s="572">
        <v>1</v>
      </c>
      <c r="B22" s="572" t="s">
        <v>626</v>
      </c>
      <c r="C22" s="572" t="s">
        <v>601</v>
      </c>
      <c r="D22" s="573" t="s">
        <v>1099</v>
      </c>
      <c r="E22" s="573"/>
      <c r="F22" s="573"/>
      <c r="G22" s="573"/>
      <c r="H22" s="573"/>
      <c r="I22" s="573"/>
      <c r="J22" s="419"/>
      <c r="K22" s="573"/>
      <c r="L22" s="573"/>
      <c r="M22" s="573"/>
      <c r="N22" s="573"/>
    </row>
    <row r="23" spans="1:28" ht="13.5">
      <c r="A23" s="572"/>
      <c r="B23" s="572"/>
      <c r="C23" s="572"/>
      <c r="D23" s="584"/>
      <c r="E23" s="573" t="s">
        <v>366</v>
      </c>
      <c r="F23" s="573"/>
      <c r="G23" s="1779" t="s">
        <v>1089</v>
      </c>
      <c r="H23" s="1500"/>
      <c r="I23" s="1500"/>
      <c r="J23" s="1500"/>
      <c r="K23" s="573"/>
      <c r="L23" s="573"/>
      <c r="M23" s="573"/>
      <c r="N23" s="573"/>
    </row>
    <row r="24" spans="1:28" ht="13.5">
      <c r="A24" s="572"/>
      <c r="B24" s="572"/>
      <c r="C24" s="572"/>
      <c r="D24" s="586"/>
      <c r="E24" s="573"/>
      <c r="F24" s="573"/>
      <c r="G24" s="573"/>
      <c r="H24" s="573"/>
      <c r="I24" s="573"/>
      <c r="J24" s="573"/>
      <c r="K24" s="573"/>
      <c r="L24" s="573"/>
      <c r="M24" s="573"/>
      <c r="N24" s="573"/>
      <c r="O24" s="573"/>
      <c r="P24" s="573"/>
      <c r="Q24" s="573"/>
      <c r="R24" s="573"/>
    </row>
    <row r="25" spans="1:28" ht="13.5">
      <c r="A25" s="572">
        <v>2</v>
      </c>
      <c r="B25" s="572" t="s">
        <v>626</v>
      </c>
      <c r="C25" s="572" t="s">
        <v>601</v>
      </c>
      <c r="D25" s="579" t="s">
        <v>1093</v>
      </c>
      <c r="E25" s="573"/>
      <c r="F25" s="573"/>
      <c r="G25" s="573"/>
      <c r="H25" s="573"/>
      <c r="I25" s="573"/>
      <c r="J25" s="419"/>
      <c r="K25" s="573"/>
      <c r="L25" s="573"/>
      <c r="M25" s="573"/>
      <c r="N25" s="573"/>
      <c r="O25" s="573"/>
      <c r="P25" s="573"/>
      <c r="Q25" s="573"/>
      <c r="R25" s="573"/>
    </row>
    <row r="26" spans="1:28" ht="13.5">
      <c r="A26" s="572"/>
      <c r="C26" s="572"/>
      <c r="D26" s="579"/>
      <c r="E26" s="573"/>
      <c r="F26" s="573"/>
      <c r="G26" s="573"/>
      <c r="H26" s="573"/>
      <c r="I26" s="573"/>
      <c r="J26" s="419"/>
      <c r="K26" s="573"/>
      <c r="L26" s="573"/>
      <c r="M26" s="573"/>
      <c r="N26" s="573"/>
      <c r="O26" s="573"/>
      <c r="P26" s="573"/>
      <c r="Q26" s="573"/>
      <c r="R26" s="573"/>
    </row>
    <row r="27" spans="1:28" ht="13.5">
      <c r="A27" s="572"/>
      <c r="B27" s="419"/>
      <c r="C27" s="479" t="s">
        <v>263</v>
      </c>
      <c r="D27" s="479" t="s">
        <v>264</v>
      </c>
      <c r="E27" s="479" t="s">
        <v>356</v>
      </c>
      <c r="F27" s="479" t="s">
        <v>265</v>
      </c>
      <c r="G27" s="479" t="s">
        <v>266</v>
      </c>
      <c r="H27" s="479" t="s">
        <v>262</v>
      </c>
      <c r="I27" s="479"/>
      <c r="J27" s="479" t="s">
        <v>570</v>
      </c>
      <c r="K27" s="479" t="s">
        <v>571</v>
      </c>
      <c r="L27" s="479" t="s">
        <v>963</v>
      </c>
      <c r="M27" s="575" t="s">
        <v>964</v>
      </c>
      <c r="N27" s="572" t="s">
        <v>965</v>
      </c>
      <c r="O27" s="572" t="s">
        <v>966</v>
      </c>
      <c r="P27" s="572"/>
      <c r="Q27" s="575"/>
      <c r="R27" s="575"/>
    </row>
    <row r="28" spans="1:28" ht="13.5">
      <c r="A28" s="572"/>
      <c r="B28" s="419"/>
      <c r="C28" s="572" t="s">
        <v>219</v>
      </c>
      <c r="D28" s="572" t="s">
        <v>219</v>
      </c>
      <c r="E28" s="572" t="s">
        <v>219</v>
      </c>
      <c r="F28" s="572" t="s">
        <v>219</v>
      </c>
      <c r="G28" s="572" t="s">
        <v>219</v>
      </c>
      <c r="H28" s="572" t="s">
        <v>219</v>
      </c>
      <c r="I28" s="572"/>
      <c r="J28" s="572" t="s">
        <v>72</v>
      </c>
      <c r="K28" s="572" t="s">
        <v>72</v>
      </c>
      <c r="L28" s="572" t="s">
        <v>72</v>
      </c>
      <c r="M28" s="572" t="s">
        <v>72</v>
      </c>
      <c r="N28" s="572" t="s">
        <v>72</v>
      </c>
      <c r="O28" s="572" t="s">
        <v>72</v>
      </c>
      <c r="P28" s="572"/>
      <c r="Q28" s="575"/>
      <c r="R28" s="2"/>
    </row>
    <row r="29" spans="1:28" ht="13.5">
      <c r="A29" s="572"/>
      <c r="B29" s="573"/>
      <c r="C29" s="572" t="s">
        <v>68</v>
      </c>
      <c r="D29" s="572" t="s">
        <v>68</v>
      </c>
      <c r="E29" s="572" t="s">
        <v>68</v>
      </c>
      <c r="F29" s="572" t="s">
        <v>68</v>
      </c>
      <c r="G29" s="623"/>
      <c r="H29" s="623"/>
      <c r="I29" s="572"/>
      <c r="J29" s="572" t="s">
        <v>73</v>
      </c>
      <c r="K29" s="572" t="s">
        <v>74</v>
      </c>
      <c r="L29" s="572" t="s">
        <v>75</v>
      </c>
      <c r="M29" s="572" t="s">
        <v>76</v>
      </c>
      <c r="N29" s="572" t="s">
        <v>77</v>
      </c>
      <c r="O29" s="572" t="s">
        <v>78</v>
      </c>
      <c r="P29" s="572"/>
      <c r="Q29" s="577"/>
      <c r="R29" s="2"/>
    </row>
    <row r="30" spans="1:28" ht="13.5">
      <c r="A30" s="572"/>
      <c r="B30" s="573"/>
      <c r="C30" s="572"/>
      <c r="D30" s="572"/>
      <c r="E30" s="572"/>
      <c r="F30" s="572"/>
      <c r="G30" s="572" t="s">
        <v>69</v>
      </c>
      <c r="H30" s="572" t="s">
        <v>70</v>
      </c>
      <c r="I30" s="572"/>
      <c r="J30" s="572"/>
      <c r="K30" s="572"/>
      <c r="L30" s="572"/>
      <c r="M30" s="572"/>
      <c r="N30" s="572"/>
      <c r="O30" s="572"/>
      <c r="Q30" s="577"/>
      <c r="R30" s="2"/>
    </row>
    <row r="31" spans="1:28" ht="13.5">
      <c r="A31" s="572"/>
      <c r="B31" s="573"/>
      <c r="C31" s="572"/>
      <c r="D31" s="587"/>
      <c r="E31" s="587"/>
      <c r="F31" s="587"/>
      <c r="G31" s="572"/>
      <c r="H31" s="572"/>
      <c r="I31" s="622"/>
      <c r="J31" s="572"/>
      <c r="K31" s="572"/>
      <c r="L31" s="588"/>
      <c r="M31" s="572"/>
      <c r="N31" s="572"/>
      <c r="O31" s="583"/>
      <c r="Q31" s="577"/>
      <c r="R31" s="2"/>
    </row>
    <row r="32" spans="1:28" ht="13.5">
      <c r="A32" s="572"/>
      <c r="B32" s="573" t="s">
        <v>629</v>
      </c>
      <c r="C32" s="848"/>
      <c r="D32" s="589"/>
      <c r="E32" s="589"/>
      <c r="F32" s="589"/>
      <c r="G32" s="589"/>
      <c r="H32" s="589"/>
      <c r="I32" s="622"/>
      <c r="J32" s="588">
        <f t="shared" ref="J32:O32" si="0">C32</f>
        <v>0</v>
      </c>
      <c r="K32" s="588">
        <f t="shared" si="0"/>
        <v>0</v>
      </c>
      <c r="L32" s="588">
        <f t="shared" si="0"/>
        <v>0</v>
      </c>
      <c r="M32" s="588">
        <f t="shared" si="0"/>
        <v>0</v>
      </c>
      <c r="N32" s="588">
        <f t="shared" si="0"/>
        <v>0</v>
      </c>
      <c r="O32" s="588">
        <f t="shared" si="0"/>
        <v>0</v>
      </c>
      <c r="P32" s="588"/>
      <c r="Q32" s="577"/>
      <c r="R32" s="2"/>
    </row>
    <row r="33" spans="1:18" ht="13.5">
      <c r="A33" s="572"/>
      <c r="B33" s="573" t="s">
        <v>630</v>
      </c>
      <c r="C33" s="848"/>
      <c r="D33" s="589"/>
      <c r="E33" s="589"/>
      <c r="F33" s="589"/>
      <c r="G33" s="589"/>
      <c r="H33" s="589"/>
      <c r="I33" s="622"/>
      <c r="J33" s="588">
        <f>J32+C33</f>
        <v>0</v>
      </c>
      <c r="K33" s="588">
        <f t="shared" ref="K33:O43" si="1">K32+D33</f>
        <v>0</v>
      </c>
      <c r="L33" s="588">
        <f t="shared" si="1"/>
        <v>0</v>
      </c>
      <c r="M33" s="588">
        <f t="shared" si="1"/>
        <v>0</v>
      </c>
      <c r="N33" s="588">
        <f t="shared" si="1"/>
        <v>0</v>
      </c>
      <c r="O33" s="588">
        <f t="shared" si="1"/>
        <v>0</v>
      </c>
      <c r="P33" s="588"/>
      <c r="Q33" s="577"/>
      <c r="R33" s="2"/>
    </row>
    <row r="34" spans="1:18" ht="13.5">
      <c r="A34" s="572"/>
      <c r="B34" s="573" t="s">
        <v>631</v>
      </c>
      <c r="C34" s="848"/>
      <c r="D34" s="589"/>
      <c r="E34" s="589"/>
      <c r="F34" s="589"/>
      <c r="G34" s="589"/>
      <c r="H34" s="589"/>
      <c r="I34" s="622"/>
      <c r="J34" s="588">
        <f t="shared" ref="J34:J43" si="2">J33+C34</f>
        <v>0</v>
      </c>
      <c r="K34" s="588">
        <f t="shared" si="1"/>
        <v>0</v>
      </c>
      <c r="L34" s="588">
        <f t="shared" si="1"/>
        <v>0</v>
      </c>
      <c r="M34" s="588">
        <f t="shared" si="1"/>
        <v>0</v>
      </c>
      <c r="N34" s="588">
        <f t="shared" si="1"/>
        <v>0</v>
      </c>
      <c r="O34" s="588">
        <f t="shared" si="1"/>
        <v>0</v>
      </c>
      <c r="P34" s="588"/>
      <c r="Q34" s="577"/>
      <c r="R34" s="2"/>
    </row>
    <row r="35" spans="1:18" ht="13.5">
      <c r="A35" s="572"/>
      <c r="B35" s="573" t="s">
        <v>632</v>
      </c>
      <c r="C35" s="848"/>
      <c r="D35" s="589"/>
      <c r="E35" s="589"/>
      <c r="F35" s="589"/>
      <c r="G35" s="589"/>
      <c r="H35" s="589"/>
      <c r="I35" s="622"/>
      <c r="J35" s="588">
        <f t="shared" si="2"/>
        <v>0</v>
      </c>
      <c r="K35" s="588">
        <f t="shared" si="1"/>
        <v>0</v>
      </c>
      <c r="L35" s="588">
        <f t="shared" si="1"/>
        <v>0</v>
      </c>
      <c r="M35" s="588">
        <f t="shared" si="1"/>
        <v>0</v>
      </c>
      <c r="N35" s="588">
        <f t="shared" si="1"/>
        <v>0</v>
      </c>
      <c r="O35" s="588">
        <f t="shared" si="1"/>
        <v>0</v>
      </c>
      <c r="P35" s="588"/>
      <c r="Q35" s="577"/>
      <c r="R35" s="2"/>
    </row>
    <row r="36" spans="1:18" ht="13.5">
      <c r="A36" s="572"/>
      <c r="B36" s="573" t="s">
        <v>627</v>
      </c>
      <c r="C36" s="848"/>
      <c r="D36" s="589"/>
      <c r="E36" s="589"/>
      <c r="F36" s="589"/>
      <c r="G36" s="589"/>
      <c r="H36" s="589"/>
      <c r="I36" s="622"/>
      <c r="J36" s="588">
        <f t="shared" si="2"/>
        <v>0</v>
      </c>
      <c r="K36" s="588">
        <f t="shared" si="1"/>
        <v>0</v>
      </c>
      <c r="L36" s="588">
        <f t="shared" si="1"/>
        <v>0</v>
      </c>
      <c r="M36" s="588">
        <f t="shared" si="1"/>
        <v>0</v>
      </c>
      <c r="N36" s="588">
        <f t="shared" si="1"/>
        <v>0</v>
      </c>
      <c r="O36" s="588">
        <f t="shared" si="1"/>
        <v>0</v>
      </c>
      <c r="P36" s="588"/>
      <c r="Q36" s="577"/>
      <c r="R36" s="2"/>
    </row>
    <row r="37" spans="1:18" ht="13.5">
      <c r="A37" s="572"/>
      <c r="B37" s="573" t="s">
        <v>633</v>
      </c>
      <c r="C37" s="848"/>
      <c r="D37" s="589"/>
      <c r="E37" s="589"/>
      <c r="F37" s="589"/>
      <c r="G37" s="589"/>
      <c r="H37" s="589"/>
      <c r="I37" s="622"/>
      <c r="J37" s="588">
        <f t="shared" si="2"/>
        <v>0</v>
      </c>
      <c r="K37" s="588">
        <f t="shared" si="1"/>
        <v>0</v>
      </c>
      <c r="L37" s="588">
        <f t="shared" si="1"/>
        <v>0</v>
      </c>
      <c r="M37" s="588">
        <f t="shared" si="1"/>
        <v>0</v>
      </c>
      <c r="N37" s="588">
        <f t="shared" si="1"/>
        <v>0</v>
      </c>
      <c r="O37" s="588">
        <f t="shared" si="1"/>
        <v>0</v>
      </c>
      <c r="P37" s="588"/>
      <c r="Q37" s="577"/>
      <c r="R37" s="2"/>
    </row>
    <row r="38" spans="1:18" ht="13.5">
      <c r="A38" s="572"/>
      <c r="B38" s="573" t="s">
        <v>634</v>
      </c>
      <c r="C38" s="848"/>
      <c r="D38" s="589"/>
      <c r="E38" s="589"/>
      <c r="F38" s="589"/>
      <c r="G38" s="589"/>
      <c r="H38" s="589"/>
      <c r="I38" s="622"/>
      <c r="J38" s="588">
        <f t="shared" si="2"/>
        <v>0</v>
      </c>
      <c r="K38" s="588">
        <f t="shared" si="1"/>
        <v>0</v>
      </c>
      <c r="L38" s="588">
        <f t="shared" si="1"/>
        <v>0</v>
      </c>
      <c r="M38" s="588">
        <f t="shared" si="1"/>
        <v>0</v>
      </c>
      <c r="N38" s="588">
        <f t="shared" si="1"/>
        <v>0</v>
      </c>
      <c r="O38" s="588">
        <f t="shared" si="1"/>
        <v>0</v>
      </c>
      <c r="P38" s="588"/>
      <c r="Q38" s="577"/>
      <c r="R38" s="2"/>
    </row>
    <row r="39" spans="1:18" ht="13.5">
      <c r="A39" s="572"/>
      <c r="B39" s="573" t="s">
        <v>635</v>
      </c>
      <c r="C39" s="848"/>
      <c r="D39" s="589"/>
      <c r="E39" s="589"/>
      <c r="F39" s="589"/>
      <c r="G39" s="589"/>
      <c r="H39" s="589"/>
      <c r="I39" s="622"/>
      <c r="J39" s="588">
        <f t="shared" si="2"/>
        <v>0</v>
      </c>
      <c r="K39" s="588">
        <f t="shared" si="1"/>
        <v>0</v>
      </c>
      <c r="L39" s="588">
        <f t="shared" si="1"/>
        <v>0</v>
      </c>
      <c r="M39" s="588">
        <f t="shared" si="1"/>
        <v>0</v>
      </c>
      <c r="N39" s="588">
        <f t="shared" si="1"/>
        <v>0</v>
      </c>
      <c r="O39" s="588">
        <f t="shared" si="1"/>
        <v>0</v>
      </c>
      <c r="P39" s="588"/>
      <c r="Q39" s="577"/>
      <c r="R39" s="2"/>
    </row>
    <row r="40" spans="1:18" ht="13.5">
      <c r="A40" s="572"/>
      <c r="B40" s="573" t="s">
        <v>636</v>
      </c>
      <c r="C40" s="848"/>
      <c r="D40" s="589"/>
      <c r="E40" s="589"/>
      <c r="F40" s="589"/>
      <c r="G40" s="589"/>
      <c r="H40" s="589"/>
      <c r="I40" s="622"/>
      <c r="J40" s="588">
        <f t="shared" si="2"/>
        <v>0</v>
      </c>
      <c r="K40" s="588">
        <f t="shared" si="1"/>
        <v>0</v>
      </c>
      <c r="L40" s="588">
        <f t="shared" si="1"/>
        <v>0</v>
      </c>
      <c r="M40" s="588">
        <f t="shared" si="1"/>
        <v>0</v>
      </c>
      <c r="N40" s="588">
        <f t="shared" si="1"/>
        <v>0</v>
      </c>
      <c r="O40" s="588">
        <f t="shared" si="1"/>
        <v>0</v>
      </c>
      <c r="P40" s="588"/>
      <c r="Q40" s="577"/>
      <c r="R40" s="2"/>
    </row>
    <row r="41" spans="1:18" ht="13.5">
      <c r="A41" s="572"/>
      <c r="B41" s="573" t="s">
        <v>637</v>
      </c>
      <c r="C41" s="848"/>
      <c r="D41" s="589"/>
      <c r="E41" s="589"/>
      <c r="F41" s="589"/>
      <c r="G41" s="589"/>
      <c r="H41" s="589"/>
      <c r="I41" s="622"/>
      <c r="J41" s="588">
        <f t="shared" si="2"/>
        <v>0</v>
      </c>
      <c r="K41" s="588">
        <f t="shared" si="1"/>
        <v>0</v>
      </c>
      <c r="L41" s="588">
        <f t="shared" si="1"/>
        <v>0</v>
      </c>
      <c r="M41" s="588">
        <f t="shared" si="1"/>
        <v>0</v>
      </c>
      <c r="N41" s="588">
        <f t="shared" si="1"/>
        <v>0</v>
      </c>
      <c r="O41" s="588">
        <f t="shared" si="1"/>
        <v>0</v>
      </c>
      <c r="P41" s="588"/>
      <c r="Q41" s="577"/>
      <c r="R41" s="2"/>
    </row>
    <row r="42" spans="1:18" ht="13.5">
      <c r="A42" s="572"/>
      <c r="B42" s="573" t="s">
        <v>638</v>
      </c>
      <c r="C42" s="848"/>
      <c r="D42" s="589"/>
      <c r="E42" s="589"/>
      <c r="F42" s="589"/>
      <c r="G42" s="589"/>
      <c r="H42" s="589"/>
      <c r="I42" s="622"/>
      <c r="J42" s="588">
        <f t="shared" si="2"/>
        <v>0</v>
      </c>
      <c r="K42" s="588">
        <f t="shared" si="1"/>
        <v>0</v>
      </c>
      <c r="L42" s="588">
        <f t="shared" si="1"/>
        <v>0</v>
      </c>
      <c r="M42" s="588">
        <f t="shared" si="1"/>
        <v>0</v>
      </c>
      <c r="N42" s="588">
        <f t="shared" si="1"/>
        <v>0</v>
      </c>
      <c r="O42" s="588">
        <f t="shared" si="1"/>
        <v>0</v>
      </c>
      <c r="P42" s="588"/>
      <c r="Q42" s="577"/>
      <c r="R42" s="2"/>
    </row>
    <row r="43" spans="1:18" ht="13.5">
      <c r="A43" s="572"/>
      <c r="B43" s="573" t="s">
        <v>639</v>
      </c>
      <c r="C43" s="848"/>
      <c r="D43" s="589"/>
      <c r="E43" s="589"/>
      <c r="F43" s="589"/>
      <c r="G43" s="589"/>
      <c r="H43" s="589"/>
      <c r="I43" s="622"/>
      <c r="J43" s="588">
        <f t="shared" si="2"/>
        <v>0</v>
      </c>
      <c r="K43" s="588">
        <f t="shared" si="1"/>
        <v>0</v>
      </c>
      <c r="L43" s="588">
        <f t="shared" si="1"/>
        <v>0</v>
      </c>
      <c r="M43" s="588">
        <f t="shared" si="1"/>
        <v>0</v>
      </c>
      <c r="N43" s="588">
        <f t="shared" si="1"/>
        <v>0</v>
      </c>
      <c r="O43" s="588">
        <f t="shared" si="1"/>
        <v>0</v>
      </c>
      <c r="P43" s="588"/>
      <c r="Q43" s="577"/>
      <c r="R43" s="2"/>
    </row>
    <row r="44" spans="1:18" ht="13.5">
      <c r="A44" s="572"/>
      <c r="B44" s="573" t="s">
        <v>851</v>
      </c>
      <c r="C44" s="588">
        <f t="shared" ref="C44:H44" si="3">SUM(C32:C43)</f>
        <v>0</v>
      </c>
      <c r="D44" s="588">
        <f t="shared" si="3"/>
        <v>0</v>
      </c>
      <c r="E44" s="588">
        <f t="shared" si="3"/>
        <v>0</v>
      </c>
      <c r="F44" s="588">
        <f t="shared" si="3"/>
        <v>0</v>
      </c>
      <c r="G44" s="588">
        <f t="shared" si="3"/>
        <v>0</v>
      </c>
      <c r="H44" s="588">
        <f t="shared" si="3"/>
        <v>0</v>
      </c>
      <c r="I44" s="588" t="s">
        <v>79</v>
      </c>
      <c r="J44" s="588">
        <f t="shared" ref="J44:O44" si="4">AVERAGE(J32:J43)</f>
        <v>0</v>
      </c>
      <c r="K44" s="588">
        <f t="shared" si="4"/>
        <v>0</v>
      </c>
      <c r="L44" s="588">
        <f t="shared" si="4"/>
        <v>0</v>
      </c>
      <c r="M44" s="588">
        <f t="shared" si="4"/>
        <v>0</v>
      </c>
      <c r="N44" s="588">
        <f t="shared" si="4"/>
        <v>0</v>
      </c>
      <c r="O44" s="588">
        <f t="shared" si="4"/>
        <v>0</v>
      </c>
      <c r="P44" s="588"/>
      <c r="Q44" s="609"/>
      <c r="R44" s="2"/>
    </row>
    <row r="45" spans="1:18" ht="13.5">
      <c r="A45" s="572"/>
      <c r="C45" s="573"/>
      <c r="D45" s="419"/>
      <c r="E45" s="419"/>
      <c r="F45" s="419"/>
      <c r="G45" s="419"/>
      <c r="H45" s="419"/>
      <c r="I45" s="419"/>
      <c r="J45" s="419"/>
      <c r="K45" s="419"/>
      <c r="L45" s="590"/>
      <c r="M45" s="573"/>
      <c r="N45" s="573"/>
      <c r="O45" s="573"/>
      <c r="Q45" s="577"/>
      <c r="R45" s="2"/>
    </row>
    <row r="46" spans="1:18" ht="13.5">
      <c r="A46" s="572"/>
      <c r="B46" s="573" t="s">
        <v>81</v>
      </c>
      <c r="C46" s="573"/>
      <c r="D46" s="419"/>
      <c r="E46" s="419"/>
      <c r="F46" s="419"/>
      <c r="G46" s="419"/>
      <c r="H46" s="419"/>
      <c r="I46" s="419"/>
      <c r="J46" s="573"/>
      <c r="K46" s="624" t="s">
        <v>80</v>
      </c>
      <c r="L46" s="419"/>
      <c r="M46" s="588">
        <f>SUM(J44:O44)</f>
        <v>0</v>
      </c>
      <c r="N46" s="588"/>
      <c r="O46" s="588"/>
      <c r="Q46" s="609"/>
      <c r="R46" s="2"/>
    </row>
    <row r="47" spans="1:18" ht="13.5">
      <c r="A47" s="572"/>
      <c r="B47" s="573"/>
      <c r="C47" s="573"/>
      <c r="D47" s="419"/>
      <c r="E47" s="419"/>
      <c r="F47" s="419"/>
      <c r="G47" s="419"/>
      <c r="H47" s="419"/>
      <c r="I47" s="419"/>
      <c r="J47" s="573"/>
      <c r="K47" s="573"/>
      <c r="L47" s="419"/>
      <c r="M47" s="588"/>
      <c r="N47" s="573"/>
      <c r="O47" s="588"/>
      <c r="Q47" s="609"/>
      <c r="R47" s="2"/>
    </row>
    <row r="48" spans="1:18" ht="13.5">
      <c r="A48" s="572"/>
      <c r="B48" s="572"/>
      <c r="C48" s="572"/>
      <c r="D48" s="573"/>
      <c r="E48" s="573"/>
      <c r="F48" s="419"/>
      <c r="G48" s="419"/>
      <c r="H48" s="419"/>
      <c r="I48" s="419"/>
      <c r="J48" s="573"/>
      <c r="L48" s="419"/>
      <c r="M48" s="591"/>
      <c r="N48" s="591"/>
      <c r="O48" s="592"/>
      <c r="Q48" s="577"/>
      <c r="R48" s="2"/>
    </row>
    <row r="49" spans="1:18" ht="13.5">
      <c r="A49" s="572">
        <v>3</v>
      </c>
      <c r="B49" s="572" t="s">
        <v>626</v>
      </c>
      <c r="C49" s="572" t="s">
        <v>601</v>
      </c>
      <c r="D49" s="579" t="s">
        <v>1094</v>
      </c>
      <c r="E49" s="573"/>
      <c r="F49" s="573"/>
      <c r="G49" s="573"/>
      <c r="H49" s="573"/>
      <c r="I49" s="573"/>
      <c r="J49" s="573"/>
      <c r="K49" s="573"/>
      <c r="L49" s="588"/>
      <c r="M49" s="573"/>
      <c r="N49" s="573"/>
      <c r="O49" s="573"/>
      <c r="P49" s="573"/>
      <c r="Q49" s="573"/>
      <c r="R49" s="573"/>
    </row>
    <row r="50" spans="1:18" ht="13.5">
      <c r="A50" s="572"/>
      <c r="B50" s="572"/>
      <c r="C50" s="572"/>
      <c r="D50" s="593"/>
      <c r="E50" s="586"/>
      <c r="F50" s="588"/>
      <c r="G50" s="1769" t="s">
        <v>1088</v>
      </c>
      <c r="H50" s="1499"/>
      <c r="I50" s="573"/>
      <c r="J50" s="573"/>
      <c r="K50" s="573"/>
      <c r="L50" s="588"/>
      <c r="M50" s="573"/>
      <c r="N50" s="573"/>
      <c r="O50" s="573"/>
      <c r="P50" s="573"/>
      <c r="Q50" s="573"/>
      <c r="R50" s="573"/>
    </row>
    <row r="51" spans="1:18" ht="13.5">
      <c r="A51" s="572"/>
      <c r="B51" s="572"/>
      <c r="C51" s="572"/>
      <c r="D51" s="594"/>
      <c r="E51" s="572"/>
      <c r="F51" s="588"/>
      <c r="G51" s="1770"/>
      <c r="H51" s="1499"/>
      <c r="I51" s="573"/>
      <c r="J51" s="573"/>
      <c r="K51" s="573"/>
      <c r="L51" s="573"/>
      <c r="M51" s="573"/>
      <c r="N51" s="573"/>
      <c r="O51" s="573"/>
      <c r="P51" s="573"/>
      <c r="Q51" s="573"/>
      <c r="R51" s="573"/>
    </row>
    <row r="52" spans="1:18" ht="13.5">
      <c r="A52" s="572">
        <v>4</v>
      </c>
      <c r="B52" s="572" t="s">
        <v>627</v>
      </c>
      <c r="C52" s="572" t="s">
        <v>601</v>
      </c>
      <c r="D52" s="573" t="s">
        <v>962</v>
      </c>
      <c r="E52" s="573"/>
      <c r="F52" s="573"/>
      <c r="G52" s="1771"/>
      <c r="H52" s="1500"/>
      <c r="I52" s="573"/>
      <c r="J52" s="573"/>
      <c r="K52" s="573"/>
      <c r="L52" s="573"/>
      <c r="M52" s="573"/>
      <c r="N52" s="573"/>
      <c r="O52" s="573"/>
      <c r="P52" s="573"/>
      <c r="Q52" s="573"/>
      <c r="R52" s="573"/>
    </row>
    <row r="53" spans="1:18" ht="13.5">
      <c r="A53" s="572"/>
      <c r="B53" s="572"/>
      <c r="C53" s="572"/>
      <c r="D53" s="584">
        <f>D50</f>
        <v>0</v>
      </c>
      <c r="E53" s="419"/>
      <c r="F53" s="594"/>
      <c r="G53" s="1769" t="s">
        <v>1088</v>
      </c>
      <c r="H53" s="1500"/>
      <c r="I53" s="573"/>
      <c r="J53" s="573"/>
      <c r="K53" s="573"/>
      <c r="L53" s="573"/>
      <c r="M53" s="573"/>
      <c r="N53" s="573"/>
      <c r="O53" s="573"/>
      <c r="P53" s="573"/>
      <c r="Q53" s="573"/>
      <c r="R53" s="573"/>
    </row>
    <row r="54" spans="1:18" ht="13.5">
      <c r="A54" s="572"/>
      <c r="B54" s="572"/>
      <c r="C54" s="572"/>
      <c r="D54" s="595"/>
      <c r="E54" s="573"/>
      <c r="F54" s="573"/>
      <c r="G54" s="1771"/>
      <c r="H54" s="1500"/>
      <c r="I54" s="573"/>
      <c r="J54" s="573"/>
      <c r="K54" s="573"/>
      <c r="L54" s="573"/>
      <c r="M54" s="573"/>
      <c r="N54" s="573"/>
      <c r="O54" s="573"/>
      <c r="P54" s="573"/>
      <c r="Q54" s="573"/>
      <c r="R54" s="573"/>
    </row>
    <row r="55" spans="1:18" ht="13.5">
      <c r="A55" s="572">
        <v>5</v>
      </c>
      <c r="B55" s="572" t="s">
        <v>628</v>
      </c>
      <c r="C55" s="572" t="s">
        <v>601</v>
      </c>
      <c r="D55" s="576" t="s">
        <v>1095</v>
      </c>
      <c r="E55" s="573"/>
      <c r="F55" s="573"/>
      <c r="G55" s="1771"/>
      <c r="H55" s="573"/>
      <c r="I55" s="573"/>
      <c r="J55" s="573"/>
      <c r="K55" s="573"/>
      <c r="L55" s="573"/>
      <c r="M55" s="573"/>
      <c r="N55" s="573"/>
      <c r="O55" s="573"/>
      <c r="P55" s="573"/>
      <c r="Q55" s="573"/>
      <c r="R55" s="573"/>
    </row>
    <row r="56" spans="1:18" ht="13.5">
      <c r="A56" s="572"/>
      <c r="B56" s="572"/>
      <c r="C56" s="572"/>
      <c r="D56" s="593">
        <f>D53</f>
        <v>0</v>
      </c>
      <c r="E56" s="573"/>
      <c r="F56" s="573"/>
      <c r="G56" s="1771"/>
      <c r="H56" s="573"/>
      <c r="I56" s="573"/>
      <c r="J56" s="573"/>
      <c r="K56" s="573"/>
      <c r="L56" s="573"/>
      <c r="M56" s="573"/>
      <c r="N56" s="573"/>
      <c r="O56" s="573"/>
      <c r="P56" s="573"/>
      <c r="Q56" s="573"/>
      <c r="R56" s="573"/>
    </row>
    <row r="57" spans="1:18" ht="13.5">
      <c r="A57" s="596"/>
      <c r="B57" s="596"/>
      <c r="C57" s="596"/>
      <c r="D57" s="597"/>
      <c r="E57" s="597"/>
      <c r="F57" s="597"/>
      <c r="G57" s="1772"/>
      <c r="H57" s="597"/>
      <c r="I57" s="597"/>
      <c r="J57" s="597"/>
      <c r="K57" s="597"/>
      <c r="L57" s="573"/>
      <c r="M57" s="573"/>
      <c r="N57" s="573"/>
      <c r="O57" s="573"/>
      <c r="P57" s="573"/>
      <c r="Q57" s="573"/>
      <c r="R57" s="573"/>
    </row>
    <row r="58" spans="1:18" ht="15.75">
      <c r="A58" s="596"/>
      <c r="B58" s="596"/>
      <c r="C58" s="596"/>
      <c r="D58" s="597"/>
      <c r="E58" s="597"/>
      <c r="F58" s="597"/>
      <c r="G58" s="1772"/>
      <c r="H58" s="597"/>
      <c r="I58" s="597"/>
      <c r="J58" s="598"/>
      <c r="K58" s="597"/>
      <c r="L58" s="573"/>
      <c r="M58" s="573"/>
      <c r="N58" s="573"/>
      <c r="O58" s="573"/>
      <c r="P58" s="573"/>
      <c r="Q58" s="573"/>
      <c r="R58" s="573"/>
    </row>
    <row r="59" spans="1:18" ht="15.75">
      <c r="A59" s="596"/>
      <c r="B59" s="596"/>
      <c r="C59" s="596"/>
      <c r="D59" s="597"/>
      <c r="E59" s="597"/>
      <c r="F59" s="597"/>
      <c r="G59" s="1772"/>
      <c r="H59" s="597"/>
      <c r="I59" s="597"/>
      <c r="J59" s="598"/>
      <c r="K59" s="597"/>
      <c r="L59" s="573"/>
      <c r="M59" s="573"/>
      <c r="N59" s="573"/>
      <c r="O59" s="573"/>
      <c r="P59" s="573"/>
      <c r="Q59" s="573"/>
      <c r="R59" s="573"/>
    </row>
    <row r="60" spans="1:18" ht="13.5">
      <c r="A60" s="572">
        <v>6</v>
      </c>
      <c r="B60" s="572" t="s">
        <v>626</v>
      </c>
      <c r="C60" s="572" t="s">
        <v>602</v>
      </c>
      <c r="D60" s="579" t="s">
        <v>1096</v>
      </c>
      <c r="E60" s="573"/>
      <c r="F60" s="573"/>
      <c r="G60" s="1771"/>
      <c r="H60" s="573"/>
      <c r="I60" s="573"/>
      <c r="J60" s="573"/>
      <c r="K60" s="573"/>
      <c r="L60" s="573"/>
      <c r="M60" s="573"/>
      <c r="N60" s="573"/>
      <c r="O60" s="573"/>
      <c r="P60" s="573"/>
      <c r="Q60" s="573"/>
      <c r="R60" s="573"/>
    </row>
    <row r="61" spans="1:18" ht="13.5">
      <c r="A61" s="572"/>
      <c r="B61" s="572"/>
      <c r="C61" s="572"/>
      <c r="D61" s="599"/>
      <c r="E61" s="573" t="s">
        <v>657</v>
      </c>
      <c r="F61" s="573"/>
      <c r="G61" s="1769" t="s">
        <v>1088</v>
      </c>
      <c r="H61" s="573"/>
      <c r="I61" s="573"/>
      <c r="J61" s="419"/>
      <c r="K61" s="573"/>
      <c r="L61" s="573"/>
      <c r="M61" s="573"/>
      <c r="N61" s="573"/>
      <c r="O61" s="573"/>
      <c r="P61" s="573"/>
      <c r="Q61" s="573"/>
      <c r="R61" s="573"/>
    </row>
    <row r="62" spans="1:18" ht="13.5">
      <c r="A62" s="572"/>
      <c r="B62" s="572"/>
      <c r="C62" s="572"/>
      <c r="D62" s="600"/>
      <c r="E62" s="573"/>
      <c r="F62" s="573"/>
      <c r="G62" s="1773"/>
      <c r="H62" s="573"/>
      <c r="I62" s="573"/>
      <c r="J62" s="573"/>
      <c r="K62" s="573"/>
      <c r="L62" s="573"/>
      <c r="M62" s="573"/>
      <c r="N62" s="573"/>
      <c r="O62" s="573"/>
      <c r="P62" s="573"/>
      <c r="Q62" s="573"/>
      <c r="R62" s="573"/>
    </row>
    <row r="63" spans="1:18" ht="13.5">
      <c r="A63" s="572"/>
      <c r="B63" s="572"/>
      <c r="C63" s="572"/>
      <c r="D63" s="601"/>
      <c r="E63" s="573"/>
      <c r="F63" s="573"/>
      <c r="G63" s="1771"/>
      <c r="H63" s="573"/>
      <c r="I63" s="573"/>
      <c r="J63" s="573"/>
      <c r="K63" s="573"/>
      <c r="L63" s="573"/>
      <c r="M63" s="573"/>
      <c r="N63" s="573"/>
      <c r="O63" s="573"/>
      <c r="P63" s="573"/>
      <c r="Q63" s="573"/>
      <c r="R63" s="573"/>
    </row>
    <row r="64" spans="1:18" ht="13.5">
      <c r="A64" s="572"/>
      <c r="B64" s="572"/>
      <c r="C64" s="572"/>
      <c r="D64" s="573"/>
      <c r="E64" s="573"/>
      <c r="F64" s="573"/>
      <c r="G64" s="1771"/>
      <c r="H64" s="588"/>
      <c r="I64" s="573"/>
      <c r="J64" s="573"/>
      <c r="K64" s="573"/>
      <c r="L64" s="573"/>
      <c r="M64" s="573"/>
      <c r="N64" s="573"/>
      <c r="O64" s="573"/>
      <c r="P64" s="573"/>
      <c r="Q64" s="573"/>
      <c r="R64" s="573"/>
    </row>
    <row r="65" spans="1:18" ht="13.5">
      <c r="A65" s="572">
        <v>7</v>
      </c>
      <c r="B65" s="572" t="s">
        <v>626</v>
      </c>
      <c r="C65" s="572" t="s">
        <v>602</v>
      </c>
      <c r="D65" s="579" t="str">
        <f>+'6 - Est and True up'!D65</f>
        <v>Reconciliation</v>
      </c>
      <c r="E65" s="580"/>
      <c r="F65" s="580"/>
      <c r="G65" s="1774"/>
      <c r="H65" s="580"/>
      <c r="I65" s="580"/>
      <c r="J65" s="580"/>
      <c r="K65" s="573"/>
      <c r="L65" s="573"/>
      <c r="M65" s="573"/>
      <c r="N65" s="573"/>
      <c r="O65" s="573"/>
      <c r="P65" s="573"/>
      <c r="Q65" s="573"/>
      <c r="R65" s="573"/>
    </row>
    <row r="66" spans="1:18" ht="13.5">
      <c r="A66" s="572"/>
      <c r="B66" s="572"/>
      <c r="C66" s="572"/>
      <c r="D66" s="602"/>
      <c r="E66" s="603"/>
      <c r="F66" s="603"/>
      <c r="G66" s="1775"/>
      <c r="H66" s="580"/>
      <c r="I66" s="580"/>
      <c r="J66" s="580"/>
      <c r="K66" s="573"/>
      <c r="L66" s="573"/>
      <c r="M66" s="573"/>
      <c r="N66" s="573"/>
      <c r="O66" s="573"/>
      <c r="P66" s="573"/>
      <c r="Q66" s="573"/>
      <c r="R66" s="573"/>
    </row>
    <row r="67" spans="1:18" ht="13.5">
      <c r="A67" s="572"/>
      <c r="B67" s="573"/>
      <c r="C67" s="573"/>
      <c r="D67" s="419"/>
      <c r="E67" s="419"/>
      <c r="F67" s="419"/>
      <c r="G67" s="1776"/>
      <c r="H67" s="419"/>
      <c r="I67" s="419"/>
      <c r="J67" s="573"/>
      <c r="K67" s="573"/>
      <c r="L67" s="588"/>
      <c r="M67" s="573"/>
      <c r="N67" s="419"/>
      <c r="O67" s="573"/>
      <c r="P67" s="573"/>
      <c r="Q67" s="577"/>
      <c r="R67" s="618"/>
    </row>
    <row r="68" spans="1:18" ht="13.5">
      <c r="A68" s="572"/>
      <c r="B68" s="572"/>
      <c r="C68" s="572"/>
      <c r="D68" s="599">
        <v>6321819</v>
      </c>
      <c r="E68" s="605" t="s">
        <v>980</v>
      </c>
      <c r="F68" s="573"/>
      <c r="G68" s="1769" t="s">
        <v>1088</v>
      </c>
      <c r="H68" s="573"/>
      <c r="I68" s="573"/>
      <c r="J68" s="573"/>
      <c r="K68" s="573"/>
      <c r="L68" s="588"/>
      <c r="M68" s="573"/>
      <c r="N68" s="419"/>
      <c r="O68" s="607"/>
      <c r="P68" s="608"/>
      <c r="Q68" s="608"/>
      <c r="R68" s="608"/>
    </row>
    <row r="69" spans="1:18" ht="13.5">
      <c r="A69" s="420"/>
      <c r="B69" s="572"/>
      <c r="C69" s="572"/>
      <c r="D69" s="419"/>
      <c r="E69" s="573" t="s">
        <v>1000</v>
      </c>
      <c r="F69" s="573"/>
      <c r="G69" s="577"/>
      <c r="H69" s="609"/>
      <c r="I69" s="577"/>
      <c r="J69" s="573"/>
      <c r="K69" s="573"/>
      <c r="L69" s="573"/>
      <c r="M69" s="573"/>
      <c r="N69" s="573"/>
      <c r="O69" s="573"/>
      <c r="P69" s="573"/>
      <c r="Q69" s="573"/>
      <c r="R69" s="573"/>
    </row>
    <row r="70" spans="1:18" ht="13.5">
      <c r="A70" s="572"/>
      <c r="B70" s="572"/>
      <c r="C70" s="572"/>
      <c r="D70" s="605"/>
      <c r="E70" s="573"/>
      <c r="F70" s="573"/>
      <c r="G70" s="577"/>
      <c r="H70" s="609"/>
      <c r="I70" s="577"/>
      <c r="J70" s="573"/>
      <c r="K70" s="573"/>
      <c r="L70" s="573"/>
      <c r="M70" s="573"/>
      <c r="N70" s="573"/>
      <c r="O70" s="573"/>
      <c r="P70" s="573"/>
      <c r="Q70" s="573"/>
      <c r="R70" s="573"/>
    </row>
    <row r="71" spans="1:18" ht="13.5">
      <c r="A71" s="420"/>
      <c r="B71" s="572"/>
      <c r="C71" s="572"/>
      <c r="D71" s="610">
        <v>0</v>
      </c>
      <c r="E71" s="573" t="s">
        <v>421</v>
      </c>
      <c r="F71" s="573"/>
      <c r="G71" s="577"/>
      <c r="H71" s="609"/>
      <c r="I71" s="577"/>
      <c r="J71" s="573"/>
      <c r="K71" s="573"/>
      <c r="L71" s="573"/>
      <c r="M71" s="573"/>
      <c r="N71" s="573"/>
      <c r="O71" s="573"/>
      <c r="P71" s="573"/>
      <c r="Q71" s="573"/>
      <c r="R71" s="573"/>
    </row>
    <row r="72" spans="1:18" ht="13.5">
      <c r="A72" s="420"/>
      <c r="B72" s="572"/>
      <c r="C72" s="572"/>
      <c r="D72" s="419"/>
      <c r="E72" s="573"/>
      <c r="F72" s="573"/>
      <c r="G72" s="577"/>
      <c r="H72" s="609"/>
      <c r="I72" s="577"/>
      <c r="J72" s="573"/>
      <c r="K72" s="573"/>
      <c r="L72" s="573"/>
      <c r="M72" s="573"/>
      <c r="N72" s="573"/>
      <c r="O72" s="573"/>
      <c r="P72" s="573"/>
      <c r="Q72" s="573"/>
      <c r="R72" s="573"/>
    </row>
    <row r="73" spans="1:18" ht="13.5">
      <c r="A73" s="572"/>
      <c r="B73" s="572"/>
      <c r="C73" s="572"/>
      <c r="D73" s="605"/>
      <c r="E73" s="573"/>
      <c r="F73" s="573"/>
      <c r="G73" s="577"/>
      <c r="H73" s="609"/>
      <c r="I73" s="577"/>
      <c r="J73" s="573"/>
      <c r="K73" s="573"/>
      <c r="L73" s="573"/>
      <c r="M73" s="573"/>
      <c r="N73" s="573"/>
      <c r="O73" s="573"/>
      <c r="P73" s="573"/>
      <c r="Q73" s="573"/>
      <c r="R73" s="573"/>
    </row>
    <row r="74" spans="1:18" ht="13.5">
      <c r="A74" s="572">
        <v>8</v>
      </c>
      <c r="B74" s="572" t="s">
        <v>626</v>
      </c>
      <c r="C74" s="572" t="s">
        <v>602</v>
      </c>
      <c r="D74" s="579" t="str">
        <f>+'6A-Colstrip'!D74</f>
        <v>True-Up Adjustment</v>
      </c>
      <c r="E74" s="573"/>
      <c r="F74" s="573"/>
      <c r="G74" s="573"/>
      <c r="H74" s="573"/>
      <c r="I74" s="573"/>
      <c r="J74" s="573"/>
      <c r="K74" s="573"/>
      <c r="L74" s="573"/>
      <c r="M74" s="573"/>
      <c r="N74" s="573"/>
      <c r="O74" s="573"/>
      <c r="P74" s="573"/>
      <c r="Q74" s="573"/>
      <c r="R74" s="573"/>
    </row>
    <row r="75" spans="1:18" ht="13.5">
      <c r="A75" s="572"/>
      <c r="B75" s="572"/>
      <c r="C75" s="572"/>
      <c r="D75" s="579"/>
      <c r="E75" s="573"/>
      <c r="F75" s="573"/>
      <c r="G75" s="573"/>
      <c r="H75" s="573"/>
      <c r="I75" s="573"/>
      <c r="J75" s="573"/>
      <c r="K75" s="573"/>
      <c r="L75" s="573"/>
      <c r="M75" s="573"/>
      <c r="N75" s="573"/>
      <c r="O75" s="573"/>
      <c r="P75" s="573"/>
      <c r="Q75" s="573"/>
      <c r="R75" s="573"/>
    </row>
    <row r="76" spans="1:18" ht="13.5">
      <c r="A76" s="575"/>
      <c r="B76" s="575"/>
      <c r="C76" s="572"/>
      <c r="D76" s="418" t="s">
        <v>944</v>
      </c>
      <c r="E76" s="419"/>
      <c r="F76" s="419"/>
      <c r="G76" s="419"/>
      <c r="H76" s="419"/>
      <c r="I76" s="419"/>
      <c r="J76" s="419"/>
      <c r="K76" s="419"/>
      <c r="L76" s="573"/>
      <c r="M76" s="573"/>
      <c r="N76" s="573"/>
      <c r="O76" s="573"/>
      <c r="P76" s="573"/>
      <c r="Q76" s="573"/>
      <c r="R76" s="573"/>
    </row>
    <row r="77" spans="1:18" ht="13.5">
      <c r="A77" s="575"/>
      <c r="B77" s="575"/>
      <c r="C77" s="572"/>
      <c r="D77" s="419"/>
      <c r="E77" s="573" t="s">
        <v>1001</v>
      </c>
      <c r="F77" s="573"/>
      <c r="G77" s="573"/>
      <c r="H77" s="573"/>
      <c r="I77" s="573"/>
      <c r="J77" s="573"/>
      <c r="K77" s="419"/>
      <c r="L77" s="573"/>
      <c r="M77" s="573"/>
      <c r="N77" s="573"/>
      <c r="O77" s="573"/>
      <c r="P77" s="573"/>
      <c r="Q77" s="573"/>
      <c r="R77" s="573"/>
    </row>
    <row r="78" spans="1:18" ht="27">
      <c r="A78" s="575"/>
      <c r="B78" s="575"/>
      <c r="C78" s="572"/>
      <c r="D78" s="419"/>
      <c r="E78" s="827" t="s">
        <v>622</v>
      </c>
      <c r="F78" s="827" t="s">
        <v>1002</v>
      </c>
      <c r="G78" s="827" t="s">
        <v>1003</v>
      </c>
      <c r="H78" s="827" t="s">
        <v>1004</v>
      </c>
      <c r="I78" s="827" t="s">
        <v>1005</v>
      </c>
      <c r="J78" s="827" t="s">
        <v>1006</v>
      </c>
      <c r="K78" s="604"/>
      <c r="L78" s="573"/>
      <c r="M78" s="1756" t="s">
        <v>1100</v>
      </c>
      <c r="N78" s="625"/>
      <c r="O78" s="573"/>
      <c r="P78" s="573"/>
      <c r="Q78" s="573"/>
      <c r="R78" s="573"/>
    </row>
    <row r="79" spans="1:18" ht="13.5">
      <c r="A79" s="575"/>
      <c r="B79" s="575"/>
      <c r="C79" s="572"/>
      <c r="D79" s="419"/>
      <c r="E79" s="573" t="s">
        <v>629</v>
      </c>
      <c r="F79" s="842">
        <v>0.71134324956735384</v>
      </c>
      <c r="G79" s="611">
        <f>'WKSHT4 - Monthly Tx System Peak'!C34</f>
        <v>700</v>
      </c>
      <c r="H79" s="626">
        <f t="shared" ref="H79:H90" si="5">+F79*G79*1000</f>
        <v>497940.27469714766</v>
      </c>
      <c r="I79" s="1347">
        <f t="shared" ref="I79:I83" si="6">-542653/12</f>
        <v>-45221.083333333336</v>
      </c>
      <c r="J79" s="626">
        <f t="shared" ref="J79:J90" si="7">+H79-I79</f>
        <v>543161.35803048103</v>
      </c>
      <c r="K79" s="419"/>
      <c r="L79" s="573"/>
      <c r="M79" s="1347"/>
      <c r="N79" s="2014"/>
      <c r="O79" s="573"/>
      <c r="P79" s="573"/>
      <c r="Q79" s="573"/>
      <c r="R79" s="573"/>
    </row>
    <row r="80" spans="1:18" ht="13.5">
      <c r="A80" s="575"/>
      <c r="B80" s="575"/>
      <c r="C80" s="572"/>
      <c r="D80" s="419"/>
      <c r="E80" s="573" t="s">
        <v>630</v>
      </c>
      <c r="F80" s="842">
        <v>0.71134324956735384</v>
      </c>
      <c r="G80" s="611">
        <f>'WKSHT4 - Monthly Tx System Peak'!C35</f>
        <v>700</v>
      </c>
      <c r="H80" s="626">
        <f t="shared" si="5"/>
        <v>497940.27469714766</v>
      </c>
      <c r="I80" s="1347">
        <f t="shared" si="6"/>
        <v>-45221.083333333336</v>
      </c>
      <c r="J80" s="626">
        <f t="shared" si="7"/>
        <v>543161.35803048103</v>
      </c>
      <c r="K80" s="419"/>
      <c r="L80" s="573"/>
      <c r="M80" s="1780"/>
      <c r="N80" s="2014"/>
      <c r="O80" s="573"/>
      <c r="P80" s="573"/>
      <c r="Q80" s="573"/>
      <c r="R80" s="573"/>
    </row>
    <row r="81" spans="1:18" ht="13.5">
      <c r="A81" s="575"/>
      <c r="B81" s="575"/>
      <c r="C81" s="572"/>
      <c r="D81" s="419"/>
      <c r="E81" s="573" t="s">
        <v>631</v>
      </c>
      <c r="F81" s="842">
        <v>0.71134324956735384</v>
      </c>
      <c r="G81" s="611">
        <f>'WKSHT4 - Monthly Tx System Peak'!C36</f>
        <v>700</v>
      </c>
      <c r="H81" s="626">
        <f t="shared" si="5"/>
        <v>497940.27469714766</v>
      </c>
      <c r="I81" s="1347">
        <f t="shared" si="6"/>
        <v>-45221.083333333336</v>
      </c>
      <c r="J81" s="626">
        <f t="shared" si="7"/>
        <v>543161.35803048103</v>
      </c>
      <c r="K81" s="419"/>
      <c r="L81" s="573"/>
      <c r="M81" s="611"/>
      <c r="N81" s="611"/>
      <c r="O81" s="573"/>
      <c r="P81" s="573"/>
      <c r="Q81" s="573"/>
      <c r="R81" s="573"/>
    </row>
    <row r="82" spans="1:18" ht="13.5">
      <c r="A82" s="575"/>
      <c r="B82" s="575"/>
      <c r="C82" s="572"/>
      <c r="D82" s="419"/>
      <c r="E82" s="573" t="s">
        <v>632</v>
      </c>
      <c r="F82" s="842">
        <v>0.71134324956735384</v>
      </c>
      <c r="G82" s="611">
        <f>'WKSHT4 - Monthly Tx System Peak'!C38</f>
        <v>700</v>
      </c>
      <c r="H82" s="626">
        <f t="shared" si="5"/>
        <v>497940.27469714766</v>
      </c>
      <c r="I82" s="1347">
        <f t="shared" si="6"/>
        <v>-45221.083333333336</v>
      </c>
      <c r="J82" s="626">
        <f t="shared" si="7"/>
        <v>543161.35803048103</v>
      </c>
      <c r="K82" s="419"/>
      <c r="L82" s="573"/>
      <c r="M82" s="611"/>
      <c r="N82" s="611"/>
      <c r="O82" s="573"/>
      <c r="P82" s="573"/>
      <c r="Q82" s="573"/>
      <c r="R82" s="573"/>
    </row>
    <row r="83" spans="1:18" ht="13.5">
      <c r="A83" s="575"/>
      <c r="B83" s="575"/>
      <c r="C83" s="572"/>
      <c r="D83" s="419"/>
      <c r="E83" s="573" t="s">
        <v>627</v>
      </c>
      <c r="F83" s="842">
        <v>0.71134324956735384</v>
      </c>
      <c r="G83" s="611">
        <f>'WKSHT4 - Monthly Tx System Peak'!C39</f>
        <v>700</v>
      </c>
      <c r="H83" s="626">
        <f t="shared" si="5"/>
        <v>497940.27469714766</v>
      </c>
      <c r="I83" s="1347">
        <f t="shared" si="6"/>
        <v>-45221.083333333336</v>
      </c>
      <c r="J83" s="626">
        <f t="shared" si="7"/>
        <v>543161.35803048103</v>
      </c>
      <c r="K83" s="419"/>
      <c r="L83" s="573"/>
      <c r="M83" s="611"/>
      <c r="N83" s="611"/>
      <c r="O83" s="573"/>
      <c r="P83" s="573"/>
      <c r="Q83" s="573"/>
      <c r="R83" s="573"/>
    </row>
    <row r="84" spans="1:18" ht="15.75">
      <c r="A84" s="575"/>
      <c r="B84" s="575"/>
      <c r="C84" s="572"/>
      <c r="D84" s="419"/>
      <c r="E84" s="573" t="s">
        <v>633</v>
      </c>
      <c r="F84" s="842">
        <v>0.7624886406949325</v>
      </c>
      <c r="G84" s="611">
        <f>'WKSHT4 - Monthly Tx System Peak'!C40</f>
        <v>700</v>
      </c>
      <c r="H84" s="626">
        <f t="shared" si="5"/>
        <v>533742.04848645278</v>
      </c>
      <c r="I84" s="1347">
        <f>-120452.598667183/12</f>
        <v>-10037.716555598583</v>
      </c>
      <c r="J84" s="626">
        <f t="shared" si="7"/>
        <v>543779.76504205132</v>
      </c>
      <c r="K84" s="419"/>
      <c r="L84" s="573"/>
      <c r="M84" s="1757">
        <f>SUM(M79:M83)</f>
        <v>0</v>
      </c>
      <c r="N84" s="577" t="s">
        <v>1101</v>
      </c>
      <c r="O84" s="573"/>
      <c r="P84" s="573"/>
      <c r="Q84" s="573"/>
      <c r="R84" s="573"/>
    </row>
    <row r="85" spans="1:18" ht="13.5">
      <c r="A85" s="575"/>
      <c r="B85" s="575"/>
      <c r="C85" s="572"/>
      <c r="D85" s="419"/>
      <c r="E85" s="573" t="s">
        <v>634</v>
      </c>
      <c r="F85" s="842">
        <v>0.7624886406949325</v>
      </c>
      <c r="G85" s="611">
        <f>'WKSHT4 - Monthly Tx System Peak'!C42</f>
        <v>700</v>
      </c>
      <c r="H85" s="626">
        <f t="shared" si="5"/>
        <v>533742.04848645278</v>
      </c>
      <c r="I85" s="1347">
        <f t="shared" ref="I85:I90" si="8">-120452.598667183/12</f>
        <v>-10037.716555598583</v>
      </c>
      <c r="J85" s="626">
        <f t="shared" si="7"/>
        <v>543779.76504205132</v>
      </c>
      <c r="K85" s="419"/>
      <c r="L85" s="573"/>
      <c r="M85" s="573"/>
      <c r="N85" s="573"/>
      <c r="O85" s="573"/>
      <c r="P85" s="573"/>
      <c r="Q85" s="573"/>
      <c r="R85" s="573"/>
    </row>
    <row r="86" spans="1:18" ht="13.5">
      <c r="A86" s="575"/>
      <c r="B86" s="575"/>
      <c r="C86" s="572"/>
      <c r="D86" s="419"/>
      <c r="E86" s="573" t="s">
        <v>635</v>
      </c>
      <c r="F86" s="842">
        <v>0.7624886406949325</v>
      </c>
      <c r="G86" s="611">
        <f>'WKSHT4 - Monthly Tx System Peak'!C43</f>
        <v>700</v>
      </c>
      <c r="H86" s="626">
        <f t="shared" si="5"/>
        <v>533742.04848645278</v>
      </c>
      <c r="I86" s="1347">
        <f t="shared" si="8"/>
        <v>-10037.716555598583</v>
      </c>
      <c r="J86" s="626">
        <f t="shared" si="7"/>
        <v>543779.76504205132</v>
      </c>
      <c r="K86" s="419"/>
      <c r="L86" s="573"/>
      <c r="M86" s="573"/>
      <c r="N86" s="573"/>
      <c r="O86" s="573"/>
      <c r="P86" s="573"/>
      <c r="Q86" s="573"/>
      <c r="R86" s="573"/>
    </row>
    <row r="87" spans="1:18" ht="13.5">
      <c r="A87" s="575"/>
      <c r="B87" s="575"/>
      <c r="C87" s="572"/>
      <c r="D87" s="419"/>
      <c r="E87" s="573" t="s">
        <v>636</v>
      </c>
      <c r="F87" s="842">
        <v>0.7624886406949325</v>
      </c>
      <c r="G87" s="611">
        <f>'WKSHT4 - Monthly Tx System Peak'!C44</f>
        <v>700</v>
      </c>
      <c r="H87" s="626">
        <f t="shared" si="5"/>
        <v>533742.04848645278</v>
      </c>
      <c r="I87" s="1347">
        <f t="shared" si="8"/>
        <v>-10037.716555598583</v>
      </c>
      <c r="J87" s="626">
        <f t="shared" si="7"/>
        <v>543779.76504205132</v>
      </c>
      <c r="K87" s="419"/>
      <c r="L87" s="573"/>
      <c r="M87" s="573"/>
      <c r="N87" s="573"/>
      <c r="O87" s="573"/>
      <c r="P87" s="573"/>
      <c r="Q87" s="573"/>
      <c r="R87" s="573"/>
    </row>
    <row r="88" spans="1:18" ht="13.5">
      <c r="A88" s="575"/>
      <c r="B88" s="575"/>
      <c r="C88" s="572"/>
      <c r="D88" s="419"/>
      <c r="E88" s="573" t="s">
        <v>637</v>
      </c>
      <c r="F88" s="842">
        <v>0.7624886406949325</v>
      </c>
      <c r="G88" s="611">
        <f>'WKSHT4 - Monthly Tx System Peak'!C46</f>
        <v>700</v>
      </c>
      <c r="H88" s="626">
        <f t="shared" si="5"/>
        <v>533742.04848645278</v>
      </c>
      <c r="I88" s="1347">
        <f t="shared" si="8"/>
        <v>-10037.716555598583</v>
      </c>
      <c r="J88" s="626">
        <f t="shared" si="7"/>
        <v>543779.76504205132</v>
      </c>
      <c r="K88" s="419"/>
      <c r="L88" s="573"/>
      <c r="M88" s="573"/>
      <c r="N88" s="573"/>
      <c r="O88" s="573"/>
      <c r="P88" s="573"/>
      <c r="Q88" s="573"/>
      <c r="R88" s="573"/>
    </row>
    <row r="89" spans="1:18" ht="13.5">
      <c r="A89" s="575"/>
      <c r="B89" s="575"/>
      <c r="C89" s="572"/>
      <c r="D89" s="419"/>
      <c r="E89" s="573" t="s">
        <v>638</v>
      </c>
      <c r="F89" s="842">
        <v>0.7624886406949325</v>
      </c>
      <c r="G89" s="611">
        <f>'WKSHT4 - Monthly Tx System Peak'!C47</f>
        <v>700</v>
      </c>
      <c r="H89" s="626">
        <f t="shared" si="5"/>
        <v>533742.04848645278</v>
      </c>
      <c r="I89" s="1347">
        <f t="shared" si="8"/>
        <v>-10037.716555598583</v>
      </c>
      <c r="J89" s="626">
        <f t="shared" si="7"/>
        <v>543779.76504205132</v>
      </c>
      <c r="K89" s="419"/>
      <c r="L89" s="573"/>
      <c r="M89" s="573"/>
      <c r="N89" s="573"/>
      <c r="O89" s="573"/>
      <c r="P89" s="573"/>
      <c r="Q89" s="573"/>
      <c r="R89" s="573"/>
    </row>
    <row r="90" spans="1:18" ht="13.5">
      <c r="A90" s="575"/>
      <c r="B90" s="575"/>
      <c r="C90" s="572"/>
      <c r="D90" s="419"/>
      <c r="E90" s="573" t="s">
        <v>639</v>
      </c>
      <c r="F90" s="842">
        <v>0.7624886406949325</v>
      </c>
      <c r="G90" s="611">
        <f>'WKSHT4 - Monthly Tx System Peak'!C48</f>
        <v>700</v>
      </c>
      <c r="H90" s="626">
        <f t="shared" si="5"/>
        <v>533742.04848645278</v>
      </c>
      <c r="I90" s="1347">
        <f t="shared" si="8"/>
        <v>-10037.716555598583</v>
      </c>
      <c r="J90" s="626">
        <f t="shared" si="7"/>
        <v>543779.76504205132</v>
      </c>
      <c r="K90" s="419"/>
      <c r="L90" s="573"/>
      <c r="M90" s="573"/>
      <c r="N90" s="573"/>
      <c r="O90" s="573"/>
      <c r="P90" s="573"/>
      <c r="Q90" s="573"/>
      <c r="R90" s="573"/>
    </row>
    <row r="91" spans="1:18" ht="13.5">
      <c r="A91" s="575"/>
      <c r="B91" s="575"/>
      <c r="C91" s="572"/>
      <c r="D91" s="573"/>
      <c r="E91" s="573" t="s">
        <v>1007</v>
      </c>
      <c r="F91" s="612"/>
      <c r="G91" s="612"/>
      <c r="H91" s="612"/>
      <c r="I91" s="612"/>
      <c r="J91" s="612">
        <f>SUM(J79:J90)</f>
        <v>6522265.1454467662</v>
      </c>
      <c r="K91" s="419"/>
      <c r="L91" s="573"/>
      <c r="M91" s="573"/>
      <c r="N91" s="573"/>
      <c r="O91" s="573"/>
      <c r="P91" s="573"/>
      <c r="Q91" s="573"/>
      <c r="R91" s="573"/>
    </row>
    <row r="92" spans="1:18" ht="13.5">
      <c r="A92" s="575"/>
      <c r="B92" s="575"/>
      <c r="C92" s="572"/>
      <c r="D92" s="573"/>
      <c r="E92" s="612"/>
      <c r="F92" s="612"/>
      <c r="G92" s="612"/>
      <c r="H92" s="612"/>
      <c r="I92" s="612"/>
      <c r="J92" s="419"/>
      <c r="K92" s="419"/>
      <c r="L92" s="573"/>
      <c r="M92" s="573"/>
      <c r="N92" s="573"/>
      <c r="O92" s="573"/>
      <c r="P92" s="573"/>
      <c r="Q92" s="573"/>
      <c r="R92" s="573"/>
    </row>
    <row r="93" spans="1:18" ht="13.5">
      <c r="A93" s="575"/>
      <c r="B93" s="575"/>
      <c r="C93" s="572"/>
      <c r="D93" s="579"/>
      <c r="E93" s="573"/>
      <c r="F93" s="419"/>
      <c r="G93" s="573"/>
      <c r="H93" s="573"/>
      <c r="I93" s="573"/>
      <c r="J93" s="573"/>
      <c r="K93" s="573"/>
      <c r="L93" s="573"/>
      <c r="M93" s="573"/>
      <c r="N93" s="573"/>
      <c r="O93" s="573"/>
      <c r="P93" s="573"/>
      <c r="Q93" s="573"/>
      <c r="R93" s="573"/>
    </row>
    <row r="94" spans="1:18" ht="31.5">
      <c r="A94" s="575"/>
      <c r="B94" s="575"/>
      <c r="C94" s="572"/>
      <c r="D94" s="1758" t="s">
        <v>1008</v>
      </c>
      <c r="E94" s="1781"/>
      <c r="F94" s="1781" t="s">
        <v>983</v>
      </c>
      <c r="G94" s="573"/>
      <c r="H94" s="1760" t="s">
        <v>1102</v>
      </c>
      <c r="I94" s="176"/>
      <c r="J94" s="1761" t="s">
        <v>1103</v>
      </c>
      <c r="K94" s="185"/>
      <c r="L94" s="1762" t="s">
        <v>1104</v>
      </c>
      <c r="M94" s="573"/>
      <c r="N94" s="573"/>
      <c r="O94" s="573"/>
      <c r="P94" s="573"/>
      <c r="Q94" s="573"/>
      <c r="R94" s="573"/>
    </row>
    <row r="95" spans="1:18" ht="13.5">
      <c r="A95" s="575"/>
      <c r="B95" s="575"/>
      <c r="C95" s="579" t="s">
        <v>1009</v>
      </c>
      <c r="D95" s="609">
        <f>D68</f>
        <v>6321819</v>
      </c>
      <c r="E95" s="572" t="s">
        <v>422</v>
      </c>
      <c r="F95" s="609">
        <f>J91</f>
        <v>6522265.1454467662</v>
      </c>
      <c r="G95" s="572" t="s">
        <v>423</v>
      </c>
      <c r="H95" s="588">
        <f>D95-F95</f>
        <v>-200446.14544676617</v>
      </c>
      <c r="I95" s="572" t="s">
        <v>422</v>
      </c>
      <c r="J95" s="1777">
        <f>M84</f>
        <v>0</v>
      </c>
      <c r="K95" s="572" t="s">
        <v>423</v>
      </c>
      <c r="L95" s="1738">
        <f>H95-J95</f>
        <v>-200446.14544676617</v>
      </c>
      <c r="M95" s="183"/>
      <c r="N95" s="573"/>
      <c r="O95" s="573"/>
      <c r="P95" s="573"/>
      <c r="Q95" s="573"/>
      <c r="R95" s="573"/>
    </row>
    <row r="96" spans="1:18" ht="15.75">
      <c r="A96" s="572"/>
      <c r="B96" s="572"/>
      <c r="C96" s="572"/>
      <c r="D96" s="613"/>
      <c r="E96" s="572"/>
      <c r="F96" s="588"/>
      <c r="G96" s="572"/>
      <c r="H96" s="588"/>
      <c r="I96" s="573"/>
      <c r="J96" s="176"/>
      <c r="K96" s="12"/>
      <c r="L96" s="12"/>
      <c r="M96" s="183"/>
      <c r="N96" s="573"/>
      <c r="O96" s="573"/>
      <c r="P96" s="573"/>
      <c r="Q96" s="573"/>
      <c r="R96" s="573"/>
    </row>
    <row r="97" spans="1:18" ht="15.75">
      <c r="A97" s="572"/>
      <c r="B97" s="572"/>
      <c r="C97" s="572"/>
      <c r="D97" s="613"/>
      <c r="E97" s="572"/>
      <c r="F97" s="588"/>
      <c r="G97" s="572"/>
      <c r="H97" s="588"/>
      <c r="I97" s="573"/>
      <c r="J97" s="176"/>
      <c r="K97" s="12"/>
      <c r="L97" s="12"/>
      <c r="M97" s="183"/>
      <c r="N97" s="573"/>
      <c r="O97" s="573"/>
      <c r="P97" s="573"/>
      <c r="Q97" s="573"/>
      <c r="R97" s="573"/>
    </row>
    <row r="98" spans="1:18" ht="15.75">
      <c r="A98" s="572"/>
      <c r="B98" s="572"/>
      <c r="C98" s="572"/>
      <c r="D98" s="1320" t="s">
        <v>640</v>
      </c>
      <c r="E98" s="575"/>
      <c r="F98" s="609"/>
      <c r="G98" s="572"/>
      <c r="H98" s="588"/>
      <c r="I98" s="573"/>
      <c r="J98" s="176"/>
      <c r="K98" s="12"/>
      <c r="L98" s="12"/>
      <c r="M98" s="183"/>
      <c r="N98" s="573"/>
      <c r="O98" s="573"/>
      <c r="P98" s="573"/>
      <c r="Q98" s="573"/>
      <c r="R98" s="573"/>
    </row>
    <row r="99" spans="1:18" ht="15.75">
      <c r="A99" s="572"/>
      <c r="B99" s="572"/>
      <c r="C99" s="572"/>
      <c r="D99" s="2012" t="s">
        <v>1010</v>
      </c>
      <c r="E99" s="2012"/>
      <c r="F99" s="176">
        <f>'6 - Est and True up'!F119</f>
        <v>7.1000000000000004E-3</v>
      </c>
      <c r="G99" s="575"/>
      <c r="H99" s="609"/>
      <c r="I99" s="573"/>
      <c r="J99" s="176"/>
      <c r="K99" s="12"/>
      <c r="L99" s="12"/>
      <c r="M99" s="183"/>
      <c r="N99" s="573"/>
      <c r="O99" s="573"/>
      <c r="P99" s="573"/>
      <c r="Q99" s="573"/>
      <c r="R99" s="573"/>
    </row>
    <row r="100" spans="1:18" ht="13.5">
      <c r="A100" s="572"/>
      <c r="B100" s="572"/>
      <c r="C100" s="572"/>
      <c r="D100" s="606" t="s">
        <v>622</v>
      </c>
      <c r="E100" s="572" t="s">
        <v>641</v>
      </c>
      <c r="F100" s="575" t="s">
        <v>1011</v>
      </c>
      <c r="G100" s="1735" t="s">
        <v>1012</v>
      </c>
      <c r="H100" s="575"/>
      <c r="I100" s="606" t="s">
        <v>642</v>
      </c>
      <c r="J100" s="576" t="s">
        <v>1013</v>
      </c>
      <c r="K100" s="573"/>
      <c r="L100" s="573"/>
      <c r="M100" s="573"/>
      <c r="N100" s="573"/>
      <c r="O100" s="573"/>
      <c r="P100" s="573"/>
      <c r="Q100" s="573"/>
      <c r="R100" s="573"/>
    </row>
    <row r="101" spans="1:18" ht="13.5">
      <c r="A101" s="572"/>
      <c r="B101" s="572"/>
      <c r="C101" s="572"/>
      <c r="D101" s="572"/>
      <c r="E101" s="572"/>
      <c r="F101" s="575" t="s">
        <v>1014</v>
      </c>
      <c r="G101" s="575" t="s">
        <v>1015</v>
      </c>
      <c r="H101" s="575" t="s">
        <v>643</v>
      </c>
      <c r="I101" s="572"/>
      <c r="J101" s="572"/>
      <c r="K101" s="573" t="s">
        <v>1016</v>
      </c>
      <c r="L101" s="573"/>
      <c r="M101" s="573"/>
      <c r="N101" s="573"/>
      <c r="O101" s="573"/>
      <c r="P101" s="573"/>
      <c r="Q101" s="573"/>
      <c r="R101" s="573"/>
    </row>
    <row r="102" spans="1:18" ht="13.5">
      <c r="A102" s="572"/>
      <c r="B102" s="572"/>
      <c r="C102" s="572"/>
      <c r="D102" s="573" t="s">
        <v>629</v>
      </c>
      <c r="E102" s="573" t="s">
        <v>367</v>
      </c>
      <c r="F102" s="1736">
        <f>L95/12</f>
        <v>-16703.845453897182</v>
      </c>
      <c r="G102" s="1731">
        <f>+F99</f>
        <v>7.1000000000000004E-3</v>
      </c>
      <c r="H102" s="577">
        <v>12</v>
      </c>
      <c r="I102" s="583">
        <f>+F102*G102*H102</f>
        <v>-1423.1676326720399</v>
      </c>
      <c r="J102" s="583">
        <f>+F102+I102</f>
        <v>-18127.013086569223</v>
      </c>
      <c r="K102" s="573" t="s">
        <v>1017</v>
      </c>
      <c r="L102" s="573"/>
      <c r="M102" s="573"/>
      <c r="N102" s="573"/>
      <c r="O102" s="573"/>
      <c r="P102" s="573"/>
      <c r="Q102" s="573"/>
      <c r="R102" s="573"/>
    </row>
    <row r="103" spans="1:18" ht="13.5">
      <c r="A103" s="572"/>
      <c r="B103" s="572"/>
      <c r="C103" s="572"/>
      <c r="D103" s="573" t="s">
        <v>630</v>
      </c>
      <c r="E103" s="573" t="s">
        <v>367</v>
      </c>
      <c r="F103" s="609">
        <f t="shared" ref="F103:G113" si="9">+F102</f>
        <v>-16703.845453897182</v>
      </c>
      <c r="G103" s="1732">
        <f>+G102</f>
        <v>7.1000000000000004E-3</v>
      </c>
      <c r="H103" s="577">
        <v>11</v>
      </c>
      <c r="I103" s="583">
        <f t="shared" ref="I103:I113" si="10">+F103*G103*H103</f>
        <v>-1304.57032994937</v>
      </c>
      <c r="J103" s="583">
        <f t="shared" ref="J103:J113" si="11">+F103+I103</f>
        <v>-18008.415783846551</v>
      </c>
      <c r="K103" s="573" t="s">
        <v>1018</v>
      </c>
      <c r="L103" s="573"/>
      <c r="M103" s="573"/>
      <c r="N103" s="573"/>
      <c r="O103" s="573"/>
      <c r="P103" s="573"/>
      <c r="Q103" s="573"/>
      <c r="R103" s="573"/>
    </row>
    <row r="104" spans="1:18" ht="13.5">
      <c r="A104" s="572"/>
      <c r="B104" s="572"/>
      <c r="C104" s="572"/>
      <c r="D104" s="573" t="s">
        <v>631</v>
      </c>
      <c r="E104" s="573" t="s">
        <v>367</v>
      </c>
      <c r="F104" s="609">
        <f t="shared" si="9"/>
        <v>-16703.845453897182</v>
      </c>
      <c r="G104" s="1732">
        <f t="shared" si="9"/>
        <v>7.1000000000000004E-3</v>
      </c>
      <c r="H104" s="577">
        <v>10</v>
      </c>
      <c r="I104" s="583">
        <f t="shared" si="10"/>
        <v>-1185.9730272267</v>
      </c>
      <c r="J104" s="583">
        <f t="shared" si="11"/>
        <v>-17889.818481123883</v>
      </c>
      <c r="K104" s="573"/>
      <c r="L104" s="573"/>
      <c r="M104" s="573"/>
      <c r="N104" s="573"/>
      <c r="O104" s="573"/>
      <c r="P104" s="573"/>
      <c r="Q104" s="573"/>
      <c r="R104" s="573"/>
    </row>
    <row r="105" spans="1:18" ht="13.5">
      <c r="A105" s="572"/>
      <c r="B105" s="572"/>
      <c r="C105" s="572"/>
      <c r="D105" s="573" t="s">
        <v>632</v>
      </c>
      <c r="E105" s="573" t="s">
        <v>367</v>
      </c>
      <c r="F105" s="609">
        <f t="shared" si="9"/>
        <v>-16703.845453897182</v>
      </c>
      <c r="G105" s="1732">
        <f t="shared" si="9"/>
        <v>7.1000000000000004E-3</v>
      </c>
      <c r="H105" s="577">
        <v>9</v>
      </c>
      <c r="I105" s="583">
        <f t="shared" si="10"/>
        <v>-1067.3757245040299</v>
      </c>
      <c r="J105" s="583">
        <f t="shared" si="11"/>
        <v>-17771.221178401211</v>
      </c>
      <c r="K105" s="573"/>
      <c r="L105" s="573"/>
      <c r="M105" s="573"/>
      <c r="N105" s="573"/>
      <c r="O105" s="573"/>
      <c r="P105" s="573"/>
      <c r="Q105" s="573"/>
      <c r="R105" s="573"/>
    </row>
    <row r="106" spans="1:18" ht="13.5">
      <c r="A106" s="572"/>
      <c r="B106" s="572"/>
      <c r="C106" s="572"/>
      <c r="D106" s="573" t="s">
        <v>627</v>
      </c>
      <c r="E106" s="573" t="s">
        <v>367</v>
      </c>
      <c r="F106" s="609">
        <f t="shared" si="9"/>
        <v>-16703.845453897182</v>
      </c>
      <c r="G106" s="1732">
        <f t="shared" si="9"/>
        <v>7.1000000000000004E-3</v>
      </c>
      <c r="H106" s="577">
        <v>8</v>
      </c>
      <c r="I106" s="583">
        <f t="shared" si="10"/>
        <v>-948.77842178135995</v>
      </c>
      <c r="J106" s="583">
        <f t="shared" si="11"/>
        <v>-17652.623875678542</v>
      </c>
      <c r="K106" s="573"/>
      <c r="L106" s="573"/>
      <c r="M106" s="573"/>
      <c r="N106" s="573"/>
      <c r="O106" s="573"/>
      <c r="P106" s="573"/>
      <c r="Q106" s="573"/>
      <c r="R106" s="573"/>
    </row>
    <row r="107" spans="1:18" ht="13.5">
      <c r="A107" s="572"/>
      <c r="B107" s="572"/>
      <c r="C107" s="572"/>
      <c r="D107" s="573" t="s">
        <v>633</v>
      </c>
      <c r="E107" s="573" t="s">
        <v>367</v>
      </c>
      <c r="F107" s="609">
        <f t="shared" si="9"/>
        <v>-16703.845453897182</v>
      </c>
      <c r="G107" s="1732">
        <f t="shared" si="9"/>
        <v>7.1000000000000004E-3</v>
      </c>
      <c r="H107" s="577">
        <v>7</v>
      </c>
      <c r="I107" s="583">
        <f t="shared" si="10"/>
        <v>-830.18111905869</v>
      </c>
      <c r="J107" s="583">
        <f t="shared" si="11"/>
        <v>-17534.026572955871</v>
      </c>
      <c r="K107" s="573"/>
      <c r="L107" s="573"/>
      <c r="M107" s="573"/>
      <c r="N107" s="573"/>
      <c r="O107" s="573"/>
      <c r="P107" s="573"/>
      <c r="Q107" s="573"/>
      <c r="R107" s="573"/>
    </row>
    <row r="108" spans="1:18" ht="13.5">
      <c r="A108" s="572"/>
      <c r="B108" s="572"/>
      <c r="C108" s="572"/>
      <c r="D108" s="573" t="s">
        <v>634</v>
      </c>
      <c r="E108" s="573" t="s">
        <v>367</v>
      </c>
      <c r="F108" s="609">
        <f t="shared" si="9"/>
        <v>-16703.845453897182</v>
      </c>
      <c r="G108" s="1732">
        <f t="shared" si="9"/>
        <v>7.1000000000000004E-3</v>
      </c>
      <c r="H108" s="577">
        <v>6</v>
      </c>
      <c r="I108" s="583">
        <f t="shared" si="10"/>
        <v>-711.58381633601994</v>
      </c>
      <c r="J108" s="583">
        <f t="shared" si="11"/>
        <v>-17415.429270233202</v>
      </c>
      <c r="K108" s="573"/>
      <c r="L108" s="573"/>
      <c r="M108" s="573"/>
      <c r="N108" s="573"/>
      <c r="O108" s="573"/>
      <c r="P108" s="573"/>
      <c r="Q108" s="573"/>
      <c r="R108" s="573"/>
    </row>
    <row r="109" spans="1:18" ht="13.5">
      <c r="A109" s="572"/>
      <c r="B109" s="572"/>
      <c r="C109" s="572"/>
      <c r="D109" s="573" t="s">
        <v>635</v>
      </c>
      <c r="E109" s="573" t="s">
        <v>601</v>
      </c>
      <c r="F109" s="609">
        <f t="shared" si="9"/>
        <v>-16703.845453897182</v>
      </c>
      <c r="G109" s="1732">
        <f t="shared" si="9"/>
        <v>7.1000000000000004E-3</v>
      </c>
      <c r="H109" s="577">
        <v>5</v>
      </c>
      <c r="I109" s="583">
        <f t="shared" si="10"/>
        <v>-592.98651361334998</v>
      </c>
      <c r="J109" s="583">
        <f t="shared" si="11"/>
        <v>-17296.83196751053</v>
      </c>
      <c r="K109" s="573"/>
      <c r="L109" s="573"/>
      <c r="M109" s="573"/>
      <c r="N109" s="573"/>
      <c r="O109" s="573"/>
      <c r="P109" s="573"/>
      <c r="Q109" s="573"/>
      <c r="R109" s="573"/>
    </row>
    <row r="110" spans="1:18" ht="13.5">
      <c r="A110" s="572"/>
      <c r="B110" s="572"/>
      <c r="C110" s="572"/>
      <c r="D110" s="573" t="s">
        <v>636</v>
      </c>
      <c r="E110" s="573" t="s">
        <v>601</v>
      </c>
      <c r="F110" s="609">
        <f t="shared" si="9"/>
        <v>-16703.845453897182</v>
      </c>
      <c r="G110" s="1732">
        <f t="shared" si="9"/>
        <v>7.1000000000000004E-3</v>
      </c>
      <c r="H110" s="577">
        <v>4</v>
      </c>
      <c r="I110" s="583">
        <f t="shared" si="10"/>
        <v>-474.38921089067998</v>
      </c>
      <c r="J110" s="583">
        <f t="shared" si="11"/>
        <v>-17178.234664787862</v>
      </c>
      <c r="K110" s="573"/>
      <c r="L110" s="573"/>
      <c r="M110" s="573"/>
      <c r="N110" s="573"/>
      <c r="O110" s="573"/>
      <c r="P110" s="573"/>
      <c r="Q110" s="573"/>
      <c r="R110" s="573"/>
    </row>
    <row r="111" spans="1:18" ht="13.5">
      <c r="A111" s="572"/>
      <c r="B111" s="572"/>
      <c r="C111" s="572"/>
      <c r="D111" s="573" t="s">
        <v>637</v>
      </c>
      <c r="E111" s="573" t="s">
        <v>601</v>
      </c>
      <c r="F111" s="609">
        <f t="shared" si="9"/>
        <v>-16703.845453897182</v>
      </c>
      <c r="G111" s="1732">
        <f t="shared" si="9"/>
        <v>7.1000000000000004E-3</v>
      </c>
      <c r="H111" s="577">
        <v>3</v>
      </c>
      <c r="I111" s="583">
        <f t="shared" si="10"/>
        <v>-355.79190816800997</v>
      </c>
      <c r="J111" s="583">
        <f t="shared" si="11"/>
        <v>-17059.63736206519</v>
      </c>
      <c r="K111" s="573"/>
      <c r="L111" s="573"/>
      <c r="M111" s="573"/>
      <c r="N111" s="573"/>
      <c r="O111" s="573"/>
      <c r="P111" s="573"/>
      <c r="Q111" s="573"/>
      <c r="R111" s="573"/>
    </row>
    <row r="112" spans="1:18" ht="13.5">
      <c r="A112" s="572"/>
      <c r="B112" s="572"/>
      <c r="C112" s="572"/>
      <c r="D112" s="573" t="s">
        <v>638</v>
      </c>
      <c r="E112" s="573" t="s">
        <v>601</v>
      </c>
      <c r="F112" s="609">
        <f t="shared" si="9"/>
        <v>-16703.845453897182</v>
      </c>
      <c r="G112" s="1732">
        <f t="shared" si="9"/>
        <v>7.1000000000000004E-3</v>
      </c>
      <c r="H112" s="577">
        <v>2</v>
      </c>
      <c r="I112" s="583">
        <f t="shared" si="10"/>
        <v>-237.19460544533999</v>
      </c>
      <c r="J112" s="583">
        <f t="shared" si="11"/>
        <v>-16941.040059342522</v>
      </c>
      <c r="K112" s="573"/>
      <c r="L112" s="573"/>
      <c r="M112" s="573"/>
      <c r="N112" s="573"/>
      <c r="O112" s="573"/>
      <c r="P112" s="573"/>
      <c r="Q112" s="573"/>
      <c r="R112" s="573"/>
    </row>
    <row r="113" spans="1:18" ht="13.5">
      <c r="A113" s="572"/>
      <c r="B113" s="572"/>
      <c r="C113" s="572"/>
      <c r="D113" s="573" t="s">
        <v>639</v>
      </c>
      <c r="E113" s="573" t="s">
        <v>601</v>
      </c>
      <c r="F113" s="609">
        <f t="shared" si="9"/>
        <v>-16703.845453897182</v>
      </c>
      <c r="G113" s="1732">
        <f t="shared" si="9"/>
        <v>7.1000000000000004E-3</v>
      </c>
      <c r="H113" s="577">
        <v>1</v>
      </c>
      <c r="I113" s="583">
        <f t="shared" si="10"/>
        <v>-118.59730272266999</v>
      </c>
      <c r="J113" s="583">
        <f t="shared" si="11"/>
        <v>-16822.44275661985</v>
      </c>
      <c r="K113" s="573"/>
      <c r="L113" s="573"/>
      <c r="M113" s="573"/>
      <c r="N113" s="573"/>
      <c r="O113" s="573"/>
      <c r="P113" s="573"/>
      <c r="Q113" s="573"/>
      <c r="R113" s="573"/>
    </row>
    <row r="114" spans="1:18" ht="13.5">
      <c r="A114" s="572"/>
      <c r="B114" s="572"/>
      <c r="C114" s="572"/>
      <c r="D114" s="573" t="s">
        <v>851</v>
      </c>
      <c r="E114" s="573"/>
      <c r="F114" s="609">
        <v>0</v>
      </c>
      <c r="G114" s="577"/>
      <c r="H114" s="577"/>
      <c r="I114" s="573"/>
      <c r="J114" s="583">
        <f>SUM(J102:J113)</f>
        <v>-209696.73505913446</v>
      </c>
      <c r="K114" s="573"/>
      <c r="L114" s="573"/>
      <c r="M114" s="573"/>
      <c r="N114" s="573"/>
      <c r="O114" s="573"/>
      <c r="P114" s="573"/>
      <c r="Q114" s="573"/>
      <c r="R114" s="573"/>
    </row>
    <row r="115" spans="1:18" ht="13.5">
      <c r="A115" s="572"/>
      <c r="B115" s="572"/>
      <c r="C115" s="572"/>
      <c r="D115" s="573"/>
      <c r="E115" s="573"/>
      <c r="F115" s="1735" t="s">
        <v>644</v>
      </c>
      <c r="G115" s="1733" t="s">
        <v>1019</v>
      </c>
      <c r="H115" s="1733" t="s">
        <v>1020</v>
      </c>
      <c r="I115" s="606" t="s">
        <v>642</v>
      </c>
      <c r="J115" s="583" t="str">
        <f>+J100</f>
        <v>Surcharge (Refund) Owed</v>
      </c>
      <c r="K115" s="573"/>
      <c r="L115" s="573"/>
      <c r="M115" s="573"/>
      <c r="N115" s="573"/>
      <c r="O115" s="573"/>
      <c r="P115" s="573"/>
      <c r="Q115" s="573"/>
      <c r="R115" s="573"/>
    </row>
    <row r="116" spans="1:18" ht="13.5">
      <c r="A116" s="572"/>
      <c r="B116" s="572"/>
      <c r="C116" s="572"/>
      <c r="D116" s="573" t="s">
        <v>629</v>
      </c>
      <c r="E116" s="573" t="s">
        <v>601</v>
      </c>
      <c r="F116" s="609">
        <f>+J114</f>
        <v>-209696.73505913446</v>
      </c>
      <c r="G116" s="1732">
        <f>+G113</f>
        <v>7.1000000000000004E-3</v>
      </c>
      <c r="H116" s="590">
        <v>0</v>
      </c>
      <c r="I116" s="583">
        <f t="shared" ref="I116:I132" si="12">+F116*G116</f>
        <v>-1488.8468189198547</v>
      </c>
      <c r="J116" s="583">
        <f>+F116+I116-H116</f>
        <v>-211185.5818780543</v>
      </c>
      <c r="K116" s="573"/>
      <c r="L116" s="573"/>
      <c r="M116" s="573"/>
      <c r="N116" s="573"/>
      <c r="O116" s="573"/>
      <c r="P116" s="573"/>
      <c r="Q116" s="573"/>
      <c r="R116" s="573"/>
    </row>
    <row r="117" spans="1:18" ht="13.5">
      <c r="A117" s="572"/>
      <c r="B117" s="572"/>
      <c r="C117" s="572"/>
      <c r="D117" s="573" t="s">
        <v>630</v>
      </c>
      <c r="E117" s="573" t="s">
        <v>601</v>
      </c>
      <c r="F117" s="609">
        <f>+J116</f>
        <v>-211185.5818780543</v>
      </c>
      <c r="G117" s="1732">
        <f>+G116</f>
        <v>7.1000000000000004E-3</v>
      </c>
      <c r="H117" s="1737">
        <v>0</v>
      </c>
      <c r="I117" s="583">
        <f t="shared" si="12"/>
        <v>-1499.4176313341857</v>
      </c>
      <c r="J117" s="583">
        <f t="shared" ref="J117:J132" si="13">+F117+I117-H117</f>
        <v>-212684.99950938849</v>
      </c>
      <c r="K117" s="573"/>
      <c r="L117" s="573"/>
      <c r="M117" s="573"/>
      <c r="N117" s="573"/>
      <c r="O117" s="573"/>
      <c r="P117" s="573"/>
      <c r="Q117" s="573"/>
      <c r="R117" s="573"/>
    </row>
    <row r="118" spans="1:18" ht="13.5">
      <c r="A118" s="572"/>
      <c r="B118" s="572"/>
      <c r="C118" s="572"/>
      <c r="D118" s="573" t="s">
        <v>631</v>
      </c>
      <c r="E118" s="573" t="s">
        <v>601</v>
      </c>
      <c r="F118" s="609">
        <f t="shared" ref="F118:F132" si="14">+J117</f>
        <v>-212684.99950938849</v>
      </c>
      <c r="G118" s="1732">
        <f t="shared" ref="G118:G132" si="15">+G117</f>
        <v>7.1000000000000004E-3</v>
      </c>
      <c r="H118" s="1737">
        <f t="shared" ref="H118:H132" si="16">H117</f>
        <v>0</v>
      </c>
      <c r="I118" s="583">
        <f t="shared" si="12"/>
        <v>-1510.0634965166585</v>
      </c>
      <c r="J118" s="583">
        <f t="shared" si="13"/>
        <v>-214195.06300590516</v>
      </c>
      <c r="K118" s="573"/>
      <c r="L118" s="573"/>
      <c r="M118" s="573"/>
      <c r="N118" s="573"/>
      <c r="O118" s="573"/>
      <c r="P118" s="573"/>
      <c r="Q118" s="573"/>
      <c r="R118" s="573"/>
    </row>
    <row r="119" spans="1:18" ht="13.5">
      <c r="A119" s="572"/>
      <c r="B119" s="572"/>
      <c r="C119" s="572"/>
      <c r="D119" s="573" t="s">
        <v>632</v>
      </c>
      <c r="E119" s="573" t="s">
        <v>601</v>
      </c>
      <c r="F119" s="609">
        <f t="shared" si="14"/>
        <v>-214195.06300590516</v>
      </c>
      <c r="G119" s="1732">
        <f t="shared" si="15"/>
        <v>7.1000000000000004E-3</v>
      </c>
      <c r="H119" s="1737">
        <f t="shared" si="16"/>
        <v>0</v>
      </c>
      <c r="I119" s="583">
        <f t="shared" si="12"/>
        <v>-1520.7849473419267</v>
      </c>
      <c r="J119" s="583">
        <f t="shared" si="13"/>
        <v>-215715.84795324708</v>
      </c>
      <c r="K119" s="616"/>
      <c r="L119" s="573"/>
      <c r="M119" s="573"/>
      <c r="N119" s="573"/>
      <c r="O119" s="573"/>
      <c r="P119" s="573"/>
      <c r="Q119" s="573"/>
      <c r="R119" s="573"/>
    </row>
    <row r="120" spans="1:18" ht="13.5">
      <c r="A120" s="572"/>
      <c r="B120" s="572"/>
      <c r="C120" s="572"/>
      <c r="D120" s="573" t="s">
        <v>627</v>
      </c>
      <c r="E120" s="573" t="s">
        <v>601</v>
      </c>
      <c r="F120" s="609">
        <f t="shared" si="14"/>
        <v>-215715.84795324708</v>
      </c>
      <c r="G120" s="1732">
        <f t="shared" si="15"/>
        <v>7.1000000000000004E-3</v>
      </c>
      <c r="H120" s="1737">
        <f t="shared" si="16"/>
        <v>0</v>
      </c>
      <c r="I120" s="583">
        <f t="shared" si="12"/>
        <v>-1531.5825204680543</v>
      </c>
      <c r="J120" s="583">
        <f t="shared" si="13"/>
        <v>-217247.43047371513</v>
      </c>
      <c r="K120" s="615"/>
      <c r="L120" s="573"/>
      <c r="M120" s="573"/>
      <c r="N120" s="573"/>
      <c r="O120" s="573"/>
      <c r="P120" s="573"/>
      <c r="Q120" s="573"/>
      <c r="R120" s="573"/>
    </row>
    <row r="121" spans="1:18" ht="13.5">
      <c r="A121" s="572"/>
      <c r="B121" s="572"/>
      <c r="C121" s="572"/>
      <c r="D121" s="573" t="s">
        <v>633</v>
      </c>
      <c r="E121" s="573" t="s">
        <v>601</v>
      </c>
      <c r="F121" s="609">
        <f t="shared" si="14"/>
        <v>-217247.43047371513</v>
      </c>
      <c r="G121" s="1732">
        <f t="shared" si="15"/>
        <v>7.1000000000000004E-3</v>
      </c>
      <c r="H121" s="590">
        <f>-PMT(G121,12,J120)</f>
        <v>-18950.285603925629</v>
      </c>
      <c r="I121" s="583">
        <f t="shared" si="12"/>
        <v>-1542.4567563633775</v>
      </c>
      <c r="J121" s="583">
        <f t="shared" si="13"/>
        <v>-199839.60162615287</v>
      </c>
      <c r="K121" s="573"/>
      <c r="L121" s="573"/>
      <c r="M121" s="573"/>
      <c r="N121" s="573"/>
      <c r="O121" s="573"/>
      <c r="P121" s="573"/>
      <c r="Q121" s="573"/>
      <c r="R121" s="573"/>
    </row>
    <row r="122" spans="1:18" ht="13.5">
      <c r="A122" s="572"/>
      <c r="B122" s="572"/>
      <c r="C122" s="572"/>
      <c r="D122" s="573" t="s">
        <v>634</v>
      </c>
      <c r="E122" s="573" t="s">
        <v>601</v>
      </c>
      <c r="F122" s="609">
        <f t="shared" si="14"/>
        <v>-199839.60162615287</v>
      </c>
      <c r="G122" s="1732">
        <f t="shared" si="15"/>
        <v>7.1000000000000004E-3</v>
      </c>
      <c r="H122" s="1737">
        <f t="shared" si="16"/>
        <v>-18950.285603925629</v>
      </c>
      <c r="I122" s="583">
        <f t="shared" si="12"/>
        <v>-1418.8611715456855</v>
      </c>
      <c r="J122" s="583">
        <f t="shared" si="13"/>
        <v>-182308.17719377292</v>
      </c>
      <c r="K122" s="573"/>
      <c r="L122" s="573"/>
      <c r="M122" s="573"/>
      <c r="N122" s="573"/>
      <c r="O122" s="573"/>
      <c r="P122" s="573"/>
      <c r="Q122" s="573"/>
      <c r="R122" s="573"/>
    </row>
    <row r="123" spans="1:18" ht="13.5">
      <c r="A123" s="572"/>
      <c r="B123" s="572"/>
      <c r="C123" s="572"/>
      <c r="D123" s="573" t="s">
        <v>635</v>
      </c>
      <c r="E123" s="573" t="s">
        <v>601</v>
      </c>
      <c r="F123" s="609">
        <f t="shared" si="14"/>
        <v>-182308.17719377292</v>
      </c>
      <c r="G123" s="1732">
        <f t="shared" si="15"/>
        <v>7.1000000000000004E-3</v>
      </c>
      <c r="H123" s="1737">
        <f t="shared" si="16"/>
        <v>-18950.285603925629</v>
      </c>
      <c r="I123" s="583">
        <f t="shared" si="12"/>
        <v>-1294.3880580757877</v>
      </c>
      <c r="J123" s="583">
        <f t="shared" si="13"/>
        <v>-164652.27964792307</v>
      </c>
      <c r="K123" s="573"/>
      <c r="L123" s="573"/>
      <c r="M123" s="573"/>
      <c r="N123" s="573"/>
      <c r="O123" s="573"/>
      <c r="P123" s="573"/>
      <c r="Q123" s="573"/>
      <c r="R123" s="573"/>
    </row>
    <row r="124" spans="1:18" ht="13.5">
      <c r="A124" s="572"/>
      <c r="B124" s="572"/>
      <c r="C124" s="572"/>
      <c r="D124" s="573" t="s">
        <v>636</v>
      </c>
      <c r="E124" s="573" t="s">
        <v>601</v>
      </c>
      <c r="F124" s="609">
        <f t="shared" si="14"/>
        <v>-164652.27964792307</v>
      </c>
      <c r="G124" s="1732">
        <f t="shared" si="15"/>
        <v>7.1000000000000004E-3</v>
      </c>
      <c r="H124" s="1737">
        <f t="shared" si="16"/>
        <v>-18950.285603925629</v>
      </c>
      <c r="I124" s="583">
        <f t="shared" si="12"/>
        <v>-1169.031185500254</v>
      </c>
      <c r="J124" s="583">
        <f t="shared" si="13"/>
        <v>-146871.0252294977</v>
      </c>
      <c r="K124" s="573"/>
      <c r="L124" s="573"/>
      <c r="M124" s="573"/>
      <c r="N124" s="573"/>
      <c r="O124" s="573"/>
      <c r="P124" s="573"/>
      <c r="Q124" s="573"/>
      <c r="R124" s="573"/>
    </row>
    <row r="125" spans="1:18" ht="13.5">
      <c r="A125" s="572"/>
      <c r="B125" s="572"/>
      <c r="C125" s="572"/>
      <c r="D125" s="573" t="s">
        <v>637</v>
      </c>
      <c r="E125" s="573" t="s">
        <v>601</v>
      </c>
      <c r="F125" s="609">
        <f t="shared" si="14"/>
        <v>-146871.0252294977</v>
      </c>
      <c r="G125" s="1732">
        <f t="shared" si="15"/>
        <v>7.1000000000000004E-3</v>
      </c>
      <c r="H125" s="1737">
        <f t="shared" si="16"/>
        <v>-18950.285603925629</v>
      </c>
      <c r="I125" s="583">
        <f t="shared" si="12"/>
        <v>-1042.7842791294338</v>
      </c>
      <c r="J125" s="583">
        <f t="shared" si="13"/>
        <v>-128963.52390470151</v>
      </c>
      <c r="K125" s="573"/>
      <c r="L125" s="573"/>
      <c r="M125" s="573"/>
      <c r="N125" s="573"/>
      <c r="O125" s="573"/>
      <c r="P125" s="573"/>
      <c r="Q125" s="573"/>
      <c r="R125" s="573"/>
    </row>
    <row r="126" spans="1:18" ht="13.5">
      <c r="A126" s="572"/>
      <c r="B126" s="572"/>
      <c r="C126" s="572"/>
      <c r="D126" s="573" t="s">
        <v>638</v>
      </c>
      <c r="E126" s="573" t="s">
        <v>601</v>
      </c>
      <c r="F126" s="609">
        <f t="shared" si="14"/>
        <v>-128963.52390470151</v>
      </c>
      <c r="G126" s="1732">
        <f t="shared" si="15"/>
        <v>7.1000000000000004E-3</v>
      </c>
      <c r="H126" s="1737">
        <f t="shared" si="16"/>
        <v>-18950.285603925629</v>
      </c>
      <c r="I126" s="583">
        <f t="shared" si="12"/>
        <v>-915.64101972338074</v>
      </c>
      <c r="J126" s="583">
        <f t="shared" si="13"/>
        <v>-110928.87932049925</v>
      </c>
      <c r="K126" s="573"/>
      <c r="L126" s="573"/>
      <c r="M126" s="573"/>
      <c r="N126" s="573"/>
      <c r="O126" s="573"/>
      <c r="P126" s="573"/>
      <c r="Q126" s="573"/>
      <c r="R126" s="573"/>
    </row>
    <row r="127" spans="1:18" ht="13.5">
      <c r="A127" s="572"/>
      <c r="B127" s="572"/>
      <c r="C127" s="572"/>
      <c r="D127" s="573" t="s">
        <v>639</v>
      </c>
      <c r="E127" s="573" t="s">
        <v>601</v>
      </c>
      <c r="F127" s="609">
        <f t="shared" si="14"/>
        <v>-110928.87932049925</v>
      </c>
      <c r="G127" s="1732">
        <f t="shared" si="15"/>
        <v>7.1000000000000004E-3</v>
      </c>
      <c r="H127" s="1737">
        <f t="shared" si="16"/>
        <v>-18950.285603925629</v>
      </c>
      <c r="I127" s="583">
        <f t="shared" si="12"/>
        <v>-787.59504317554479</v>
      </c>
      <c r="J127" s="583">
        <f t="shared" si="13"/>
        <v>-92766.188759749173</v>
      </c>
      <c r="K127" s="573"/>
      <c r="L127" s="573"/>
      <c r="M127" s="573"/>
      <c r="N127" s="573"/>
      <c r="O127" s="573"/>
      <c r="P127" s="573"/>
      <c r="Q127" s="573"/>
      <c r="R127" s="573"/>
    </row>
    <row r="128" spans="1:18" ht="13.5">
      <c r="A128" s="572"/>
      <c r="B128" s="572"/>
      <c r="C128" s="572"/>
      <c r="D128" s="573" t="s">
        <v>629</v>
      </c>
      <c r="E128" s="573" t="s">
        <v>602</v>
      </c>
      <c r="F128" s="609">
        <f t="shared" si="14"/>
        <v>-92766.188759749173</v>
      </c>
      <c r="G128" s="1732">
        <f t="shared" si="15"/>
        <v>7.1000000000000004E-3</v>
      </c>
      <c r="H128" s="1737">
        <f t="shared" si="16"/>
        <v>-18950.285603925629</v>
      </c>
      <c r="I128" s="583">
        <f t="shared" si="12"/>
        <v>-658.63994019421921</v>
      </c>
      <c r="J128" s="583">
        <f t="shared" si="13"/>
        <v>-74474.543096017762</v>
      </c>
      <c r="K128" s="573"/>
      <c r="L128" s="573"/>
      <c r="M128" s="573"/>
      <c r="N128" s="573"/>
      <c r="O128" s="573"/>
      <c r="P128" s="573"/>
      <c r="Q128" s="573"/>
      <c r="R128" s="573"/>
    </row>
    <row r="129" spans="1:18" ht="13.5">
      <c r="A129" s="572"/>
      <c r="B129" s="572"/>
      <c r="C129" s="572"/>
      <c r="D129" s="573" t="s">
        <v>630</v>
      </c>
      <c r="E129" s="573" t="s">
        <v>602</v>
      </c>
      <c r="F129" s="609">
        <f t="shared" si="14"/>
        <v>-74474.543096017762</v>
      </c>
      <c r="G129" s="1732">
        <f t="shared" si="15"/>
        <v>7.1000000000000004E-3</v>
      </c>
      <c r="H129" s="1737">
        <f t="shared" si="16"/>
        <v>-18950.285603925629</v>
      </c>
      <c r="I129" s="583">
        <f t="shared" si="12"/>
        <v>-528.76925598172613</v>
      </c>
      <c r="J129" s="583">
        <f t="shared" si="13"/>
        <v>-56053.026748073855</v>
      </c>
      <c r="K129" s="573"/>
      <c r="L129" s="573"/>
      <c r="M129" s="573"/>
      <c r="N129" s="573"/>
      <c r="O129" s="573"/>
      <c r="P129" s="573"/>
      <c r="Q129" s="573"/>
      <c r="R129" s="573"/>
    </row>
    <row r="130" spans="1:18" ht="13.5">
      <c r="A130" s="572"/>
      <c r="B130" s="572"/>
      <c r="C130" s="572"/>
      <c r="D130" s="573" t="s">
        <v>631</v>
      </c>
      <c r="E130" s="573" t="s">
        <v>602</v>
      </c>
      <c r="F130" s="609">
        <f t="shared" si="14"/>
        <v>-56053.026748073855</v>
      </c>
      <c r="G130" s="1732">
        <f t="shared" si="15"/>
        <v>7.1000000000000004E-3</v>
      </c>
      <c r="H130" s="1737">
        <f t="shared" si="16"/>
        <v>-18950.285603925629</v>
      </c>
      <c r="I130" s="583">
        <f t="shared" si="12"/>
        <v>-397.97648991132439</v>
      </c>
      <c r="J130" s="583">
        <f t="shared" si="13"/>
        <v>-37500.717634059547</v>
      </c>
      <c r="K130" s="573"/>
      <c r="L130" s="573"/>
      <c r="M130" s="573"/>
      <c r="N130" s="573"/>
      <c r="O130" s="573"/>
      <c r="P130" s="573"/>
      <c r="Q130" s="573"/>
      <c r="R130" s="573"/>
    </row>
    <row r="131" spans="1:18" ht="13.5">
      <c r="A131" s="572"/>
      <c r="B131" s="572"/>
      <c r="C131" s="572"/>
      <c r="D131" s="573" t="s">
        <v>632</v>
      </c>
      <c r="E131" s="573" t="s">
        <v>602</v>
      </c>
      <c r="F131" s="609">
        <f t="shared" si="14"/>
        <v>-37500.717634059547</v>
      </c>
      <c r="G131" s="1732">
        <f t="shared" si="15"/>
        <v>7.1000000000000004E-3</v>
      </c>
      <c r="H131" s="1737">
        <f t="shared" si="16"/>
        <v>-18950.285603925629</v>
      </c>
      <c r="I131" s="583">
        <f t="shared" si="12"/>
        <v>-266.25509520182283</v>
      </c>
      <c r="J131" s="583">
        <f t="shared" si="13"/>
        <v>-18816.687125335739</v>
      </c>
      <c r="K131" s="573"/>
      <c r="L131" s="573"/>
      <c r="M131" s="573"/>
      <c r="N131" s="573"/>
      <c r="O131" s="573"/>
      <c r="P131" s="573"/>
      <c r="Q131" s="573"/>
      <c r="R131" s="573"/>
    </row>
    <row r="132" spans="1:18" ht="13.5">
      <c r="A132" s="572"/>
      <c r="B132" s="572"/>
      <c r="C132" s="572"/>
      <c r="D132" s="573" t="s">
        <v>627</v>
      </c>
      <c r="E132" s="573" t="s">
        <v>602</v>
      </c>
      <c r="F132" s="609">
        <f t="shared" si="14"/>
        <v>-18816.687125335739</v>
      </c>
      <c r="G132" s="1732">
        <f t="shared" si="15"/>
        <v>7.1000000000000004E-3</v>
      </c>
      <c r="H132" s="1737">
        <f t="shared" si="16"/>
        <v>-18950.285603925629</v>
      </c>
      <c r="I132" s="583">
        <f t="shared" si="12"/>
        <v>-133.59847858988374</v>
      </c>
      <c r="J132" s="583">
        <f t="shared" si="13"/>
        <v>0</v>
      </c>
      <c r="K132" s="573"/>
      <c r="L132" s="573"/>
      <c r="M132" s="573"/>
      <c r="N132" s="573"/>
      <c r="O132" s="573"/>
      <c r="P132" s="573"/>
      <c r="Q132" s="573"/>
      <c r="R132" s="573"/>
    </row>
    <row r="133" spans="1:18" ht="13.5">
      <c r="A133" s="572"/>
      <c r="B133" s="572"/>
      <c r="C133" s="572"/>
      <c r="D133" s="573" t="s">
        <v>658</v>
      </c>
      <c r="E133" s="573"/>
      <c r="F133" s="577"/>
      <c r="G133" s="577"/>
      <c r="H133" s="609">
        <f>SUM(H116:H132)</f>
        <v>-227403.42724710761</v>
      </c>
      <c r="I133" s="573"/>
      <c r="J133" s="573"/>
      <c r="K133" s="573"/>
      <c r="L133" s="573"/>
      <c r="M133" s="573"/>
      <c r="N133" s="573"/>
      <c r="O133" s="573"/>
      <c r="P133" s="573"/>
      <c r="Q133" s="573"/>
      <c r="R133" s="573"/>
    </row>
    <row r="134" spans="1:18" ht="13.5">
      <c r="A134" s="572"/>
      <c r="B134" s="572"/>
      <c r="C134" s="572"/>
      <c r="D134" s="573"/>
      <c r="E134" s="573"/>
      <c r="F134" s="573"/>
      <c r="G134" s="573"/>
      <c r="H134" s="573"/>
      <c r="I134" s="573"/>
      <c r="J134" s="573"/>
      <c r="K134" s="573"/>
      <c r="L134" s="573"/>
      <c r="M134" s="573"/>
      <c r="N134" s="573"/>
      <c r="O134" s="573"/>
      <c r="P134" s="573"/>
      <c r="Q134" s="573"/>
      <c r="R134" s="573"/>
    </row>
    <row r="135" spans="1:18" ht="13.5">
      <c r="A135" s="420"/>
      <c r="B135" s="572"/>
      <c r="C135" s="572"/>
      <c r="D135" s="614" t="str">
        <f>+D133</f>
        <v>Total with interest</v>
      </c>
      <c r="E135" s="572"/>
      <c r="F135" s="419"/>
      <c r="G135" s="572"/>
      <c r="H135" s="588">
        <f>+H133</f>
        <v>-227403.42724710761</v>
      </c>
      <c r="I135" s="572"/>
      <c r="J135" s="588"/>
      <c r="K135" s="573"/>
      <c r="L135" s="573"/>
      <c r="M135" s="573"/>
      <c r="N135" s="573"/>
      <c r="O135" s="573"/>
      <c r="P135" s="573"/>
      <c r="Q135" s="573"/>
      <c r="R135" s="573"/>
    </row>
    <row r="136" spans="1:18" ht="13.5">
      <c r="A136" s="420"/>
      <c r="B136" s="572"/>
      <c r="C136" s="572"/>
      <c r="D136" s="614" t="s">
        <v>66</v>
      </c>
      <c r="E136" s="572"/>
      <c r="F136" s="419"/>
      <c r="G136" s="572"/>
      <c r="H136" s="617">
        <f>'ATT H-1 '!L286</f>
        <v>6327484.5929333884</v>
      </c>
      <c r="I136" s="585"/>
      <c r="J136" s="609"/>
      <c r="K136" s="573"/>
      <c r="L136" s="573"/>
      <c r="M136" s="573"/>
      <c r="N136" s="573"/>
      <c r="O136" s="573"/>
      <c r="P136" s="573"/>
      <c r="Q136" s="573"/>
      <c r="R136" s="573"/>
    </row>
    <row r="137" spans="1:18" ht="13.5">
      <c r="A137" s="420"/>
      <c r="B137" s="572"/>
      <c r="C137" s="572"/>
      <c r="D137" s="614" t="s">
        <v>67</v>
      </c>
      <c r="E137" s="572"/>
      <c r="F137" s="419"/>
      <c r="G137" s="572"/>
      <c r="H137" s="588">
        <f>+H135+H136</f>
        <v>6100081.1656862805</v>
      </c>
      <c r="I137" s="576"/>
      <c r="J137" s="609"/>
      <c r="K137" s="573"/>
      <c r="L137" s="573"/>
      <c r="M137" s="573"/>
      <c r="N137" s="573"/>
      <c r="O137" s="573"/>
      <c r="P137" s="573"/>
      <c r="Q137" s="573"/>
      <c r="R137" s="573"/>
    </row>
    <row r="138" spans="1:18" ht="13.5">
      <c r="A138" s="572"/>
      <c r="B138" s="572"/>
      <c r="C138" s="572"/>
      <c r="D138" s="605"/>
      <c r="E138" s="573"/>
      <c r="F138" s="573"/>
      <c r="G138" s="577"/>
      <c r="H138" s="609"/>
      <c r="I138" s="577"/>
      <c r="J138" s="573"/>
      <c r="K138" s="573"/>
      <c r="L138" s="573"/>
      <c r="M138" s="573"/>
      <c r="N138" s="573"/>
      <c r="O138" s="573"/>
      <c r="P138" s="573"/>
      <c r="Q138" s="573"/>
      <c r="R138" s="573"/>
    </row>
    <row r="139" spans="1:18" ht="13.5">
      <c r="A139" s="572">
        <v>9</v>
      </c>
      <c r="B139" s="572" t="s">
        <v>626</v>
      </c>
      <c r="C139" s="572" t="s">
        <v>602</v>
      </c>
      <c r="D139" s="579" t="s">
        <v>1108</v>
      </c>
      <c r="E139" s="573"/>
      <c r="F139" s="573"/>
      <c r="G139" s="573"/>
      <c r="H139" s="573"/>
      <c r="I139" s="573"/>
      <c r="J139" s="419"/>
      <c r="K139" s="573"/>
      <c r="L139" s="573"/>
      <c r="M139" s="573"/>
      <c r="N139" s="573"/>
      <c r="O139" s="573"/>
      <c r="P139" s="573"/>
      <c r="Q139" s="573"/>
      <c r="R139" s="573"/>
    </row>
    <row r="140" spans="1:18" ht="13.5">
      <c r="A140" s="572"/>
      <c r="B140" s="572"/>
      <c r="C140" s="572"/>
      <c r="D140" s="579"/>
      <c r="E140" s="573"/>
      <c r="F140" s="573"/>
      <c r="G140" s="573"/>
      <c r="H140" s="573"/>
      <c r="I140" s="573"/>
      <c r="J140" s="419"/>
      <c r="K140" s="573"/>
      <c r="L140" s="573"/>
      <c r="M140" s="573"/>
      <c r="N140" s="573"/>
      <c r="O140" s="573"/>
      <c r="P140" s="573"/>
      <c r="Q140" s="573"/>
      <c r="R140" s="573"/>
    </row>
    <row r="141" spans="1:18" ht="13.5">
      <c r="A141" s="572"/>
      <c r="B141" s="419"/>
      <c r="C141" s="479" t="s">
        <v>263</v>
      </c>
      <c r="D141" s="479" t="s">
        <v>264</v>
      </c>
      <c r="E141" s="479" t="s">
        <v>356</v>
      </c>
      <c r="F141" s="479" t="s">
        <v>265</v>
      </c>
      <c r="G141" s="479" t="s">
        <v>266</v>
      </c>
      <c r="H141" s="479" t="s">
        <v>262</v>
      </c>
      <c r="I141" s="479"/>
      <c r="J141" s="479" t="s">
        <v>570</v>
      </c>
      <c r="K141" s="479" t="s">
        <v>571</v>
      </c>
      <c r="L141" s="479" t="s">
        <v>963</v>
      </c>
      <c r="M141" s="575" t="s">
        <v>964</v>
      </c>
      <c r="N141" s="572" t="s">
        <v>965</v>
      </c>
      <c r="O141" s="572" t="s">
        <v>966</v>
      </c>
      <c r="P141" s="572"/>
      <c r="Q141" s="572"/>
      <c r="R141" s="572"/>
    </row>
    <row r="142" spans="1:18" ht="13.5">
      <c r="A142" s="572"/>
      <c r="B142" s="419"/>
      <c r="C142" s="572" t="s">
        <v>219</v>
      </c>
      <c r="D142" s="572" t="s">
        <v>219</v>
      </c>
      <c r="E142" s="572" t="s">
        <v>219</v>
      </c>
      <c r="F142" s="572" t="s">
        <v>219</v>
      </c>
      <c r="G142" s="572" t="s">
        <v>219</v>
      </c>
      <c r="H142" s="572" t="s">
        <v>219</v>
      </c>
      <c r="I142" s="572"/>
      <c r="J142" s="572" t="s">
        <v>72</v>
      </c>
      <c r="K142" s="572" t="s">
        <v>72</v>
      </c>
      <c r="L142" s="572" t="s">
        <v>72</v>
      </c>
      <c r="M142" s="572" t="s">
        <v>72</v>
      </c>
      <c r="N142" s="572" t="s">
        <v>72</v>
      </c>
      <c r="O142" s="572" t="s">
        <v>72</v>
      </c>
      <c r="P142" s="572"/>
      <c r="Q142" s="572"/>
      <c r="R142" s="572"/>
    </row>
    <row r="143" spans="1:18" ht="13.5">
      <c r="A143" s="572"/>
      <c r="B143" s="573"/>
      <c r="C143" s="572" t="s">
        <v>68</v>
      </c>
      <c r="D143" s="572" t="s">
        <v>68</v>
      </c>
      <c r="E143" s="572" t="s">
        <v>68</v>
      </c>
      <c r="F143" s="623"/>
      <c r="G143" s="623"/>
      <c r="H143" s="623"/>
      <c r="I143" s="572"/>
      <c r="J143" s="572" t="s">
        <v>73</v>
      </c>
      <c r="K143" s="572" t="s">
        <v>74</v>
      </c>
      <c r="L143" s="572" t="s">
        <v>75</v>
      </c>
      <c r="M143" s="572" t="s">
        <v>76</v>
      </c>
      <c r="N143" s="572" t="s">
        <v>77</v>
      </c>
      <c r="O143" s="572" t="s">
        <v>78</v>
      </c>
      <c r="P143" s="572"/>
      <c r="Q143" s="572"/>
      <c r="R143" s="572"/>
    </row>
    <row r="144" spans="1:18" ht="13.5">
      <c r="A144" s="572"/>
      <c r="B144" s="573"/>
      <c r="C144" s="572"/>
      <c r="D144" s="572"/>
      <c r="E144" s="572"/>
      <c r="F144" s="572" t="s">
        <v>69</v>
      </c>
      <c r="G144" s="572" t="s">
        <v>70</v>
      </c>
      <c r="H144" s="572" t="s">
        <v>71</v>
      </c>
      <c r="I144" s="572"/>
      <c r="J144" s="572"/>
      <c r="K144" s="572"/>
      <c r="L144" s="572"/>
      <c r="M144" s="572"/>
      <c r="N144" s="572"/>
      <c r="O144" s="572"/>
      <c r="P144" s="572"/>
      <c r="Q144" s="572"/>
      <c r="R144" s="572"/>
    </row>
    <row r="145" spans="1:18" ht="13.5">
      <c r="A145" s="572"/>
      <c r="B145" s="573"/>
      <c r="C145" s="572"/>
      <c r="D145" s="587"/>
      <c r="E145" s="587"/>
      <c r="F145" s="587"/>
      <c r="G145" s="572"/>
      <c r="H145" s="572"/>
      <c r="I145" s="622"/>
      <c r="J145" s="572"/>
      <c r="K145" s="572"/>
      <c r="L145" s="588"/>
      <c r="M145" s="572"/>
      <c r="N145" s="572"/>
      <c r="O145" s="583"/>
      <c r="P145" s="572"/>
      <c r="Q145" s="606"/>
      <c r="R145" s="588"/>
    </row>
    <row r="146" spans="1:18" ht="13.5">
      <c r="A146" s="572"/>
      <c r="B146" s="573" t="s">
        <v>629</v>
      </c>
      <c r="C146" s="589"/>
      <c r="D146" s="589"/>
      <c r="E146" s="589"/>
      <c r="F146" s="589"/>
      <c r="G146" s="589"/>
      <c r="H146" s="589"/>
      <c r="I146" s="622"/>
      <c r="J146" s="588">
        <f t="shared" ref="J146:O146" si="17">C146</f>
        <v>0</v>
      </c>
      <c r="K146" s="588">
        <f t="shared" si="17"/>
        <v>0</v>
      </c>
      <c r="L146" s="588">
        <f t="shared" si="17"/>
        <v>0</v>
      </c>
      <c r="M146" s="588">
        <f t="shared" si="17"/>
        <v>0</v>
      </c>
      <c r="N146" s="588">
        <f t="shared" si="17"/>
        <v>0</v>
      </c>
      <c r="O146" s="588">
        <f t="shared" si="17"/>
        <v>0</v>
      </c>
      <c r="P146" s="588"/>
      <c r="Q146" s="588"/>
      <c r="R146" s="588"/>
    </row>
    <row r="147" spans="1:18" ht="13.5">
      <c r="A147" s="572"/>
      <c r="B147" s="573" t="s">
        <v>630</v>
      </c>
      <c r="C147" s="589"/>
      <c r="D147" s="589"/>
      <c r="E147" s="589"/>
      <c r="F147" s="589"/>
      <c r="G147" s="589"/>
      <c r="H147" s="589"/>
      <c r="I147" s="622"/>
      <c r="J147" s="588">
        <f>J146+C147</f>
        <v>0</v>
      </c>
      <c r="K147" s="588">
        <f t="shared" ref="K147:K157" si="18">K146+D147</f>
        <v>0</v>
      </c>
      <c r="L147" s="588">
        <f t="shared" ref="L147:L157" si="19">L146+E147</f>
        <v>0</v>
      </c>
      <c r="M147" s="588">
        <f t="shared" ref="M147:M157" si="20">M146+F147</f>
        <v>0</v>
      </c>
      <c r="N147" s="588">
        <f t="shared" ref="N147:N157" si="21">N146+G147</f>
        <v>0</v>
      </c>
      <c r="O147" s="588">
        <f t="shared" ref="O147:O157" si="22">O146+H147</f>
        <v>0</v>
      </c>
      <c r="P147" s="588"/>
      <c r="Q147" s="588"/>
      <c r="R147" s="588"/>
    </row>
    <row r="148" spans="1:18" ht="13.5">
      <c r="A148" s="572"/>
      <c r="B148" s="573" t="s">
        <v>631</v>
      </c>
      <c r="C148" s="589"/>
      <c r="D148" s="589"/>
      <c r="E148" s="589"/>
      <c r="F148" s="589"/>
      <c r="G148" s="589"/>
      <c r="H148" s="589"/>
      <c r="I148" s="622"/>
      <c r="J148" s="588">
        <f t="shared" ref="J148:J157" si="23">J147+C148</f>
        <v>0</v>
      </c>
      <c r="K148" s="588">
        <f t="shared" si="18"/>
        <v>0</v>
      </c>
      <c r="L148" s="588">
        <f t="shared" si="19"/>
        <v>0</v>
      </c>
      <c r="M148" s="588">
        <f t="shared" si="20"/>
        <v>0</v>
      </c>
      <c r="N148" s="588">
        <f t="shared" si="21"/>
        <v>0</v>
      </c>
      <c r="O148" s="588">
        <f t="shared" si="22"/>
        <v>0</v>
      </c>
      <c r="P148" s="588"/>
      <c r="Q148" s="588"/>
      <c r="R148" s="588"/>
    </row>
    <row r="149" spans="1:18" ht="13.5">
      <c r="A149" s="572"/>
      <c r="B149" s="573" t="s">
        <v>632</v>
      </c>
      <c r="C149" s="589"/>
      <c r="D149" s="589"/>
      <c r="E149" s="589"/>
      <c r="F149" s="589"/>
      <c r="G149" s="589"/>
      <c r="H149" s="589"/>
      <c r="I149" s="622"/>
      <c r="J149" s="588">
        <f t="shared" si="23"/>
        <v>0</v>
      </c>
      <c r="K149" s="588">
        <f t="shared" si="18"/>
        <v>0</v>
      </c>
      <c r="L149" s="588">
        <f t="shared" si="19"/>
        <v>0</v>
      </c>
      <c r="M149" s="588">
        <f t="shared" si="20"/>
        <v>0</v>
      </c>
      <c r="N149" s="588">
        <f t="shared" si="21"/>
        <v>0</v>
      </c>
      <c r="O149" s="588">
        <f t="shared" si="22"/>
        <v>0</v>
      </c>
      <c r="P149" s="588"/>
      <c r="Q149" s="588"/>
      <c r="R149" s="588"/>
    </row>
    <row r="150" spans="1:18" ht="13.5">
      <c r="A150" s="572"/>
      <c r="B150" s="573" t="s">
        <v>627</v>
      </c>
      <c r="C150" s="589"/>
      <c r="D150" s="589"/>
      <c r="E150" s="589"/>
      <c r="F150" s="589"/>
      <c r="G150" s="589"/>
      <c r="H150" s="589"/>
      <c r="I150" s="622"/>
      <c r="J150" s="588">
        <f t="shared" si="23"/>
        <v>0</v>
      </c>
      <c r="K150" s="588">
        <f t="shared" si="18"/>
        <v>0</v>
      </c>
      <c r="L150" s="588">
        <f t="shared" si="19"/>
        <v>0</v>
      </c>
      <c r="M150" s="588">
        <f t="shared" si="20"/>
        <v>0</v>
      </c>
      <c r="N150" s="588">
        <f t="shared" si="21"/>
        <v>0</v>
      </c>
      <c r="O150" s="588">
        <f t="shared" si="22"/>
        <v>0</v>
      </c>
      <c r="P150" s="588"/>
      <c r="Q150" s="588"/>
      <c r="R150" s="588"/>
    </row>
    <row r="151" spans="1:18" ht="13.5">
      <c r="A151" s="572"/>
      <c r="B151" s="573" t="s">
        <v>633</v>
      </c>
      <c r="C151" s="589"/>
      <c r="D151" s="589"/>
      <c r="E151" s="589"/>
      <c r="F151" s="589"/>
      <c r="G151" s="589"/>
      <c r="H151" s="589"/>
      <c r="I151" s="622"/>
      <c r="J151" s="588">
        <f t="shared" si="23"/>
        <v>0</v>
      </c>
      <c r="K151" s="588">
        <f t="shared" si="18"/>
        <v>0</v>
      </c>
      <c r="L151" s="588">
        <f t="shared" si="19"/>
        <v>0</v>
      </c>
      <c r="M151" s="588">
        <f t="shared" si="20"/>
        <v>0</v>
      </c>
      <c r="N151" s="588">
        <f t="shared" si="21"/>
        <v>0</v>
      </c>
      <c r="O151" s="588">
        <f t="shared" si="22"/>
        <v>0</v>
      </c>
      <c r="P151" s="588"/>
      <c r="Q151" s="588"/>
      <c r="R151" s="588"/>
    </row>
    <row r="152" spans="1:18" ht="13.5">
      <c r="A152" s="572"/>
      <c r="B152" s="573" t="s">
        <v>634</v>
      </c>
      <c r="C152" s="589"/>
      <c r="D152" s="589"/>
      <c r="E152" s="589"/>
      <c r="F152" s="589"/>
      <c r="G152" s="589"/>
      <c r="H152" s="589"/>
      <c r="I152" s="622"/>
      <c r="J152" s="588">
        <f t="shared" si="23"/>
        <v>0</v>
      </c>
      <c r="K152" s="588">
        <f t="shared" si="18"/>
        <v>0</v>
      </c>
      <c r="L152" s="588">
        <f t="shared" si="19"/>
        <v>0</v>
      </c>
      <c r="M152" s="588">
        <f t="shared" si="20"/>
        <v>0</v>
      </c>
      <c r="N152" s="588">
        <f t="shared" si="21"/>
        <v>0</v>
      </c>
      <c r="O152" s="588">
        <f t="shared" si="22"/>
        <v>0</v>
      </c>
      <c r="P152" s="588"/>
      <c r="Q152" s="588"/>
      <c r="R152" s="588"/>
    </row>
    <row r="153" spans="1:18" ht="13.5">
      <c r="A153" s="572"/>
      <c r="B153" s="573" t="s">
        <v>635</v>
      </c>
      <c r="C153" s="589"/>
      <c r="D153" s="589"/>
      <c r="E153" s="589"/>
      <c r="F153" s="589"/>
      <c r="G153" s="589"/>
      <c r="H153" s="589"/>
      <c r="I153" s="622"/>
      <c r="J153" s="588">
        <f t="shared" si="23"/>
        <v>0</v>
      </c>
      <c r="K153" s="588">
        <f t="shared" si="18"/>
        <v>0</v>
      </c>
      <c r="L153" s="588">
        <f t="shared" si="19"/>
        <v>0</v>
      </c>
      <c r="M153" s="588">
        <f t="shared" si="20"/>
        <v>0</v>
      </c>
      <c r="N153" s="588">
        <f t="shared" si="21"/>
        <v>0</v>
      </c>
      <c r="O153" s="588">
        <f t="shared" si="22"/>
        <v>0</v>
      </c>
      <c r="P153" s="588"/>
      <c r="Q153" s="588"/>
      <c r="R153" s="588"/>
    </row>
    <row r="154" spans="1:18" ht="13.5">
      <c r="A154" s="572"/>
      <c r="B154" s="573" t="s">
        <v>636</v>
      </c>
      <c r="C154" s="589"/>
      <c r="D154" s="589"/>
      <c r="E154" s="589"/>
      <c r="F154" s="589"/>
      <c r="G154" s="589"/>
      <c r="H154" s="589"/>
      <c r="I154" s="622"/>
      <c r="J154" s="588">
        <f t="shared" si="23"/>
        <v>0</v>
      </c>
      <c r="K154" s="588">
        <f t="shared" si="18"/>
        <v>0</v>
      </c>
      <c r="L154" s="588">
        <f t="shared" si="19"/>
        <v>0</v>
      </c>
      <c r="M154" s="588">
        <f t="shared" si="20"/>
        <v>0</v>
      </c>
      <c r="N154" s="588">
        <f t="shared" si="21"/>
        <v>0</v>
      </c>
      <c r="O154" s="588">
        <f t="shared" si="22"/>
        <v>0</v>
      </c>
      <c r="P154" s="588"/>
      <c r="Q154" s="588"/>
      <c r="R154" s="588"/>
    </row>
    <row r="155" spans="1:18" ht="13.5">
      <c r="A155" s="572"/>
      <c r="B155" s="573" t="s">
        <v>637</v>
      </c>
      <c r="C155" s="589"/>
      <c r="D155" s="589"/>
      <c r="E155" s="589"/>
      <c r="F155" s="589"/>
      <c r="G155" s="589"/>
      <c r="H155" s="589"/>
      <c r="I155" s="622"/>
      <c r="J155" s="588">
        <f t="shared" si="23"/>
        <v>0</v>
      </c>
      <c r="K155" s="588">
        <f t="shared" si="18"/>
        <v>0</v>
      </c>
      <c r="L155" s="588">
        <f t="shared" si="19"/>
        <v>0</v>
      </c>
      <c r="M155" s="588">
        <f t="shared" si="20"/>
        <v>0</v>
      </c>
      <c r="N155" s="588">
        <f t="shared" si="21"/>
        <v>0</v>
      </c>
      <c r="O155" s="588">
        <f t="shared" si="22"/>
        <v>0</v>
      </c>
      <c r="P155" s="588"/>
      <c r="Q155" s="588"/>
      <c r="R155" s="588"/>
    </row>
    <row r="156" spans="1:18" ht="13.5">
      <c r="A156" s="572"/>
      <c r="B156" s="573" t="s">
        <v>638</v>
      </c>
      <c r="C156" s="589"/>
      <c r="D156" s="589"/>
      <c r="E156" s="589"/>
      <c r="F156" s="589"/>
      <c r="G156" s="589"/>
      <c r="H156" s="589"/>
      <c r="I156" s="622"/>
      <c r="J156" s="588">
        <f t="shared" si="23"/>
        <v>0</v>
      </c>
      <c r="K156" s="588">
        <f t="shared" si="18"/>
        <v>0</v>
      </c>
      <c r="L156" s="588">
        <f t="shared" si="19"/>
        <v>0</v>
      </c>
      <c r="M156" s="588">
        <f t="shared" si="20"/>
        <v>0</v>
      </c>
      <c r="N156" s="588">
        <f t="shared" si="21"/>
        <v>0</v>
      </c>
      <c r="O156" s="588">
        <f t="shared" si="22"/>
        <v>0</v>
      </c>
      <c r="P156" s="588"/>
      <c r="Q156" s="588"/>
      <c r="R156" s="588"/>
    </row>
    <row r="157" spans="1:18" ht="13.5">
      <c r="A157" s="572"/>
      <c r="B157" s="573" t="s">
        <v>639</v>
      </c>
      <c r="C157" s="589"/>
      <c r="D157" s="589"/>
      <c r="E157" s="589"/>
      <c r="F157" s="589"/>
      <c r="G157" s="589"/>
      <c r="H157" s="589"/>
      <c r="I157" s="622"/>
      <c r="J157" s="588">
        <f t="shared" si="23"/>
        <v>0</v>
      </c>
      <c r="K157" s="588">
        <f t="shared" si="18"/>
        <v>0</v>
      </c>
      <c r="L157" s="588">
        <f t="shared" si="19"/>
        <v>0</v>
      </c>
      <c r="M157" s="588">
        <f t="shared" si="20"/>
        <v>0</v>
      </c>
      <c r="N157" s="588">
        <f t="shared" si="21"/>
        <v>0</v>
      </c>
      <c r="O157" s="588">
        <f t="shared" si="22"/>
        <v>0</v>
      </c>
      <c r="P157" s="588"/>
      <c r="Q157" s="588"/>
      <c r="R157" s="588"/>
    </row>
    <row r="158" spans="1:18" ht="13.5">
      <c r="A158" s="572"/>
      <c r="B158" s="573" t="s">
        <v>851</v>
      </c>
      <c r="C158" s="588">
        <f t="shared" ref="C158:H158" si="24">SUM(C146:C157)</f>
        <v>0</v>
      </c>
      <c r="D158" s="588">
        <f t="shared" si="24"/>
        <v>0</v>
      </c>
      <c r="E158" s="588">
        <f t="shared" si="24"/>
        <v>0</v>
      </c>
      <c r="F158" s="588">
        <f t="shared" si="24"/>
        <v>0</v>
      </c>
      <c r="G158" s="588">
        <f t="shared" si="24"/>
        <v>0</v>
      </c>
      <c r="H158" s="588">
        <f t="shared" si="24"/>
        <v>0</v>
      </c>
      <c r="I158" s="588" t="s">
        <v>79</v>
      </c>
      <c r="J158" s="588">
        <f t="shared" ref="J158:O158" si="25">AVERAGE(J146:J157)</f>
        <v>0</v>
      </c>
      <c r="K158" s="588">
        <f t="shared" si="25"/>
        <v>0</v>
      </c>
      <c r="L158" s="588">
        <f t="shared" si="25"/>
        <v>0</v>
      </c>
      <c r="M158" s="588">
        <f t="shared" si="25"/>
        <v>0</v>
      </c>
      <c r="N158" s="588">
        <f t="shared" si="25"/>
        <v>0</v>
      </c>
      <c r="O158" s="588">
        <f t="shared" si="25"/>
        <v>0</v>
      </c>
      <c r="P158" s="588"/>
      <c r="Q158" s="588"/>
      <c r="R158" s="588"/>
    </row>
    <row r="159" spans="1:18" ht="13.5">
      <c r="A159" s="572"/>
      <c r="C159" s="573"/>
      <c r="D159" s="419"/>
      <c r="E159" s="419"/>
      <c r="F159" s="419"/>
      <c r="G159" s="419"/>
      <c r="H159" s="419"/>
      <c r="I159" s="419"/>
      <c r="J159" s="419"/>
      <c r="K159" s="419"/>
      <c r="L159" s="590"/>
      <c r="M159" s="573"/>
      <c r="N159" s="573"/>
      <c r="O159" s="573"/>
      <c r="P159" s="419"/>
      <c r="Q159" s="590"/>
      <c r="R159" s="573"/>
    </row>
    <row r="160" spans="1:18" ht="15.75">
      <c r="A160" s="572" t="s">
        <v>760</v>
      </c>
      <c r="B160" s="573" t="s">
        <v>81</v>
      </c>
      <c r="C160" s="573"/>
      <c r="D160" s="419"/>
      <c r="E160" s="419"/>
      <c r="F160" s="419"/>
      <c r="G160" s="419"/>
      <c r="H160" s="419"/>
      <c r="I160" s="419"/>
      <c r="J160" s="573"/>
      <c r="K160" s="624" t="s">
        <v>80</v>
      </c>
      <c r="L160" s="419"/>
      <c r="M160" s="588">
        <f>SUM(J158:O158)</f>
        <v>0</v>
      </c>
      <c r="N160" s="588"/>
      <c r="O160" s="1768" t="s">
        <v>1109</v>
      </c>
      <c r="P160" s="573"/>
      <c r="Q160" s="590"/>
      <c r="R160" s="588"/>
    </row>
    <row r="161" spans="1:18" ht="13.5">
      <c r="A161" s="572"/>
      <c r="B161" s="573"/>
      <c r="C161" s="573"/>
      <c r="D161" s="419"/>
      <c r="E161" s="419"/>
      <c r="F161" s="419"/>
      <c r="G161" s="419"/>
      <c r="H161" s="419"/>
      <c r="I161" s="419"/>
      <c r="J161" s="573"/>
      <c r="K161" s="573"/>
      <c r="L161" s="588"/>
      <c r="M161" s="573"/>
      <c r="N161" s="419"/>
      <c r="O161" s="573"/>
      <c r="P161" s="573"/>
      <c r="Q161" s="573"/>
      <c r="R161" s="573"/>
    </row>
    <row r="162" spans="1:18" ht="13.5">
      <c r="A162" s="572"/>
      <c r="B162" s="572"/>
      <c r="C162" s="572"/>
      <c r="D162" s="573"/>
      <c r="E162" s="573"/>
      <c r="F162" s="419"/>
      <c r="G162" s="573"/>
      <c r="H162" s="573"/>
      <c r="I162" s="588"/>
      <c r="J162" s="573"/>
      <c r="K162" s="419"/>
      <c r="L162" s="573"/>
      <c r="M162" s="573"/>
      <c r="N162" s="591"/>
      <c r="O162" s="591"/>
      <c r="P162" s="573"/>
      <c r="Q162" s="573"/>
      <c r="R162" s="591"/>
    </row>
    <row r="163" spans="1:18" ht="13.5">
      <c r="A163" s="420"/>
      <c r="B163" s="572"/>
      <c r="C163" s="572"/>
      <c r="D163" s="594"/>
      <c r="E163" s="572"/>
      <c r="F163" s="419"/>
      <c r="G163" s="572"/>
      <c r="H163" s="588"/>
      <c r="I163" s="576"/>
      <c r="J163" s="609"/>
      <c r="K163" s="573"/>
      <c r="L163" s="573"/>
      <c r="M163" s="573"/>
      <c r="N163" s="573"/>
      <c r="O163" s="573"/>
      <c r="P163" s="573"/>
      <c r="Q163" s="573"/>
      <c r="R163" s="573"/>
    </row>
    <row r="164" spans="1:18" ht="13.5">
      <c r="A164" s="572"/>
      <c r="B164" s="572"/>
      <c r="C164" s="572"/>
      <c r="D164" s="594"/>
      <c r="E164" s="572"/>
      <c r="F164" s="588"/>
      <c r="G164" s="572"/>
      <c r="H164" s="588"/>
      <c r="I164" s="576"/>
      <c r="J164" s="609"/>
      <c r="K164" s="573"/>
      <c r="L164" s="573"/>
      <c r="M164" s="573"/>
      <c r="N164" s="573"/>
      <c r="O164" s="573"/>
      <c r="P164" s="573"/>
      <c r="Q164" s="573"/>
      <c r="R164" s="573"/>
    </row>
    <row r="165" spans="1:18" ht="13.5">
      <c r="A165" s="572">
        <v>10</v>
      </c>
      <c r="B165" s="572" t="s">
        <v>627</v>
      </c>
      <c r="C165" s="572" t="s">
        <v>602</v>
      </c>
      <c r="D165" s="579" t="s">
        <v>460</v>
      </c>
      <c r="E165" s="573"/>
      <c r="F165" s="573"/>
      <c r="G165" s="573"/>
      <c r="H165" s="573"/>
      <c r="I165" s="576"/>
      <c r="J165" s="577"/>
      <c r="K165" s="573"/>
      <c r="L165" s="573"/>
      <c r="M165" s="573"/>
      <c r="N165" s="573"/>
      <c r="O165" s="573"/>
      <c r="P165" s="573"/>
      <c r="Q165" s="577"/>
      <c r="R165" s="618"/>
    </row>
    <row r="166" spans="1:18" ht="13.5">
      <c r="A166" s="572"/>
      <c r="B166" s="572"/>
      <c r="C166" s="572"/>
      <c r="D166" s="595"/>
      <c r="E166" s="573" t="s">
        <v>962</v>
      </c>
      <c r="F166" s="573"/>
      <c r="G166" s="573"/>
      <c r="H166" s="573"/>
      <c r="I166" s="577"/>
      <c r="J166" s="577"/>
      <c r="K166" s="573"/>
      <c r="L166" s="573"/>
      <c r="M166" s="573"/>
      <c r="N166" s="573"/>
      <c r="O166" s="573"/>
      <c r="P166" s="573"/>
      <c r="Q166" s="573"/>
      <c r="R166" s="573"/>
    </row>
    <row r="167" spans="1:18" ht="13.5">
      <c r="A167" s="572"/>
      <c r="B167" s="572"/>
      <c r="C167" s="572"/>
      <c r="D167" s="601"/>
      <c r="E167" s="594"/>
      <c r="F167" s="573"/>
      <c r="G167" s="573"/>
      <c r="H167" s="573"/>
      <c r="I167" s="577"/>
      <c r="J167" s="577"/>
      <c r="K167" s="573"/>
      <c r="L167" s="573"/>
      <c r="M167" s="573"/>
      <c r="N167" s="573"/>
      <c r="O167" s="573"/>
      <c r="P167" s="573"/>
      <c r="Q167" s="573"/>
      <c r="R167" s="573"/>
    </row>
    <row r="168" spans="1:18" ht="13.5">
      <c r="A168" s="572"/>
      <c r="B168" s="572"/>
      <c r="C168" s="572"/>
      <c r="D168" s="595"/>
      <c r="E168" s="573"/>
      <c r="F168" s="573"/>
      <c r="G168" s="573"/>
      <c r="H168" s="573"/>
      <c r="I168" s="577"/>
      <c r="J168" s="577"/>
      <c r="K168" s="573"/>
      <c r="L168" s="573"/>
      <c r="M168" s="573"/>
      <c r="N168" s="573"/>
      <c r="O168" s="573"/>
      <c r="P168" s="573"/>
      <c r="Q168" s="573"/>
      <c r="R168" s="573"/>
    </row>
    <row r="169" spans="1:18" ht="13.5">
      <c r="A169" s="572">
        <v>11</v>
      </c>
      <c r="B169" s="572" t="s">
        <v>628</v>
      </c>
      <c r="C169" s="572" t="s">
        <v>602</v>
      </c>
      <c r="D169" s="602" t="s">
        <v>1098</v>
      </c>
      <c r="E169" s="573"/>
      <c r="F169" s="573"/>
      <c r="G169" s="573"/>
      <c r="H169" s="573"/>
      <c r="I169" s="573"/>
      <c r="J169" s="573"/>
      <c r="K169" s="573"/>
      <c r="L169" s="573"/>
      <c r="M169" s="573"/>
      <c r="N169" s="573"/>
      <c r="O169" s="573"/>
      <c r="P169" s="573"/>
      <c r="Q169" s="573"/>
      <c r="R169" s="573"/>
    </row>
    <row r="170" spans="1:18" ht="13.5">
      <c r="A170" s="572"/>
      <c r="B170" s="572"/>
      <c r="C170" s="572"/>
      <c r="D170" s="619">
        <v>0</v>
      </c>
      <c r="E170" s="573"/>
      <c r="F170" s="573"/>
      <c r="G170" s="573"/>
      <c r="H170" s="573"/>
      <c r="I170" s="573"/>
      <c r="J170" s="573"/>
      <c r="K170" s="573"/>
      <c r="L170" s="573"/>
      <c r="M170" s="573"/>
      <c r="N170" s="573"/>
      <c r="O170" s="573"/>
      <c r="P170" s="573"/>
      <c r="Q170" s="573"/>
      <c r="R170" s="573"/>
    </row>
    <row r="171" spans="1:18" ht="13.5">
      <c r="A171" s="572"/>
      <c r="B171" s="572"/>
      <c r="C171" s="572"/>
      <c r="D171" s="573"/>
      <c r="E171" s="573"/>
      <c r="F171" s="573"/>
      <c r="G171" s="573"/>
      <c r="H171" s="573"/>
      <c r="I171" s="573"/>
      <c r="J171" s="573"/>
      <c r="K171" s="573"/>
      <c r="L171" s="573"/>
      <c r="M171" s="573"/>
      <c r="N171" s="573"/>
      <c r="O171" s="573"/>
      <c r="P171" s="573"/>
      <c r="Q171" s="573"/>
      <c r="R171" s="573"/>
    </row>
    <row r="172" spans="1:18" ht="13.5">
      <c r="A172" s="572"/>
      <c r="B172" s="573"/>
      <c r="C172" s="572"/>
      <c r="D172" s="594"/>
      <c r="E172" s="573"/>
      <c r="F172" s="573"/>
      <c r="G172" s="573"/>
      <c r="H172" s="573"/>
      <c r="I172" s="573"/>
      <c r="J172" s="573"/>
      <c r="K172" s="573"/>
      <c r="L172" s="573"/>
      <c r="M172" s="573"/>
      <c r="N172" s="573"/>
      <c r="O172" s="573"/>
      <c r="P172" s="573"/>
      <c r="Q172" s="573"/>
      <c r="R172" s="573"/>
    </row>
    <row r="173" spans="1:18" ht="13.5">
      <c r="A173" s="572"/>
      <c r="B173" s="572"/>
      <c r="C173" s="572"/>
      <c r="D173" s="573"/>
      <c r="E173" s="573"/>
      <c r="F173" s="573"/>
      <c r="G173" s="573"/>
      <c r="H173" s="573"/>
      <c r="I173" s="573"/>
      <c r="J173" s="573"/>
      <c r="K173" s="573"/>
      <c r="L173" s="573"/>
      <c r="M173" s="573"/>
      <c r="N173" s="573"/>
      <c r="O173" s="573"/>
      <c r="P173" s="573"/>
      <c r="Q173" s="573"/>
      <c r="R173" s="573"/>
    </row>
    <row r="174" spans="1:18" ht="13.5">
      <c r="A174" s="572"/>
      <c r="B174" s="572"/>
      <c r="C174" s="572"/>
      <c r="D174" s="573"/>
      <c r="E174" s="573"/>
      <c r="F174" s="573"/>
      <c r="G174" s="573"/>
      <c r="H174" s="573"/>
      <c r="I174" s="573"/>
      <c r="J174" s="573"/>
      <c r="K174" s="573"/>
      <c r="L174" s="573"/>
      <c r="M174" s="573"/>
      <c r="N174" s="573"/>
      <c r="O174" s="573"/>
      <c r="P174" s="573"/>
      <c r="Q174" s="573"/>
      <c r="R174" s="573"/>
    </row>
    <row r="175" spans="1:18" ht="13.5">
      <c r="A175" s="572"/>
      <c r="B175" s="572"/>
      <c r="C175" s="572"/>
      <c r="D175" s="573"/>
      <c r="E175" s="573"/>
      <c r="F175" s="573"/>
      <c r="G175" s="573"/>
      <c r="H175" s="573"/>
      <c r="I175" s="573"/>
      <c r="J175" s="573"/>
      <c r="K175" s="573"/>
      <c r="L175" s="573"/>
      <c r="M175" s="573"/>
      <c r="N175" s="573"/>
      <c r="O175" s="573"/>
      <c r="P175" s="573"/>
      <c r="Q175" s="573"/>
      <c r="R175" s="573"/>
    </row>
    <row r="176" spans="1:18" ht="13.5">
      <c r="A176" s="572"/>
      <c r="B176" s="572"/>
      <c r="C176" s="572"/>
      <c r="D176" s="573"/>
      <c r="E176" s="573"/>
      <c r="F176" s="573"/>
      <c r="G176" s="573"/>
      <c r="H176" s="573"/>
      <c r="I176" s="573"/>
      <c r="J176" s="573"/>
      <c r="K176" s="573"/>
      <c r="L176" s="573"/>
      <c r="M176" s="573"/>
      <c r="N176" s="573"/>
      <c r="O176" s="573"/>
      <c r="P176" s="573"/>
      <c r="Q176" s="573"/>
      <c r="R176" s="573"/>
    </row>
    <row r="177" spans="1:18" ht="13.5">
      <c r="A177" s="572"/>
      <c r="B177" s="572"/>
      <c r="C177" s="572"/>
      <c r="D177" s="573"/>
      <c r="E177" s="573"/>
      <c r="F177" s="573"/>
      <c r="G177" s="573"/>
      <c r="H177" s="573"/>
      <c r="I177" s="573"/>
      <c r="J177" s="573"/>
      <c r="K177" s="573"/>
      <c r="L177" s="573"/>
      <c r="M177" s="573"/>
      <c r="N177" s="573"/>
      <c r="O177" s="573"/>
      <c r="P177" s="573"/>
      <c r="Q177" s="573"/>
      <c r="R177" s="573"/>
    </row>
    <row r="178" spans="1:18" ht="13.5">
      <c r="A178" s="572"/>
      <c r="B178" s="572"/>
      <c r="C178" s="572"/>
      <c r="D178" s="573"/>
      <c r="E178" s="573"/>
      <c r="F178" s="573"/>
      <c r="G178" s="573"/>
      <c r="H178" s="573"/>
      <c r="I178" s="573"/>
      <c r="J178" s="573"/>
      <c r="K178" s="573"/>
      <c r="L178" s="573"/>
      <c r="M178" s="573"/>
      <c r="N178" s="573"/>
      <c r="O178" s="573"/>
      <c r="P178" s="573"/>
      <c r="Q178" s="573"/>
      <c r="R178" s="573"/>
    </row>
    <row r="179" spans="1:18" ht="13.5">
      <c r="A179" s="572"/>
      <c r="B179" s="572"/>
      <c r="C179" s="572"/>
      <c r="D179" s="573"/>
      <c r="E179" s="573"/>
      <c r="F179" s="573"/>
      <c r="G179" s="573"/>
      <c r="H179" s="573"/>
      <c r="I179" s="573"/>
      <c r="J179" s="573"/>
      <c r="K179" s="573"/>
      <c r="L179" s="573"/>
      <c r="M179" s="573"/>
      <c r="N179" s="573"/>
      <c r="O179" s="573"/>
      <c r="P179" s="573"/>
      <c r="Q179" s="573"/>
      <c r="R179" s="573"/>
    </row>
    <row r="180" spans="1:18" ht="13.5">
      <c r="A180" s="572"/>
      <c r="B180" s="572"/>
      <c r="C180" s="572"/>
      <c r="D180" s="573"/>
      <c r="E180" s="573"/>
      <c r="F180" s="573"/>
      <c r="G180" s="573"/>
      <c r="H180" s="573"/>
      <c r="I180" s="573"/>
      <c r="J180" s="573"/>
      <c r="K180" s="573"/>
      <c r="L180" s="573"/>
      <c r="M180" s="573"/>
      <c r="N180" s="573"/>
      <c r="O180" s="573"/>
      <c r="P180" s="573"/>
      <c r="Q180" s="573"/>
      <c r="R180" s="573"/>
    </row>
    <row r="181" spans="1:18" ht="13.5">
      <c r="A181" s="572"/>
      <c r="B181" s="572"/>
      <c r="C181" s="572"/>
      <c r="D181" s="573"/>
      <c r="E181" s="573"/>
      <c r="F181" s="573"/>
      <c r="G181" s="573"/>
      <c r="H181" s="573"/>
      <c r="I181" s="573"/>
      <c r="J181" s="573"/>
      <c r="K181" s="573"/>
      <c r="L181" s="573"/>
      <c r="M181" s="573"/>
      <c r="N181" s="573"/>
      <c r="O181" s="573"/>
      <c r="P181" s="573"/>
      <c r="Q181" s="573"/>
      <c r="R181" s="573"/>
    </row>
    <row r="182" spans="1:18" ht="13.5">
      <c r="A182" s="572"/>
      <c r="B182" s="572"/>
      <c r="C182" s="572"/>
      <c r="D182" s="573"/>
      <c r="E182" s="573"/>
      <c r="F182" s="573"/>
      <c r="G182" s="573"/>
      <c r="H182" s="573"/>
      <c r="I182" s="573"/>
      <c r="J182" s="573"/>
      <c r="K182" s="573"/>
      <c r="L182" s="573"/>
      <c r="M182" s="573"/>
      <c r="N182" s="573"/>
      <c r="O182" s="573"/>
      <c r="P182" s="573"/>
      <c r="Q182" s="573"/>
      <c r="R182" s="573"/>
    </row>
    <row r="183" spans="1:18" ht="13.5">
      <c r="A183" s="572"/>
      <c r="B183" s="572"/>
      <c r="C183" s="572"/>
      <c r="D183" s="573"/>
      <c r="E183" s="573"/>
      <c r="F183" s="573"/>
      <c r="G183" s="573"/>
      <c r="H183" s="573"/>
      <c r="I183" s="573"/>
      <c r="J183" s="573"/>
      <c r="K183" s="573"/>
      <c r="L183" s="573"/>
      <c r="M183" s="573"/>
      <c r="N183" s="573"/>
      <c r="O183" s="573"/>
      <c r="P183" s="573"/>
      <c r="Q183" s="573"/>
      <c r="R183" s="573"/>
    </row>
    <row r="184" spans="1:18" ht="13.5">
      <c r="A184" s="572"/>
      <c r="B184" s="572"/>
      <c r="C184" s="572"/>
      <c r="D184" s="573"/>
      <c r="E184" s="573"/>
      <c r="F184" s="573"/>
      <c r="G184" s="573"/>
      <c r="H184" s="573"/>
      <c r="I184" s="573"/>
      <c r="J184" s="573"/>
      <c r="K184" s="573"/>
      <c r="L184" s="573"/>
      <c r="M184" s="573"/>
      <c r="N184" s="573"/>
      <c r="O184" s="573"/>
      <c r="P184" s="573"/>
      <c r="Q184" s="573"/>
      <c r="R184" s="573"/>
    </row>
    <row r="185" spans="1:18" ht="13.5">
      <c r="A185" s="572"/>
      <c r="B185" s="572"/>
      <c r="C185" s="572"/>
      <c r="D185" s="573"/>
      <c r="E185" s="573"/>
      <c r="F185" s="573"/>
      <c r="G185" s="573"/>
      <c r="H185" s="573"/>
      <c r="I185" s="573"/>
      <c r="J185" s="573"/>
      <c r="K185" s="573"/>
      <c r="L185" s="573"/>
      <c r="M185" s="573"/>
      <c r="N185" s="573"/>
      <c r="O185" s="573"/>
      <c r="P185" s="573"/>
      <c r="Q185" s="573"/>
      <c r="R185" s="573"/>
    </row>
    <row r="186" spans="1:18" ht="13.5">
      <c r="A186" s="572"/>
      <c r="B186" s="572"/>
      <c r="C186" s="572"/>
      <c r="D186" s="573"/>
      <c r="E186" s="573"/>
      <c r="F186" s="573"/>
      <c r="G186" s="573"/>
      <c r="H186" s="573"/>
      <c r="I186" s="573"/>
      <c r="J186" s="573"/>
      <c r="K186" s="573"/>
      <c r="L186" s="573"/>
      <c r="M186" s="573"/>
      <c r="N186" s="573"/>
      <c r="O186" s="573"/>
      <c r="P186" s="573"/>
      <c r="Q186" s="573"/>
      <c r="R186" s="573"/>
    </row>
    <row r="187" spans="1:18" ht="13.5">
      <c r="A187" s="572"/>
      <c r="B187" s="572"/>
      <c r="C187" s="572"/>
      <c r="D187" s="573"/>
      <c r="E187" s="573"/>
      <c r="F187" s="573"/>
      <c r="G187" s="573"/>
      <c r="H187" s="573"/>
      <c r="I187" s="573"/>
      <c r="J187" s="573"/>
      <c r="K187" s="573"/>
      <c r="L187" s="573"/>
      <c r="M187" s="573"/>
      <c r="N187" s="573"/>
      <c r="O187" s="573"/>
      <c r="P187" s="573"/>
      <c r="Q187" s="573"/>
      <c r="R187" s="573"/>
    </row>
    <row r="188" spans="1:18" ht="15.75">
      <c r="A188" s="620"/>
      <c r="B188" s="572"/>
      <c r="C188" s="572"/>
      <c r="D188" s="573"/>
      <c r="E188" s="573"/>
      <c r="F188" s="573"/>
      <c r="G188" s="573"/>
      <c r="H188" s="573"/>
      <c r="I188" s="573"/>
      <c r="J188" s="573"/>
      <c r="K188" s="573"/>
      <c r="L188" s="573"/>
      <c r="M188" s="573"/>
      <c r="N188" s="573"/>
      <c r="O188" s="573"/>
      <c r="P188" s="573"/>
      <c r="Q188" s="573"/>
      <c r="R188" s="573"/>
    </row>
    <row r="189" spans="1:18" ht="15.75">
      <c r="A189" s="620"/>
      <c r="B189" s="572"/>
      <c r="C189" s="572"/>
      <c r="D189" s="573"/>
      <c r="E189" s="573"/>
      <c r="F189" s="573"/>
      <c r="G189" s="573"/>
      <c r="H189" s="573"/>
      <c r="I189" s="573"/>
      <c r="J189" s="573"/>
      <c r="K189" s="573"/>
      <c r="L189" s="573"/>
      <c r="M189" s="573"/>
      <c r="N189" s="573"/>
      <c r="O189" s="573"/>
      <c r="P189" s="573"/>
      <c r="Q189" s="573"/>
      <c r="R189" s="573"/>
    </row>
    <row r="190" spans="1:18" ht="15.75">
      <c r="A190" s="620"/>
      <c r="B190" s="620"/>
      <c r="C190" s="620"/>
      <c r="D190" s="621"/>
      <c r="E190" s="621"/>
      <c r="F190" s="621"/>
      <c r="G190" s="621"/>
      <c r="H190" s="621"/>
      <c r="I190" s="621"/>
      <c r="J190" s="621"/>
      <c r="K190" s="621"/>
      <c r="L190" s="621"/>
      <c r="M190" s="621"/>
      <c r="N190" s="621"/>
      <c r="O190" s="621"/>
      <c r="P190" s="621"/>
      <c r="Q190" s="621"/>
      <c r="R190" s="621"/>
    </row>
  </sheetData>
  <mergeCells count="3">
    <mergeCell ref="D99:E99"/>
    <mergeCell ref="A2:R2"/>
    <mergeCell ref="N79:N80"/>
  </mergeCells>
  <phoneticPr fontId="73" type="noConversion"/>
  <pageMargins left="0.75" right="0.75" top="1" bottom="1" header="0.5" footer="0.5"/>
  <pageSetup scale="46" fitToHeight="8" orientation="landscape" r:id="rId1"/>
  <headerFooter alignWithMargins="0"/>
  <rowBreaks count="2" manualBreakCount="2">
    <brk id="73" max="20" man="1"/>
    <brk id="138"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4"/>
  <sheetViews>
    <sheetView zoomScaleNormal="100" zoomScaleSheetLayoutView="75" workbookViewId="0">
      <selection activeCell="D21" sqref="D21:F21"/>
    </sheetView>
  </sheetViews>
  <sheetFormatPr defaultColWidth="9.140625" defaultRowHeight="12.75"/>
  <cols>
    <col min="1" max="1" width="7" style="660" customWidth="1"/>
    <col min="2" max="2" width="18.140625" style="418" customWidth="1"/>
    <col min="3" max="3" width="13.5703125" style="660" customWidth="1"/>
    <col min="4" max="4" width="11.5703125" style="418" customWidth="1"/>
    <col min="5" max="5" width="17" style="418" customWidth="1"/>
    <col min="6" max="6" width="24" style="184" customWidth="1"/>
    <col min="7" max="7" width="10.7109375" style="418" customWidth="1"/>
    <col min="8" max="8" width="17.42578125" style="418" customWidth="1"/>
    <col min="9" max="9" width="25.140625" style="184" customWidth="1"/>
    <col min="10" max="12" width="11.5703125" style="418" bestFit="1" customWidth="1"/>
    <col min="13" max="13" width="10.85546875" style="418" bestFit="1" customWidth="1"/>
    <col min="14" max="16384" width="9.140625" style="418"/>
  </cols>
  <sheetData>
    <row r="1" spans="1:13" ht="18">
      <c r="A1" s="1976" t="s">
        <v>447</v>
      </c>
      <c r="B1" s="1976"/>
      <c r="C1" s="1976"/>
      <c r="D1" s="1976"/>
      <c r="E1" s="1976"/>
      <c r="F1" s="1976"/>
      <c r="G1" s="1976"/>
      <c r="H1" s="1976"/>
      <c r="I1" s="1976"/>
      <c r="J1" s="1976"/>
      <c r="K1" s="1976"/>
      <c r="L1" s="1976"/>
      <c r="M1"/>
    </row>
    <row r="2" spans="1:13" ht="10.5" customHeight="1">
      <c r="B2" s="661"/>
      <c r="C2" s="662"/>
      <c r="D2" s="662"/>
      <c r="E2" s="662"/>
      <c r="F2" s="662"/>
      <c r="G2" s="662"/>
      <c r="H2" s="662"/>
      <c r="I2" s="662"/>
      <c r="M2"/>
    </row>
    <row r="3" spans="1:13" ht="18.75" customHeight="1">
      <c r="A3" s="2017" t="s">
        <v>484</v>
      </c>
      <c r="B3" s="2017"/>
      <c r="C3" s="2017"/>
      <c r="D3" s="2017"/>
      <c r="E3" s="2017"/>
      <c r="F3" s="2017"/>
      <c r="G3" s="2017"/>
      <c r="H3" s="2017"/>
      <c r="I3" s="2017"/>
      <c r="J3" s="2017"/>
      <c r="K3" s="2017"/>
      <c r="L3" s="2017"/>
      <c r="M3"/>
    </row>
    <row r="4" spans="1:13" ht="13.5" thickBot="1">
      <c r="A4" s="660" t="s">
        <v>485</v>
      </c>
      <c r="C4" s="418" t="s">
        <v>539</v>
      </c>
      <c r="M4"/>
    </row>
    <row r="5" spans="1:13" ht="31.5">
      <c r="I5" s="1391" t="s">
        <v>474</v>
      </c>
      <c r="J5" s="1392" t="s">
        <v>974</v>
      </c>
      <c r="K5" s="1392" t="s">
        <v>437</v>
      </c>
      <c r="L5" s="1393" t="s">
        <v>438</v>
      </c>
    </row>
    <row r="6" spans="1:13">
      <c r="I6" s="666"/>
      <c r="J6" s="666"/>
      <c r="K6" s="666"/>
      <c r="L6" s="2"/>
    </row>
    <row r="7" spans="1:13">
      <c r="B7" s="663" t="s">
        <v>540</v>
      </c>
      <c r="C7" s="664"/>
      <c r="I7" s="666"/>
      <c r="J7" s="666"/>
      <c r="K7" s="666"/>
      <c r="L7" s="2"/>
    </row>
    <row r="8" spans="1:13">
      <c r="A8" s="660">
        <v>1</v>
      </c>
      <c r="B8" s="660" t="s">
        <v>762</v>
      </c>
      <c r="C8" s="660">
        <f>+'ATT H-1 '!A275</f>
        <v>169</v>
      </c>
      <c r="D8" s="664" t="s">
        <v>941</v>
      </c>
      <c r="F8" s="665"/>
      <c r="G8" s="664"/>
      <c r="H8" s="664"/>
      <c r="I8" s="1394">
        <f>+'ATT H-1 '!H275</f>
        <v>0.13917991018300618</v>
      </c>
      <c r="J8" s="1394">
        <f>+'ATT H-1 '!J275</f>
        <v>0.11980112378480137</v>
      </c>
      <c r="K8" s="1394">
        <f>+'ATT H-1 '!K275</f>
        <v>0.18913384496395927</v>
      </c>
      <c r="L8" s="1394">
        <f>+'ATT H-1 '!L275</f>
        <v>0.13405514267464821</v>
      </c>
    </row>
    <row r="9" spans="1:13">
      <c r="A9" s="660">
        <v>2</v>
      </c>
      <c r="B9" s="660" t="s">
        <v>852</v>
      </c>
      <c r="C9" s="660">
        <f>+'ATT H-1 '!A284</f>
        <v>176</v>
      </c>
      <c r="D9" s="664" t="s">
        <v>939</v>
      </c>
      <c r="F9" s="665"/>
      <c r="I9" s="1394">
        <f>+'ATT H-1 '!H284</f>
        <v>0.14515338975159006</v>
      </c>
      <c r="J9" s="1394">
        <f>+'ATT H-1 '!J284</f>
        <v>0.12575369209652776</v>
      </c>
      <c r="K9" s="1394">
        <f>+'ATT H-1 '!K284</f>
        <v>0.1954283569419446</v>
      </c>
      <c r="L9" s="1394">
        <f>+'ATT H-1 '!L284</f>
        <v>0.14034965465263355</v>
      </c>
    </row>
    <row r="10" spans="1:13">
      <c r="A10" s="660">
        <v>3</v>
      </c>
      <c r="B10" s="660" t="s">
        <v>743</v>
      </c>
      <c r="D10" s="418" t="s">
        <v>541</v>
      </c>
      <c r="F10" s="665"/>
      <c r="I10" s="1394">
        <f>+I9-I8</f>
        <v>5.9734795685838782E-3</v>
      </c>
      <c r="J10" s="1394">
        <f>+J9-J8</f>
        <v>5.9525683117263861E-3</v>
      </c>
      <c r="K10" s="1394">
        <f>+K9-K8</f>
        <v>6.2945119779853342E-3</v>
      </c>
      <c r="L10" s="1394">
        <f>+L9-L8</f>
        <v>6.2945119779853342E-3</v>
      </c>
    </row>
    <row r="11" spans="1:13">
      <c r="B11" s="663" t="s">
        <v>550</v>
      </c>
      <c r="F11" s="665"/>
      <c r="I11" s="1394"/>
      <c r="J11" s="1394"/>
      <c r="K11" s="1394"/>
      <c r="L11" s="1394"/>
    </row>
    <row r="12" spans="1:13">
      <c r="A12" s="660">
        <v>4</v>
      </c>
      <c r="B12" s="660" t="s">
        <v>763</v>
      </c>
      <c r="C12" s="660">
        <f>+'ATT H-1 '!A276</f>
        <v>170</v>
      </c>
      <c r="D12" s="664" t="s">
        <v>942</v>
      </c>
      <c r="F12" s="665"/>
      <c r="I12" s="1394">
        <f>+'ATT H-1 '!H276</f>
        <v>6.0076683141003499E-2</v>
      </c>
      <c r="J12" s="1394">
        <f>+'ATT H-1 '!J276</f>
        <v>4.0974812044833248E-2</v>
      </c>
      <c r="K12" s="1394">
        <f>+'ATT H-1 '!K276</f>
        <v>0.1057793772041874</v>
      </c>
      <c r="L12" s="1394">
        <f>+'ATT H-1 '!L276</f>
        <v>5.0700674914876315E-2</v>
      </c>
    </row>
    <row r="13" spans="1:13">
      <c r="B13" s="660"/>
      <c r="D13" s="664"/>
      <c r="F13" s="665"/>
      <c r="M13"/>
    </row>
    <row r="14" spans="1:13">
      <c r="B14" s="666" t="s">
        <v>551</v>
      </c>
      <c r="M14"/>
    </row>
    <row r="15" spans="1:13">
      <c r="B15" s="666" t="s">
        <v>552</v>
      </c>
      <c r="C15" s="675"/>
      <c r="D15" s="666"/>
      <c r="E15" s="666"/>
      <c r="F15" s="665"/>
      <c r="G15" s="666"/>
      <c r="H15" s="666"/>
      <c r="I15" s="665"/>
      <c r="J15" s="666"/>
      <c r="K15" s="666"/>
      <c r="L15" s="666"/>
      <c r="M15"/>
    </row>
    <row r="16" spans="1:13">
      <c r="B16" s="667"/>
      <c r="C16" s="675"/>
      <c r="D16" s="670"/>
      <c r="E16" s="670"/>
      <c r="F16" s="708"/>
      <c r="G16" s="670"/>
      <c r="H16" s="670"/>
      <c r="I16" s="708"/>
      <c r="J16" s="666"/>
      <c r="K16" s="666"/>
      <c r="L16" s="666"/>
      <c r="M16"/>
    </row>
    <row r="17" spans="1:13">
      <c r="C17" s="675"/>
      <c r="F17" s="708"/>
      <c r="G17" s="670"/>
      <c r="H17" s="670"/>
      <c r="J17" s="666"/>
      <c r="K17" s="666"/>
      <c r="L17" s="666"/>
      <c r="M17"/>
    </row>
    <row r="18" spans="1:13">
      <c r="C18" s="675"/>
      <c r="D18" s="670" t="s">
        <v>471</v>
      </c>
      <c r="E18" s="670"/>
      <c r="F18" s="708"/>
      <c r="G18" s="670"/>
      <c r="H18" s="670"/>
      <c r="I18" s="670" t="s">
        <v>779</v>
      </c>
      <c r="J18" s="666"/>
      <c r="K18" s="666"/>
      <c r="L18" s="666"/>
      <c r="M18"/>
    </row>
    <row r="19" spans="1:13">
      <c r="B19" s="666"/>
      <c r="C19" s="675"/>
      <c r="D19" s="670" t="s">
        <v>558</v>
      </c>
      <c r="E19" s="670"/>
      <c r="F19" s="708"/>
      <c r="G19" s="670"/>
      <c r="H19" s="670"/>
      <c r="I19" s="670" t="s">
        <v>777</v>
      </c>
      <c r="J19" s="666"/>
      <c r="K19" s="666"/>
      <c r="L19" s="666"/>
      <c r="M19"/>
    </row>
    <row r="20" spans="1:13" ht="13.5" thickBot="1">
      <c r="B20" s="667"/>
      <c r="C20" s="675"/>
      <c r="D20" s="671" t="s">
        <v>771</v>
      </c>
      <c r="E20" s="671"/>
      <c r="F20" s="1321"/>
      <c r="G20" s="670"/>
      <c r="H20" s="670"/>
      <c r="I20" s="670" t="s">
        <v>778</v>
      </c>
      <c r="J20" s="666"/>
      <c r="K20" s="666"/>
      <c r="L20" s="666"/>
      <c r="M20"/>
    </row>
    <row r="21" spans="1:13">
      <c r="B21" s="672" t="s">
        <v>139</v>
      </c>
      <c r="C21" s="1322"/>
      <c r="D21" s="2020" t="s">
        <v>420</v>
      </c>
      <c r="E21" s="2021"/>
      <c r="F21" s="2022"/>
      <c r="G21" s="2023" t="s">
        <v>559</v>
      </c>
      <c r="H21" s="2024"/>
      <c r="I21" s="2025"/>
      <c r="J21" s="1324"/>
      <c r="K21" s="672"/>
      <c r="L21" s="1415"/>
      <c r="M21" s="1417"/>
    </row>
    <row r="22" spans="1:13">
      <c r="A22" s="675"/>
      <c r="B22" s="676"/>
      <c r="C22" s="680"/>
      <c r="D22" s="677"/>
      <c r="E22" s="707"/>
      <c r="F22" s="1323"/>
      <c r="G22" s="678"/>
      <c r="H22" s="707"/>
      <c r="I22" s="1323"/>
      <c r="J22" s="1325"/>
      <c r="K22" s="676"/>
      <c r="L22" s="682"/>
      <c r="M22" s="430"/>
    </row>
    <row r="23" spans="1:13">
      <c r="A23" s="660">
        <v>5</v>
      </c>
      <c r="B23" s="676" t="s">
        <v>560</v>
      </c>
      <c r="C23" s="680"/>
      <c r="D23" s="1388">
        <v>0</v>
      </c>
      <c r="E23" s="680"/>
      <c r="F23" s="681"/>
      <c r="G23" s="1388">
        <v>0</v>
      </c>
      <c r="H23" s="680"/>
      <c r="I23" s="681"/>
      <c r="J23" s="1325"/>
      <c r="K23" s="676"/>
      <c r="L23" s="682"/>
      <c r="M23" s="430"/>
    </row>
    <row r="24" spans="1:13">
      <c r="A24" s="660">
        <v>6</v>
      </c>
      <c r="B24" s="676" t="s">
        <v>561</v>
      </c>
      <c r="C24" s="680"/>
      <c r="D24" s="1388">
        <v>0</v>
      </c>
      <c r="E24" s="680"/>
      <c r="F24" s="681"/>
      <c r="G24" s="1388">
        <v>0</v>
      </c>
      <c r="H24" s="680"/>
      <c r="I24" s="681"/>
      <c r="J24" s="1325"/>
      <c r="K24" s="676"/>
      <c r="L24" s="682"/>
      <c r="M24" s="430"/>
    </row>
    <row r="25" spans="1:13">
      <c r="A25" s="660">
        <v>7</v>
      </c>
      <c r="B25" s="676" t="s">
        <v>562</v>
      </c>
      <c r="C25" s="680"/>
      <c r="D25" s="1389">
        <v>50</v>
      </c>
      <c r="E25" s="761"/>
      <c r="F25" s="762"/>
      <c r="G25" s="1388">
        <v>0</v>
      </c>
      <c r="H25" s="680"/>
      <c r="I25" s="681"/>
      <c r="J25" s="1325"/>
      <c r="K25" s="676"/>
      <c r="L25" s="682"/>
      <c r="M25" s="430"/>
    </row>
    <row r="26" spans="1:13">
      <c r="A26" s="660">
        <v>8</v>
      </c>
      <c r="B26" s="676" t="s">
        <v>424</v>
      </c>
      <c r="C26" s="680"/>
      <c r="D26" s="1390">
        <f>+J8</f>
        <v>0.11980112378480137</v>
      </c>
      <c r="E26" s="682"/>
      <c r="F26" s="683"/>
      <c r="G26" s="1390">
        <f>+J8</f>
        <v>0.11980112378480137</v>
      </c>
      <c r="H26" s="682"/>
      <c r="I26" s="683"/>
      <c r="J26" s="1325"/>
      <c r="K26" s="676"/>
      <c r="L26" s="682"/>
      <c r="M26" s="430"/>
    </row>
    <row r="27" spans="1:13">
      <c r="A27" s="660">
        <v>9</v>
      </c>
      <c r="B27" s="676" t="s">
        <v>563</v>
      </c>
      <c r="C27" s="680"/>
      <c r="D27" s="1390">
        <f>+D25/100*J10+D26</f>
        <v>0.12277740794066457</v>
      </c>
      <c r="E27" s="682"/>
      <c r="F27" s="683"/>
      <c r="G27" s="1390">
        <f>+G25/100*J10+G26</f>
        <v>0.11980112378480137</v>
      </c>
      <c r="H27" s="682"/>
      <c r="I27" s="683"/>
      <c r="J27" s="1325"/>
      <c r="K27" s="676"/>
      <c r="L27" s="682"/>
      <c r="M27" s="430"/>
    </row>
    <row r="28" spans="1:13">
      <c r="A28" s="660">
        <v>10</v>
      </c>
      <c r="B28" s="676" t="s">
        <v>780</v>
      </c>
      <c r="C28" s="680"/>
      <c r="D28" s="684">
        <v>0</v>
      </c>
      <c r="E28" s="652"/>
      <c r="F28" s="683"/>
      <c r="G28" s="684"/>
      <c r="H28" s="652"/>
      <c r="I28" s="683"/>
      <c r="J28" s="1325"/>
      <c r="K28" s="676"/>
      <c r="L28" s="682"/>
      <c r="M28" s="430"/>
    </row>
    <row r="29" spans="1:13">
      <c r="A29" s="660">
        <v>11</v>
      </c>
      <c r="B29" s="679" t="s">
        <v>564</v>
      </c>
      <c r="C29" s="680"/>
      <c r="D29" s="684">
        <v>0</v>
      </c>
      <c r="E29" s="652"/>
      <c r="F29" s="683"/>
      <c r="G29" s="684">
        <v>0</v>
      </c>
      <c r="H29" s="652"/>
      <c r="I29" s="683"/>
      <c r="J29" s="1325"/>
      <c r="K29" s="676"/>
      <c r="L29" s="682"/>
      <c r="M29" s="430"/>
    </row>
    <row r="30" spans="1:13" ht="13.5" thickBot="1">
      <c r="B30" s="685"/>
      <c r="C30" s="1327"/>
      <c r="D30" s="686"/>
      <c r="E30" s="652"/>
      <c r="F30" s="688"/>
      <c r="G30" s="686"/>
      <c r="H30" s="687"/>
      <c r="I30" s="688"/>
      <c r="J30" s="1328"/>
      <c r="K30" s="1329"/>
      <c r="L30" s="1416"/>
      <c r="M30" s="1422"/>
    </row>
    <row r="31" spans="1:13" ht="25.5">
      <c r="A31" s="660">
        <f>+A29+1</f>
        <v>12</v>
      </c>
      <c r="B31" s="674"/>
      <c r="C31" s="690" t="s">
        <v>565</v>
      </c>
      <c r="D31" s="1330" t="s">
        <v>780</v>
      </c>
      <c r="E31" s="1424" t="s">
        <v>430</v>
      </c>
      <c r="F31" s="689" t="s">
        <v>772</v>
      </c>
      <c r="G31" s="1330" t="s">
        <v>780</v>
      </c>
      <c r="H31" s="1424" t="s">
        <v>430</v>
      </c>
      <c r="I31" s="689" t="s">
        <v>772</v>
      </c>
      <c r="J31" s="690" t="s">
        <v>851</v>
      </c>
      <c r="K31" s="1418" t="s">
        <v>773</v>
      </c>
      <c r="L31" s="1330" t="s">
        <v>774</v>
      </c>
      <c r="M31" s="1423" t="s">
        <v>775</v>
      </c>
    </row>
    <row r="32" spans="1:13">
      <c r="A32" s="660">
        <f>+A31+1</f>
        <v>13</v>
      </c>
      <c r="B32" s="679" t="s">
        <v>424</v>
      </c>
      <c r="C32" s="1331">
        <v>2010</v>
      </c>
      <c r="D32" s="692">
        <f>+D28</f>
        <v>0</v>
      </c>
      <c r="E32" s="1425">
        <v>0</v>
      </c>
      <c r="F32" s="683">
        <f>+D32*D$26+E32</f>
        <v>0</v>
      </c>
      <c r="G32" s="692">
        <f>+G28</f>
        <v>0</v>
      </c>
      <c r="H32" s="1425">
        <v>0</v>
      </c>
      <c r="I32" s="683">
        <f>+G32*G$26+H32</f>
        <v>0</v>
      </c>
      <c r="J32" s="1332">
        <f>+F32+I32</f>
        <v>0</v>
      </c>
      <c r="K32" s="676"/>
      <c r="L32" s="1333">
        <f>J32</f>
        <v>0</v>
      </c>
      <c r="M32" s="1420">
        <f>+L32-K33</f>
        <v>0</v>
      </c>
    </row>
    <row r="33" spans="1:13">
      <c r="A33" s="660">
        <f t="shared" ref="A33:A73" si="0">+A32+1</f>
        <v>14</v>
      </c>
      <c r="B33" s="679" t="s">
        <v>566</v>
      </c>
      <c r="C33" s="1331">
        <v>2010</v>
      </c>
      <c r="D33" s="692">
        <f>+D32</f>
        <v>0</v>
      </c>
      <c r="E33" s="652">
        <v>0</v>
      </c>
      <c r="F33" s="683">
        <f>+D33*D$27+E33</f>
        <v>0</v>
      </c>
      <c r="G33" s="692">
        <f>+G32</f>
        <v>0</v>
      </c>
      <c r="H33" s="652">
        <v>0</v>
      </c>
      <c r="I33" s="683">
        <f>+G33*G$27+H33</f>
        <v>0</v>
      </c>
      <c r="J33" s="1332">
        <f t="shared" ref="J33:J71" si="1">+F33+I33</f>
        <v>0</v>
      </c>
      <c r="K33" s="1419">
        <f>J33</f>
        <v>0</v>
      </c>
      <c r="L33" s="682"/>
      <c r="M33" s="1420"/>
    </row>
    <row r="34" spans="1:13">
      <c r="A34" s="660">
        <f t="shared" si="0"/>
        <v>15</v>
      </c>
      <c r="B34" s="679" t="s">
        <v>424</v>
      </c>
      <c r="C34" s="691">
        <f>+C32+1</f>
        <v>2011</v>
      </c>
      <c r="D34" s="692">
        <v>0</v>
      </c>
      <c r="E34" s="692">
        <v>0</v>
      </c>
      <c r="F34" s="683">
        <f>+D34*D$26+E34</f>
        <v>0</v>
      </c>
      <c r="G34" s="692">
        <v>0</v>
      </c>
      <c r="H34" s="692">
        <v>0</v>
      </c>
      <c r="I34" s="683">
        <f>+G34*G$26+H34</f>
        <v>0</v>
      </c>
      <c r="J34" s="1332">
        <f t="shared" si="1"/>
        <v>0</v>
      </c>
      <c r="K34" s="679"/>
      <c r="L34" s="1333">
        <f>J34</f>
        <v>0</v>
      </c>
      <c r="M34" s="1420">
        <f>+L34-K35</f>
        <v>0</v>
      </c>
    </row>
    <row r="35" spans="1:13">
      <c r="A35" s="660">
        <f t="shared" si="0"/>
        <v>16</v>
      </c>
      <c r="B35" s="679" t="s">
        <v>566</v>
      </c>
      <c r="C35" s="691">
        <f>+C34</f>
        <v>2011</v>
      </c>
      <c r="D35" s="692">
        <v>0</v>
      </c>
      <c r="E35" s="692">
        <v>0</v>
      </c>
      <c r="F35" s="683">
        <f>+D35*D$27+E35</f>
        <v>0</v>
      </c>
      <c r="G35" s="692">
        <v>0</v>
      </c>
      <c r="H35" s="692">
        <v>0</v>
      </c>
      <c r="I35" s="683">
        <f>+G35*G$27+H35</f>
        <v>0</v>
      </c>
      <c r="J35" s="1332">
        <f t="shared" si="1"/>
        <v>0</v>
      </c>
      <c r="K35" s="1419">
        <f>J35</f>
        <v>0</v>
      </c>
      <c r="L35" s="694"/>
      <c r="M35" s="1420"/>
    </row>
    <row r="36" spans="1:13">
      <c r="A36" s="660">
        <f t="shared" si="0"/>
        <v>17</v>
      </c>
      <c r="B36" s="679" t="s">
        <v>424</v>
      </c>
      <c r="C36" s="691">
        <f>+C34+1</f>
        <v>2012</v>
      </c>
      <c r="D36" s="692">
        <v>0</v>
      </c>
      <c r="E36" s="692">
        <v>0</v>
      </c>
      <c r="F36" s="683">
        <f>+D36*D$26+E36</f>
        <v>0</v>
      </c>
      <c r="G36" s="692">
        <v>0</v>
      </c>
      <c r="H36" s="692">
        <v>0</v>
      </c>
      <c r="I36" s="683">
        <f>+G36*G$26+H36</f>
        <v>0</v>
      </c>
      <c r="J36" s="1332">
        <f t="shared" si="1"/>
        <v>0</v>
      </c>
      <c r="K36" s="679"/>
      <c r="L36" s="1333">
        <f>J36</f>
        <v>0</v>
      </c>
      <c r="M36" s="1420">
        <f>+K37-L36</f>
        <v>0</v>
      </c>
    </row>
    <row r="37" spans="1:13">
      <c r="A37" s="660">
        <f t="shared" si="0"/>
        <v>18</v>
      </c>
      <c r="B37" s="679" t="s">
        <v>566</v>
      </c>
      <c r="C37" s="691">
        <f>+C36</f>
        <v>2012</v>
      </c>
      <c r="D37" s="692">
        <v>0</v>
      </c>
      <c r="E37" s="692">
        <v>0</v>
      </c>
      <c r="F37" s="683">
        <f>+D37*D$27+E37</f>
        <v>0</v>
      </c>
      <c r="G37" s="692">
        <v>0</v>
      </c>
      <c r="H37" s="692">
        <v>0</v>
      </c>
      <c r="I37" s="683">
        <f>+G37*G$27+H37</f>
        <v>0</v>
      </c>
      <c r="J37" s="1332">
        <f t="shared" si="1"/>
        <v>0</v>
      </c>
      <c r="K37" s="1419">
        <f>J37</f>
        <v>0</v>
      </c>
      <c r="L37" s="694"/>
      <c r="M37" s="1420"/>
    </row>
    <row r="38" spans="1:13">
      <c r="A38" s="660">
        <f t="shared" si="0"/>
        <v>19</v>
      </c>
      <c r="B38" s="679" t="s">
        <v>424</v>
      </c>
      <c r="C38" s="691">
        <f>+C36+1</f>
        <v>2013</v>
      </c>
      <c r="D38" s="692">
        <v>0</v>
      </c>
      <c r="E38" s="692">
        <v>0</v>
      </c>
      <c r="F38" s="683">
        <f>+D38*D$26+E38</f>
        <v>0</v>
      </c>
      <c r="G38" s="692">
        <v>0</v>
      </c>
      <c r="H38" s="692">
        <v>0</v>
      </c>
      <c r="I38" s="683">
        <f>+G38*G$26+H38</f>
        <v>0</v>
      </c>
      <c r="J38" s="1332">
        <f t="shared" si="1"/>
        <v>0</v>
      </c>
      <c r="K38" s="679"/>
      <c r="L38" s="1333">
        <f>J38</f>
        <v>0</v>
      </c>
      <c r="M38" s="1420">
        <f>+K39-L38</f>
        <v>0</v>
      </c>
    </row>
    <row r="39" spans="1:13">
      <c r="A39" s="660">
        <f t="shared" si="0"/>
        <v>20</v>
      </c>
      <c r="B39" s="679" t="s">
        <v>566</v>
      </c>
      <c r="C39" s="691">
        <f>+C38</f>
        <v>2013</v>
      </c>
      <c r="D39" s="692">
        <v>0</v>
      </c>
      <c r="E39" s="692">
        <v>0</v>
      </c>
      <c r="F39" s="683">
        <f>+D39*D$27+E39</f>
        <v>0</v>
      </c>
      <c r="G39" s="692">
        <v>0</v>
      </c>
      <c r="H39" s="692">
        <v>0</v>
      </c>
      <c r="I39" s="683">
        <f>+G39*G$27+H39</f>
        <v>0</v>
      </c>
      <c r="J39" s="1332">
        <f t="shared" si="1"/>
        <v>0</v>
      </c>
      <c r="K39" s="1419">
        <f>J39</f>
        <v>0</v>
      </c>
      <c r="L39" s="694"/>
      <c r="M39" s="1420"/>
    </row>
    <row r="40" spans="1:13">
      <c r="A40" s="660">
        <f t="shared" si="0"/>
        <v>21</v>
      </c>
      <c r="B40" s="679" t="s">
        <v>424</v>
      </c>
      <c r="C40" s="691">
        <f>+C38+1</f>
        <v>2014</v>
      </c>
      <c r="D40" s="692">
        <v>0</v>
      </c>
      <c r="E40" s="692">
        <v>0</v>
      </c>
      <c r="F40" s="683">
        <f>+D40*D$26+E40</f>
        <v>0</v>
      </c>
      <c r="G40" s="692">
        <v>0</v>
      </c>
      <c r="H40" s="692">
        <v>0</v>
      </c>
      <c r="I40" s="683">
        <f>+G40*G$26+H40</f>
        <v>0</v>
      </c>
      <c r="J40" s="1332">
        <f t="shared" si="1"/>
        <v>0</v>
      </c>
      <c r="K40" s="679"/>
      <c r="L40" s="1333">
        <f>J40</f>
        <v>0</v>
      </c>
      <c r="M40" s="1420">
        <f>+K41-L40</f>
        <v>0</v>
      </c>
    </row>
    <row r="41" spans="1:13">
      <c r="A41" s="660">
        <f t="shared" si="0"/>
        <v>22</v>
      </c>
      <c r="B41" s="679" t="s">
        <v>566</v>
      </c>
      <c r="C41" s="691">
        <f>+C40</f>
        <v>2014</v>
      </c>
      <c r="D41" s="692">
        <v>0</v>
      </c>
      <c r="E41" s="692">
        <v>0</v>
      </c>
      <c r="F41" s="683">
        <f>+D41*D$27+E41</f>
        <v>0</v>
      </c>
      <c r="G41" s="692">
        <v>0</v>
      </c>
      <c r="H41" s="692">
        <v>0</v>
      </c>
      <c r="I41" s="683">
        <f>+G41*G$27+H41</f>
        <v>0</v>
      </c>
      <c r="J41" s="1332">
        <f t="shared" si="1"/>
        <v>0</v>
      </c>
      <c r="K41" s="1419">
        <f>J41</f>
        <v>0</v>
      </c>
      <c r="L41" s="694"/>
      <c r="M41" s="1420"/>
    </row>
    <row r="42" spans="1:13">
      <c r="A42" s="660">
        <f t="shared" si="0"/>
        <v>23</v>
      </c>
      <c r="B42" s="679" t="s">
        <v>424</v>
      </c>
      <c r="C42" s="691">
        <f>+C40+1</f>
        <v>2015</v>
      </c>
      <c r="D42" s="692">
        <v>0</v>
      </c>
      <c r="E42" s="692">
        <v>0</v>
      </c>
      <c r="F42" s="683">
        <f>+D42*D$26+E42</f>
        <v>0</v>
      </c>
      <c r="G42" s="692">
        <v>0</v>
      </c>
      <c r="H42" s="692">
        <v>0</v>
      </c>
      <c r="I42" s="683">
        <f>+G42*G$26+H42</f>
        <v>0</v>
      </c>
      <c r="J42" s="1332">
        <f t="shared" si="1"/>
        <v>0</v>
      </c>
      <c r="K42" s="679"/>
      <c r="L42" s="1333">
        <f>J42</f>
        <v>0</v>
      </c>
      <c r="M42" s="1420">
        <f>+K43-L42</f>
        <v>0</v>
      </c>
    </row>
    <row r="43" spans="1:13">
      <c r="A43" s="660">
        <f t="shared" si="0"/>
        <v>24</v>
      </c>
      <c r="B43" s="679" t="s">
        <v>566</v>
      </c>
      <c r="C43" s="691">
        <f>+C42</f>
        <v>2015</v>
      </c>
      <c r="D43" s="692">
        <v>0</v>
      </c>
      <c r="E43" s="692">
        <v>0</v>
      </c>
      <c r="F43" s="683">
        <f>+D43*D$27+E43</f>
        <v>0</v>
      </c>
      <c r="G43" s="692">
        <v>0</v>
      </c>
      <c r="H43" s="692">
        <v>0</v>
      </c>
      <c r="I43" s="683">
        <f>+G43*G$27+H43</f>
        <v>0</v>
      </c>
      <c r="J43" s="1332">
        <f t="shared" si="1"/>
        <v>0</v>
      </c>
      <c r="K43" s="1419">
        <f>J43</f>
        <v>0</v>
      </c>
      <c r="L43" s="694"/>
      <c r="M43" s="1420"/>
    </row>
    <row r="44" spans="1:13">
      <c r="A44" s="660">
        <f t="shared" si="0"/>
        <v>25</v>
      </c>
      <c r="B44" s="679" t="s">
        <v>424</v>
      </c>
      <c r="C44" s="691">
        <f>+C42+1</f>
        <v>2016</v>
      </c>
      <c r="D44" s="692">
        <v>0</v>
      </c>
      <c r="E44" s="692">
        <v>0</v>
      </c>
      <c r="F44" s="683">
        <f>+D44*D$26+E44</f>
        <v>0</v>
      </c>
      <c r="G44" s="692">
        <v>0</v>
      </c>
      <c r="H44" s="692">
        <v>0</v>
      </c>
      <c r="I44" s="683">
        <f>+G44*G$26+H44</f>
        <v>0</v>
      </c>
      <c r="J44" s="1332">
        <f t="shared" si="1"/>
        <v>0</v>
      </c>
      <c r="K44" s="679"/>
      <c r="L44" s="1333">
        <f>J44</f>
        <v>0</v>
      </c>
      <c r="M44" s="1420">
        <f>+K45-L44</f>
        <v>0</v>
      </c>
    </row>
    <row r="45" spans="1:13">
      <c r="A45" s="660">
        <f t="shared" si="0"/>
        <v>26</v>
      </c>
      <c r="B45" s="679" t="s">
        <v>566</v>
      </c>
      <c r="C45" s="691">
        <f>+C44</f>
        <v>2016</v>
      </c>
      <c r="D45" s="692">
        <v>0</v>
      </c>
      <c r="E45" s="692">
        <v>0</v>
      </c>
      <c r="F45" s="683">
        <f>+D45*D$27+E45</f>
        <v>0</v>
      </c>
      <c r="G45" s="692">
        <v>0</v>
      </c>
      <c r="H45" s="692">
        <v>0</v>
      </c>
      <c r="I45" s="683">
        <f>+G45*G$27+H45</f>
        <v>0</v>
      </c>
      <c r="J45" s="1332">
        <f t="shared" si="1"/>
        <v>0</v>
      </c>
      <c r="K45" s="1419">
        <f>J45</f>
        <v>0</v>
      </c>
      <c r="L45" s="694"/>
      <c r="M45" s="1420"/>
    </row>
    <row r="46" spans="1:13">
      <c r="A46" s="660">
        <f t="shared" si="0"/>
        <v>27</v>
      </c>
      <c r="B46" s="679" t="s">
        <v>424</v>
      </c>
      <c r="C46" s="691">
        <f>+C44+1</f>
        <v>2017</v>
      </c>
      <c r="D46" s="692">
        <v>0</v>
      </c>
      <c r="E46" s="692">
        <v>0</v>
      </c>
      <c r="F46" s="683">
        <f>+D46*D$26+E46</f>
        <v>0</v>
      </c>
      <c r="G46" s="692">
        <v>0</v>
      </c>
      <c r="H46" s="692">
        <v>0</v>
      </c>
      <c r="I46" s="683">
        <f>+G46*G$26+H46</f>
        <v>0</v>
      </c>
      <c r="J46" s="1332">
        <f t="shared" si="1"/>
        <v>0</v>
      </c>
      <c r="K46" s="679"/>
      <c r="L46" s="1333">
        <f>J46</f>
        <v>0</v>
      </c>
      <c r="M46" s="1420">
        <f>+K47-L46</f>
        <v>0</v>
      </c>
    </row>
    <row r="47" spans="1:13">
      <c r="A47" s="660">
        <f t="shared" si="0"/>
        <v>28</v>
      </c>
      <c r="B47" s="679" t="s">
        <v>566</v>
      </c>
      <c r="C47" s="691">
        <f>+C46</f>
        <v>2017</v>
      </c>
      <c r="D47" s="692">
        <v>0</v>
      </c>
      <c r="E47" s="692">
        <v>0</v>
      </c>
      <c r="F47" s="683">
        <f>+D47*D$27+E47</f>
        <v>0</v>
      </c>
      <c r="G47" s="692">
        <v>0</v>
      </c>
      <c r="H47" s="692">
        <v>0</v>
      </c>
      <c r="I47" s="683">
        <f>+G47*G$27+H47</f>
        <v>0</v>
      </c>
      <c r="J47" s="1332">
        <f t="shared" si="1"/>
        <v>0</v>
      </c>
      <c r="K47" s="1419">
        <f>J47</f>
        <v>0</v>
      </c>
      <c r="L47" s="694"/>
      <c r="M47" s="1420"/>
    </row>
    <row r="48" spans="1:13">
      <c r="A48" s="660">
        <f t="shared" si="0"/>
        <v>29</v>
      </c>
      <c r="B48" s="679" t="s">
        <v>424</v>
      </c>
      <c r="C48" s="691">
        <f>+C46+1</f>
        <v>2018</v>
      </c>
      <c r="D48" s="692">
        <v>0</v>
      </c>
      <c r="E48" s="692">
        <v>0</v>
      </c>
      <c r="F48" s="683">
        <f>+D48*D$26+E48</f>
        <v>0</v>
      </c>
      <c r="G48" s="692">
        <v>0</v>
      </c>
      <c r="H48" s="692">
        <v>0</v>
      </c>
      <c r="I48" s="683">
        <f>+G48*G$26+H48</f>
        <v>0</v>
      </c>
      <c r="J48" s="1332">
        <f t="shared" si="1"/>
        <v>0</v>
      </c>
      <c r="K48" s="679"/>
      <c r="L48" s="1333">
        <f>J48</f>
        <v>0</v>
      </c>
      <c r="M48" s="1420">
        <f>+K49-L48</f>
        <v>0</v>
      </c>
    </row>
    <row r="49" spans="1:13">
      <c r="A49" s="660">
        <f t="shared" si="0"/>
        <v>30</v>
      </c>
      <c r="B49" s="679" t="s">
        <v>566</v>
      </c>
      <c r="C49" s="691">
        <f>+C48</f>
        <v>2018</v>
      </c>
      <c r="D49" s="692">
        <v>0</v>
      </c>
      <c r="E49" s="692">
        <v>0</v>
      </c>
      <c r="F49" s="683">
        <f>+D49*D$27+E49</f>
        <v>0</v>
      </c>
      <c r="G49" s="692">
        <v>0</v>
      </c>
      <c r="H49" s="692">
        <v>0</v>
      </c>
      <c r="I49" s="683">
        <f>+G49*G$27+H49</f>
        <v>0</v>
      </c>
      <c r="J49" s="1332">
        <f t="shared" si="1"/>
        <v>0</v>
      </c>
      <c r="K49" s="1419">
        <f>J49</f>
        <v>0</v>
      </c>
      <c r="L49" s="694"/>
      <c r="M49" s="1420"/>
    </row>
    <row r="50" spans="1:13">
      <c r="A50" s="660">
        <f t="shared" si="0"/>
        <v>31</v>
      </c>
      <c r="B50" s="679" t="s">
        <v>424</v>
      </c>
      <c r="C50" s="691">
        <f>+C48+1</f>
        <v>2019</v>
      </c>
      <c r="D50" s="692">
        <v>0</v>
      </c>
      <c r="E50" s="692">
        <v>0</v>
      </c>
      <c r="F50" s="683">
        <f>+D50*D$26+E50</f>
        <v>0</v>
      </c>
      <c r="G50" s="692">
        <v>0</v>
      </c>
      <c r="H50" s="692">
        <v>0</v>
      </c>
      <c r="I50" s="683">
        <f>+G50*G$26+H50</f>
        <v>0</v>
      </c>
      <c r="J50" s="1332">
        <f t="shared" si="1"/>
        <v>0</v>
      </c>
      <c r="K50" s="679"/>
      <c r="L50" s="1333">
        <f>J50</f>
        <v>0</v>
      </c>
      <c r="M50" s="1420">
        <f>+K51-L50</f>
        <v>0</v>
      </c>
    </row>
    <row r="51" spans="1:13">
      <c r="A51" s="660">
        <f t="shared" si="0"/>
        <v>32</v>
      </c>
      <c r="B51" s="679" t="s">
        <v>566</v>
      </c>
      <c r="C51" s="691">
        <f>+C50</f>
        <v>2019</v>
      </c>
      <c r="D51" s="692">
        <v>0</v>
      </c>
      <c r="E51" s="692">
        <v>0</v>
      </c>
      <c r="F51" s="683">
        <f>+D51*D$27+E51</f>
        <v>0</v>
      </c>
      <c r="G51" s="692">
        <v>0</v>
      </c>
      <c r="H51" s="692">
        <v>0</v>
      </c>
      <c r="I51" s="683">
        <f>+G51*G$27+H51</f>
        <v>0</v>
      </c>
      <c r="J51" s="1332">
        <f t="shared" si="1"/>
        <v>0</v>
      </c>
      <c r="K51" s="1419">
        <f>J51</f>
        <v>0</v>
      </c>
      <c r="L51" s="694"/>
      <c r="M51" s="1420"/>
    </row>
    <row r="52" spans="1:13">
      <c r="A52" s="660">
        <f t="shared" si="0"/>
        <v>33</v>
      </c>
      <c r="B52" s="679" t="s">
        <v>424</v>
      </c>
      <c r="C52" s="691">
        <f>+C50+1</f>
        <v>2020</v>
      </c>
      <c r="D52" s="692">
        <v>0</v>
      </c>
      <c r="E52" s="692">
        <v>0</v>
      </c>
      <c r="F52" s="683">
        <f>+D52*D$26+E52</f>
        <v>0</v>
      </c>
      <c r="G52" s="692">
        <v>0</v>
      </c>
      <c r="H52" s="692">
        <v>0</v>
      </c>
      <c r="I52" s="683">
        <f>+G52*G$26+H52</f>
        <v>0</v>
      </c>
      <c r="J52" s="1332">
        <f t="shared" si="1"/>
        <v>0</v>
      </c>
      <c r="K52" s="679"/>
      <c r="L52" s="1333">
        <f>J52</f>
        <v>0</v>
      </c>
      <c r="M52" s="1420">
        <f>+K53-L52</f>
        <v>0</v>
      </c>
    </row>
    <row r="53" spans="1:13">
      <c r="A53" s="660">
        <f t="shared" si="0"/>
        <v>34</v>
      </c>
      <c r="B53" s="679" t="s">
        <v>566</v>
      </c>
      <c r="C53" s="691">
        <f>+C52</f>
        <v>2020</v>
      </c>
      <c r="D53" s="692">
        <v>0</v>
      </c>
      <c r="E53" s="692">
        <v>0</v>
      </c>
      <c r="F53" s="683">
        <f>+D53*D$27+E53</f>
        <v>0</v>
      </c>
      <c r="G53" s="692">
        <v>0</v>
      </c>
      <c r="H53" s="692">
        <v>0</v>
      </c>
      <c r="I53" s="683">
        <f>+G53*G$27+H53</f>
        <v>0</v>
      </c>
      <c r="J53" s="1332">
        <f t="shared" si="1"/>
        <v>0</v>
      </c>
      <c r="K53" s="1419">
        <f>J53</f>
        <v>0</v>
      </c>
      <c r="L53" s="694"/>
      <c r="M53" s="1420"/>
    </row>
    <row r="54" spans="1:13">
      <c r="A54" s="660">
        <f t="shared" si="0"/>
        <v>35</v>
      </c>
      <c r="B54" s="679" t="s">
        <v>424</v>
      </c>
      <c r="C54" s="691">
        <f>+C52+1</f>
        <v>2021</v>
      </c>
      <c r="D54" s="692">
        <v>0</v>
      </c>
      <c r="E54" s="692">
        <v>0</v>
      </c>
      <c r="F54" s="683">
        <f>+D54*D$26+E54</f>
        <v>0</v>
      </c>
      <c r="G54" s="692">
        <v>0</v>
      </c>
      <c r="H54" s="692">
        <v>0</v>
      </c>
      <c r="I54" s="683">
        <f>+G54*G$26+H54</f>
        <v>0</v>
      </c>
      <c r="J54" s="1332">
        <f t="shared" si="1"/>
        <v>0</v>
      </c>
      <c r="K54" s="679"/>
      <c r="L54" s="1333">
        <f>J54</f>
        <v>0</v>
      </c>
      <c r="M54" s="1420">
        <f>+K55-L54</f>
        <v>0</v>
      </c>
    </row>
    <row r="55" spans="1:13">
      <c r="A55" s="660">
        <f t="shared" si="0"/>
        <v>36</v>
      </c>
      <c r="B55" s="679" t="s">
        <v>566</v>
      </c>
      <c r="C55" s="691">
        <f>+C54</f>
        <v>2021</v>
      </c>
      <c r="D55" s="692">
        <v>0</v>
      </c>
      <c r="E55" s="692">
        <v>0</v>
      </c>
      <c r="F55" s="683">
        <f>+D55*D$27+E55</f>
        <v>0</v>
      </c>
      <c r="G55" s="692">
        <v>0</v>
      </c>
      <c r="H55" s="692">
        <v>0</v>
      </c>
      <c r="I55" s="683">
        <f>+G55*G$27+H55</f>
        <v>0</v>
      </c>
      <c r="J55" s="1332">
        <f t="shared" si="1"/>
        <v>0</v>
      </c>
      <c r="K55" s="1419">
        <f>J55</f>
        <v>0</v>
      </c>
      <c r="L55" s="694"/>
      <c r="M55" s="1420"/>
    </row>
    <row r="56" spans="1:13">
      <c r="A56" s="660">
        <f t="shared" si="0"/>
        <v>37</v>
      </c>
      <c r="B56" s="679" t="s">
        <v>424</v>
      </c>
      <c r="C56" s="691">
        <f>+C54+1</f>
        <v>2022</v>
      </c>
      <c r="D56" s="692">
        <v>0</v>
      </c>
      <c r="E56" s="692">
        <v>0</v>
      </c>
      <c r="F56" s="683">
        <f>+D56*D$26+E56</f>
        <v>0</v>
      </c>
      <c r="G56" s="692">
        <v>0</v>
      </c>
      <c r="H56" s="692">
        <v>0</v>
      </c>
      <c r="I56" s="683">
        <f>+G56*G$26+H56</f>
        <v>0</v>
      </c>
      <c r="J56" s="1332">
        <f t="shared" si="1"/>
        <v>0</v>
      </c>
      <c r="K56" s="679"/>
      <c r="L56" s="1333">
        <f>J56</f>
        <v>0</v>
      </c>
      <c r="M56" s="1420">
        <f>+K57-L56</f>
        <v>0</v>
      </c>
    </row>
    <row r="57" spans="1:13">
      <c r="A57" s="660">
        <f t="shared" si="0"/>
        <v>38</v>
      </c>
      <c r="B57" s="679" t="s">
        <v>566</v>
      </c>
      <c r="C57" s="691">
        <f>+C56</f>
        <v>2022</v>
      </c>
      <c r="D57" s="692">
        <v>0</v>
      </c>
      <c r="E57" s="692">
        <v>0</v>
      </c>
      <c r="F57" s="683">
        <f>+D57*D$27+E57</f>
        <v>0</v>
      </c>
      <c r="G57" s="692">
        <v>0</v>
      </c>
      <c r="H57" s="692">
        <v>0</v>
      </c>
      <c r="I57" s="683">
        <f>+G57*G$27+H57</f>
        <v>0</v>
      </c>
      <c r="J57" s="1332">
        <f t="shared" si="1"/>
        <v>0</v>
      </c>
      <c r="K57" s="1419">
        <f>J57</f>
        <v>0</v>
      </c>
      <c r="L57" s="694"/>
      <c r="M57" s="1420"/>
    </row>
    <row r="58" spans="1:13">
      <c r="A58" s="660">
        <f t="shared" si="0"/>
        <v>39</v>
      </c>
      <c r="B58" s="679" t="s">
        <v>424</v>
      </c>
      <c r="C58" s="691">
        <f>+C56+1</f>
        <v>2023</v>
      </c>
      <c r="D58" s="692">
        <v>0</v>
      </c>
      <c r="E58" s="692">
        <v>0</v>
      </c>
      <c r="F58" s="683">
        <f>+D58*D$26+E58</f>
        <v>0</v>
      </c>
      <c r="G58" s="692">
        <v>0</v>
      </c>
      <c r="H58" s="692">
        <v>0</v>
      </c>
      <c r="I58" s="683">
        <f>+G58*G$26+H58</f>
        <v>0</v>
      </c>
      <c r="J58" s="1332">
        <f t="shared" si="1"/>
        <v>0</v>
      </c>
      <c r="K58" s="679"/>
      <c r="L58" s="1333">
        <f>J58</f>
        <v>0</v>
      </c>
      <c r="M58" s="1420">
        <f>+K59-L58</f>
        <v>0</v>
      </c>
    </row>
    <row r="59" spans="1:13">
      <c r="A59" s="660">
        <f t="shared" si="0"/>
        <v>40</v>
      </c>
      <c r="B59" s="679" t="s">
        <v>566</v>
      </c>
      <c r="C59" s="691">
        <f>+C58</f>
        <v>2023</v>
      </c>
      <c r="D59" s="692">
        <v>0</v>
      </c>
      <c r="E59" s="692">
        <v>0</v>
      </c>
      <c r="F59" s="683">
        <f>+D59*D$27+E59</f>
        <v>0</v>
      </c>
      <c r="G59" s="692">
        <v>0</v>
      </c>
      <c r="H59" s="692">
        <v>0</v>
      </c>
      <c r="I59" s="683">
        <f>+G59*G$27+H59</f>
        <v>0</v>
      </c>
      <c r="J59" s="1332">
        <f t="shared" si="1"/>
        <v>0</v>
      </c>
      <c r="K59" s="1419">
        <f>J59</f>
        <v>0</v>
      </c>
      <c r="L59" s="694"/>
      <c r="M59" s="1420"/>
    </row>
    <row r="60" spans="1:13">
      <c r="A60" s="660">
        <f t="shared" si="0"/>
        <v>41</v>
      </c>
      <c r="B60" s="679" t="s">
        <v>424</v>
      </c>
      <c r="C60" s="691">
        <f>+C58+1</f>
        <v>2024</v>
      </c>
      <c r="D60" s="692">
        <v>0</v>
      </c>
      <c r="E60" s="692">
        <v>0</v>
      </c>
      <c r="F60" s="683">
        <f>+D60*D$26+E60</f>
        <v>0</v>
      </c>
      <c r="G60" s="692">
        <v>0</v>
      </c>
      <c r="H60" s="692">
        <v>0</v>
      </c>
      <c r="I60" s="683">
        <f>+G60*G$26+H60</f>
        <v>0</v>
      </c>
      <c r="J60" s="1332">
        <f t="shared" si="1"/>
        <v>0</v>
      </c>
      <c r="K60" s="679"/>
      <c r="L60" s="1333">
        <f>J60</f>
        <v>0</v>
      </c>
      <c r="M60" s="1420">
        <f>+K61-L60</f>
        <v>0</v>
      </c>
    </row>
    <row r="61" spans="1:13">
      <c r="A61" s="660">
        <f t="shared" si="0"/>
        <v>42</v>
      </c>
      <c r="B61" s="679" t="s">
        <v>566</v>
      </c>
      <c r="C61" s="691">
        <f>+C60</f>
        <v>2024</v>
      </c>
      <c r="D61" s="692">
        <v>0</v>
      </c>
      <c r="E61" s="692">
        <v>0</v>
      </c>
      <c r="F61" s="683">
        <f>+D61*D$27+E61</f>
        <v>0</v>
      </c>
      <c r="G61" s="692">
        <v>0</v>
      </c>
      <c r="H61" s="692">
        <v>0</v>
      </c>
      <c r="I61" s="683">
        <f>+G61*G$27+H61</f>
        <v>0</v>
      </c>
      <c r="J61" s="1332">
        <f t="shared" si="1"/>
        <v>0</v>
      </c>
      <c r="K61" s="1419">
        <f>J61</f>
        <v>0</v>
      </c>
      <c r="L61" s="694"/>
      <c r="M61" s="1420"/>
    </row>
    <row r="62" spans="1:13">
      <c r="A62" s="660">
        <f t="shared" si="0"/>
        <v>43</v>
      </c>
      <c r="B62" s="679" t="s">
        <v>424</v>
      </c>
      <c r="C62" s="691">
        <f>+C60+1</f>
        <v>2025</v>
      </c>
      <c r="D62" s="692">
        <v>0</v>
      </c>
      <c r="E62" s="692">
        <v>0</v>
      </c>
      <c r="F62" s="683">
        <f>+D62*D$26+E62</f>
        <v>0</v>
      </c>
      <c r="G62" s="692">
        <v>0</v>
      </c>
      <c r="H62" s="692">
        <v>0</v>
      </c>
      <c r="I62" s="683">
        <f>+G62*G$26+H62</f>
        <v>0</v>
      </c>
      <c r="J62" s="1332">
        <f t="shared" si="1"/>
        <v>0</v>
      </c>
      <c r="K62" s="679"/>
      <c r="L62" s="1333">
        <f>J62</f>
        <v>0</v>
      </c>
      <c r="M62" s="1420">
        <f>+K63-L62</f>
        <v>0</v>
      </c>
    </row>
    <row r="63" spans="1:13">
      <c r="A63" s="660">
        <f t="shared" si="0"/>
        <v>44</v>
      </c>
      <c r="B63" s="679" t="s">
        <v>566</v>
      </c>
      <c r="C63" s="691">
        <f>+C62</f>
        <v>2025</v>
      </c>
      <c r="D63" s="692">
        <v>0</v>
      </c>
      <c r="E63" s="692">
        <v>0</v>
      </c>
      <c r="F63" s="683">
        <f>+D63*D$27+E63</f>
        <v>0</v>
      </c>
      <c r="G63" s="692">
        <v>0</v>
      </c>
      <c r="H63" s="692">
        <v>0</v>
      </c>
      <c r="I63" s="683">
        <f>+G63*G$27+H63</f>
        <v>0</v>
      </c>
      <c r="J63" s="1332">
        <f t="shared" si="1"/>
        <v>0</v>
      </c>
      <c r="K63" s="1419">
        <f>J63</f>
        <v>0</v>
      </c>
      <c r="L63" s="694"/>
      <c r="M63" s="1420"/>
    </row>
    <row r="64" spans="1:13">
      <c r="A64" s="660">
        <f t="shared" si="0"/>
        <v>45</v>
      </c>
      <c r="B64" s="679" t="s">
        <v>424</v>
      </c>
      <c r="C64" s="691">
        <f>+C62+1</f>
        <v>2026</v>
      </c>
      <c r="D64" s="692">
        <v>0</v>
      </c>
      <c r="E64" s="692">
        <v>0</v>
      </c>
      <c r="F64" s="683">
        <f>+D64*D$26+E64</f>
        <v>0</v>
      </c>
      <c r="G64" s="692">
        <v>0</v>
      </c>
      <c r="H64" s="692">
        <v>0</v>
      </c>
      <c r="I64" s="683">
        <f>+G64*G$26+H64</f>
        <v>0</v>
      </c>
      <c r="J64" s="1332">
        <f t="shared" si="1"/>
        <v>0</v>
      </c>
      <c r="K64" s="679"/>
      <c r="L64" s="1333">
        <f>J64</f>
        <v>0</v>
      </c>
      <c r="M64" s="1420">
        <f>+K65-L64</f>
        <v>0</v>
      </c>
    </row>
    <row r="65" spans="1:13">
      <c r="A65" s="660">
        <f t="shared" si="0"/>
        <v>46</v>
      </c>
      <c r="B65" s="679" t="s">
        <v>566</v>
      </c>
      <c r="C65" s="691">
        <f>+C64</f>
        <v>2026</v>
      </c>
      <c r="D65" s="692">
        <v>0</v>
      </c>
      <c r="E65" s="692">
        <v>0</v>
      </c>
      <c r="F65" s="683">
        <f>+D65*D$27+E65</f>
        <v>0</v>
      </c>
      <c r="G65" s="692">
        <v>0</v>
      </c>
      <c r="H65" s="692">
        <v>0</v>
      </c>
      <c r="I65" s="683">
        <f>+G65*G$27+H65</f>
        <v>0</v>
      </c>
      <c r="J65" s="1332">
        <f t="shared" si="1"/>
        <v>0</v>
      </c>
      <c r="K65" s="1419">
        <f>J65</f>
        <v>0</v>
      </c>
      <c r="L65" s="694"/>
      <c r="M65" s="1420"/>
    </row>
    <row r="66" spans="1:13">
      <c r="A66" s="660">
        <f t="shared" si="0"/>
        <v>47</v>
      </c>
      <c r="B66" s="679" t="s">
        <v>424</v>
      </c>
      <c r="C66" s="691">
        <f>+C64+1</f>
        <v>2027</v>
      </c>
      <c r="D66" s="692">
        <v>0</v>
      </c>
      <c r="E66" s="692">
        <v>0</v>
      </c>
      <c r="F66" s="683">
        <f>+D66*D$26+E66</f>
        <v>0</v>
      </c>
      <c r="G66" s="692">
        <v>0</v>
      </c>
      <c r="H66" s="692">
        <v>0</v>
      </c>
      <c r="I66" s="683">
        <f>+G66*G$26+H66</f>
        <v>0</v>
      </c>
      <c r="J66" s="1332">
        <f t="shared" si="1"/>
        <v>0</v>
      </c>
      <c r="K66" s="679"/>
      <c r="L66" s="1333">
        <f>J66</f>
        <v>0</v>
      </c>
      <c r="M66" s="1420">
        <f>+K67-L66</f>
        <v>0</v>
      </c>
    </row>
    <row r="67" spans="1:13">
      <c r="A67" s="660">
        <f t="shared" si="0"/>
        <v>48</v>
      </c>
      <c r="B67" s="679" t="s">
        <v>566</v>
      </c>
      <c r="C67" s="691">
        <f>+C66</f>
        <v>2027</v>
      </c>
      <c r="D67" s="692">
        <v>0</v>
      </c>
      <c r="E67" s="692">
        <v>0</v>
      </c>
      <c r="F67" s="683">
        <f>+D67*D$27+E67</f>
        <v>0</v>
      </c>
      <c r="G67" s="692">
        <v>0</v>
      </c>
      <c r="H67" s="692">
        <v>0</v>
      </c>
      <c r="I67" s="683">
        <f>+G67*G$27+H67</f>
        <v>0</v>
      </c>
      <c r="J67" s="1332">
        <f t="shared" si="1"/>
        <v>0</v>
      </c>
      <c r="K67" s="1419">
        <f>J67</f>
        <v>0</v>
      </c>
      <c r="L67" s="694"/>
      <c r="M67" s="1420"/>
    </row>
    <row r="68" spans="1:13">
      <c r="A68" s="660">
        <f t="shared" si="0"/>
        <v>49</v>
      </c>
      <c r="B68" s="679" t="s">
        <v>424</v>
      </c>
      <c r="C68" s="691">
        <f>+C66+1</f>
        <v>2028</v>
      </c>
      <c r="D68" s="692">
        <v>0</v>
      </c>
      <c r="E68" s="692">
        <v>0</v>
      </c>
      <c r="F68" s="683">
        <f>+D68*D$26+E68</f>
        <v>0</v>
      </c>
      <c r="G68" s="692">
        <v>0</v>
      </c>
      <c r="H68" s="692">
        <v>0</v>
      </c>
      <c r="I68" s="683">
        <f>+G68*G$26+H68</f>
        <v>0</v>
      </c>
      <c r="J68" s="1332">
        <f t="shared" si="1"/>
        <v>0</v>
      </c>
      <c r="K68" s="679"/>
      <c r="L68" s="1333">
        <f>J68</f>
        <v>0</v>
      </c>
      <c r="M68" s="1420">
        <f>+K69-L68</f>
        <v>0</v>
      </c>
    </row>
    <row r="69" spans="1:13">
      <c r="A69" s="660">
        <f t="shared" si="0"/>
        <v>50</v>
      </c>
      <c r="B69" s="679" t="s">
        <v>566</v>
      </c>
      <c r="C69" s="691">
        <f>+C68</f>
        <v>2028</v>
      </c>
      <c r="D69" s="692">
        <v>0</v>
      </c>
      <c r="E69" s="692">
        <v>0</v>
      </c>
      <c r="F69" s="683">
        <f>+D69*D$27+E69</f>
        <v>0</v>
      </c>
      <c r="G69" s="692">
        <v>0</v>
      </c>
      <c r="H69" s="692">
        <v>0</v>
      </c>
      <c r="I69" s="683">
        <f>+G69*G$27+H69</f>
        <v>0</v>
      </c>
      <c r="J69" s="1332">
        <f t="shared" si="1"/>
        <v>0</v>
      </c>
      <c r="K69" s="1419">
        <f>J69</f>
        <v>0</v>
      </c>
      <c r="L69" s="694"/>
      <c r="M69" s="1420"/>
    </row>
    <row r="70" spans="1:13">
      <c r="A70" s="660">
        <f t="shared" si="0"/>
        <v>51</v>
      </c>
      <c r="B70" s="679" t="s">
        <v>424</v>
      </c>
      <c r="C70" s="691">
        <f>+C68+1</f>
        <v>2029</v>
      </c>
      <c r="D70" s="692">
        <v>0</v>
      </c>
      <c r="E70" s="692">
        <v>0</v>
      </c>
      <c r="F70" s="683">
        <f>+D70*D$26+E70</f>
        <v>0</v>
      </c>
      <c r="G70" s="692">
        <v>0</v>
      </c>
      <c r="H70" s="692">
        <v>0</v>
      </c>
      <c r="I70" s="683">
        <f>+G70*G$26+H70</f>
        <v>0</v>
      </c>
      <c r="J70" s="1332">
        <f t="shared" si="1"/>
        <v>0</v>
      </c>
      <c r="K70" s="679"/>
      <c r="L70" s="1333">
        <f>J70</f>
        <v>0</v>
      </c>
      <c r="M70" s="1420">
        <f>+K71-L70</f>
        <v>0</v>
      </c>
    </row>
    <row r="71" spans="1:13">
      <c r="A71" s="660">
        <f t="shared" si="0"/>
        <v>52</v>
      </c>
      <c r="B71" s="679" t="s">
        <v>566</v>
      </c>
      <c r="C71" s="691">
        <f>+C70</f>
        <v>2029</v>
      </c>
      <c r="D71" s="692"/>
      <c r="E71" s="692">
        <v>0</v>
      </c>
      <c r="F71" s="683">
        <f>+D71*D$27+E71</f>
        <v>0</v>
      </c>
      <c r="G71" s="692"/>
      <c r="H71" s="692">
        <v>0</v>
      </c>
      <c r="I71" s="683">
        <f>+G71*G$27+H71</f>
        <v>0</v>
      </c>
      <c r="J71" s="1332">
        <f t="shared" si="1"/>
        <v>0</v>
      </c>
      <c r="K71" s="1419">
        <f>J71</f>
        <v>0</v>
      </c>
      <c r="L71" s="694"/>
      <c r="M71" s="1420"/>
    </row>
    <row r="72" spans="1:13">
      <c r="A72" s="660">
        <f t="shared" si="0"/>
        <v>53</v>
      </c>
      <c r="B72" s="695"/>
      <c r="C72" s="691">
        <f>+C70+1</f>
        <v>2030</v>
      </c>
      <c r="D72" s="696" t="s">
        <v>567</v>
      </c>
      <c r="E72" s="696" t="s">
        <v>567</v>
      </c>
      <c r="F72" s="683" t="s">
        <v>776</v>
      </c>
      <c r="G72" s="696"/>
      <c r="H72" s="696"/>
      <c r="I72" s="697"/>
      <c r="J72" s="693"/>
      <c r="K72" s="679"/>
      <c r="L72" s="1333"/>
      <c r="M72" s="1420"/>
    </row>
    <row r="73" spans="1:13" ht="13.5" thickBot="1">
      <c r="A73" s="660">
        <f t="shared" si="0"/>
        <v>54</v>
      </c>
      <c r="B73" s="698"/>
      <c r="C73" s="691">
        <f>+C72</f>
        <v>2030</v>
      </c>
      <c r="D73" s="699" t="s">
        <v>567</v>
      </c>
      <c r="E73" s="699" t="s">
        <v>568</v>
      </c>
      <c r="F73" s="700" t="s">
        <v>567</v>
      </c>
      <c r="G73" s="699"/>
      <c r="H73" s="699"/>
      <c r="I73" s="700"/>
      <c r="J73" s="701"/>
      <c r="K73" s="1421"/>
      <c r="L73" s="702"/>
      <c r="M73" s="1422"/>
    </row>
    <row r="74" spans="1:13">
      <c r="B74" s="703"/>
      <c r="C74" s="704"/>
      <c r="D74" s="703"/>
      <c r="E74" s="703"/>
      <c r="F74" s="705"/>
      <c r="G74" s="703"/>
      <c r="H74" s="703"/>
      <c r="I74" s="705"/>
      <c r="J74" s="703"/>
      <c r="K74" s="706"/>
      <c r="L74" s="706"/>
      <c r="M74"/>
    </row>
    <row r="75" spans="1:13" ht="42.75" customHeight="1">
      <c r="A75" s="1341" t="s">
        <v>419</v>
      </c>
      <c r="B75" s="2019" t="s">
        <v>24</v>
      </c>
      <c r="C75" s="2019"/>
      <c r="D75" s="2019"/>
      <c r="E75" s="2019"/>
      <c r="F75" s="2019"/>
      <c r="G75" s="2019"/>
      <c r="H75" s="2019"/>
      <c r="I75" s="2019"/>
      <c r="J75" s="2019"/>
      <c r="K75" s="2019"/>
      <c r="L75" s="2019"/>
      <c r="M75"/>
    </row>
    <row r="76" spans="1:13" ht="14.25">
      <c r="A76" s="660" t="s">
        <v>782</v>
      </c>
      <c r="B76" s="2018" t="s">
        <v>781</v>
      </c>
      <c r="C76" s="2018"/>
      <c r="D76" s="2018"/>
      <c r="E76" s="2018"/>
      <c r="F76" s="2018"/>
      <c r="G76" s="2018"/>
      <c r="H76" s="2018"/>
      <c r="I76" s="2018"/>
      <c r="J76" s="2018"/>
      <c r="K76" s="2018"/>
      <c r="L76" s="2018"/>
      <c r="M76"/>
    </row>
    <row r="77" spans="1:13">
      <c r="A77" t="s">
        <v>542</v>
      </c>
      <c r="B77" s="2016" t="s">
        <v>543</v>
      </c>
      <c r="C77" s="2016"/>
      <c r="D77" s="2016"/>
      <c r="E77" s="2016"/>
      <c r="F77" s="2016"/>
      <c r="G77" s="2016"/>
      <c r="H77" s="2016"/>
      <c r="I77" s="2016"/>
      <c r="J77" s="2016"/>
      <c r="K77" s="2016"/>
      <c r="L77" s="2016"/>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s="670"/>
      <c r="C306" s="707"/>
      <c r="D306" s="670"/>
      <c r="E306" s="670"/>
      <c r="F306" s="708"/>
      <c r="G306"/>
      <c r="H306"/>
      <c r="I306"/>
      <c r="J306"/>
      <c r="K306"/>
      <c r="L306"/>
      <c r="M306"/>
    </row>
    <row r="307" spans="1:13">
      <c r="A307"/>
      <c r="B307" s="670"/>
      <c r="C307" s="707"/>
      <c r="D307" s="670"/>
      <c r="E307" s="670"/>
      <c r="F307" s="708"/>
      <c r="G307"/>
      <c r="H307"/>
      <c r="I307"/>
      <c r="J307"/>
      <c r="K307"/>
      <c r="L307"/>
      <c r="M307"/>
    </row>
    <row r="308" spans="1:13">
      <c r="A308"/>
      <c r="B308" s="670"/>
      <c r="C308" s="707"/>
      <c r="D308" s="670"/>
      <c r="E308" s="670"/>
      <c r="F308" s="708"/>
      <c r="G308"/>
      <c r="H308"/>
      <c r="I308"/>
      <c r="J308"/>
      <c r="K308"/>
      <c r="L308"/>
      <c r="M308"/>
    </row>
    <row r="309" spans="1:13">
      <c r="A309"/>
      <c r="B309" s="670"/>
      <c r="C309" s="707"/>
      <c r="D309" s="670"/>
      <c r="E309" s="670"/>
      <c r="F309" s="708"/>
      <c r="G309"/>
      <c r="H309"/>
      <c r="I309"/>
      <c r="J309"/>
      <c r="K309"/>
      <c r="L309"/>
      <c r="M309"/>
    </row>
    <row r="310" spans="1:13">
      <c r="A310"/>
      <c r="B310" s="670"/>
      <c r="C310" s="707"/>
      <c r="D310" s="670"/>
      <c r="E310" s="670"/>
      <c r="F310" s="708"/>
      <c r="G310"/>
      <c r="H310"/>
      <c r="I310"/>
      <c r="J310"/>
      <c r="K310"/>
      <c r="L310"/>
      <c r="M310"/>
    </row>
    <row r="311" spans="1:13">
      <c r="A311"/>
      <c r="B311" s="670"/>
      <c r="C311" s="707"/>
      <c r="D311" s="670"/>
      <c r="E311" s="670"/>
      <c r="F311" s="708"/>
      <c r="G311"/>
      <c r="H311"/>
      <c r="I311"/>
      <c r="J311"/>
      <c r="K311"/>
      <c r="L311"/>
      <c r="M311"/>
    </row>
    <row r="312" spans="1:13">
      <c r="A312"/>
      <c r="B312" s="670"/>
      <c r="C312" s="707"/>
      <c r="D312" s="670"/>
      <c r="E312" s="670"/>
      <c r="F312" s="708"/>
      <c r="G312"/>
      <c r="H312"/>
      <c r="I312"/>
      <c r="J312"/>
      <c r="K312"/>
      <c r="L312"/>
      <c r="M312"/>
    </row>
    <row r="313" spans="1:13">
      <c r="A313"/>
      <c r="B313" s="670"/>
      <c r="C313" s="707"/>
      <c r="D313" s="670"/>
      <c r="E313" s="670"/>
      <c r="F313" s="708"/>
      <c r="G313"/>
      <c r="H313"/>
      <c r="I313"/>
      <c r="J313"/>
      <c r="K313"/>
      <c r="L313"/>
      <c r="M313"/>
    </row>
    <row r="314" spans="1:13">
      <c r="A314"/>
      <c r="B314" s="670"/>
      <c r="C314" s="707"/>
      <c r="D314" s="670"/>
      <c r="E314" s="670"/>
      <c r="F314" s="708"/>
      <c r="G314"/>
      <c r="H314"/>
      <c r="I314"/>
      <c r="J314"/>
      <c r="K314"/>
      <c r="L314"/>
      <c r="M314"/>
    </row>
  </sheetData>
  <mergeCells count="7">
    <mergeCell ref="B77:L77"/>
    <mergeCell ref="A1:L1"/>
    <mergeCell ref="A3:L3"/>
    <mergeCell ref="B76:L76"/>
    <mergeCell ref="B75:L75"/>
    <mergeCell ref="D21:F21"/>
    <mergeCell ref="G21:I21"/>
  </mergeCells>
  <phoneticPr fontId="73" type="noConversion"/>
  <pageMargins left="0.75" right="0.75" top="0.83" bottom="1" header="0.5" footer="0.5"/>
  <pageSetup scale="47" fitToHeight="2" orientation="landscape" r:id="rId1"/>
  <headerFooter alignWithMargins="0"/>
  <rowBreaks count="4" manualBreakCount="4">
    <brk id="142" max="7" man="1"/>
    <brk id="162" max="16383" man="1"/>
    <brk id="208" max="7" man="1"/>
    <brk id="2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4"/>
  <sheetViews>
    <sheetView view="pageBreakPreview" zoomScaleNormal="100" workbookViewId="0">
      <selection activeCell="B36" sqref="B36"/>
    </sheetView>
  </sheetViews>
  <sheetFormatPr defaultColWidth="9.140625" defaultRowHeight="12.75"/>
  <cols>
    <col min="1" max="1" width="14.7109375" style="418" customWidth="1"/>
    <col min="2" max="2" width="38.7109375" style="418" customWidth="1"/>
    <col min="3" max="3" width="13.42578125" style="418" customWidth="1"/>
    <col min="4" max="16384" width="9.140625" style="418"/>
  </cols>
  <sheetData>
    <row r="2" spans="1:5" ht="18">
      <c r="A2" s="2015" t="str">
        <f>+'7 - Cap Add WS'!A1:L1</f>
        <v xml:space="preserve">Puget Sound Energy </v>
      </c>
      <c r="B2" s="2015"/>
      <c r="C2" s="2015"/>
      <c r="D2" s="2015"/>
      <c r="E2" s="2015"/>
    </row>
    <row r="3" spans="1:5" ht="18">
      <c r="A3" s="2015" t="s">
        <v>448</v>
      </c>
      <c r="B3" s="2015"/>
      <c r="C3" s="2015"/>
      <c r="D3" s="2015"/>
      <c r="E3" s="2015"/>
    </row>
    <row r="7" spans="1:5">
      <c r="C7" s="660"/>
    </row>
    <row r="8" spans="1:5">
      <c r="A8" s="763" t="s">
        <v>449</v>
      </c>
      <c r="B8" s="764"/>
      <c r="C8" s="763" t="s">
        <v>458</v>
      </c>
    </row>
    <row r="10" spans="1:5">
      <c r="A10" s="764" t="s">
        <v>944</v>
      </c>
      <c r="C10" s="826"/>
      <c r="D10" s="765"/>
    </row>
    <row r="11" spans="1:5">
      <c r="A11" s="418" t="s">
        <v>193</v>
      </c>
      <c r="C11" s="826">
        <v>1.1000000000000001</v>
      </c>
      <c r="D11" s="765"/>
    </row>
    <row r="12" spans="1:5">
      <c r="A12" s="418" t="s">
        <v>194</v>
      </c>
      <c r="C12" s="826">
        <v>1.49</v>
      </c>
      <c r="D12" s="765"/>
    </row>
    <row r="13" spans="1:5">
      <c r="A13" s="418" t="s">
        <v>195</v>
      </c>
      <c r="C13" s="826">
        <v>2.35</v>
      </c>
      <c r="D13" s="765"/>
    </row>
    <row r="14" spans="1:5">
      <c r="A14" s="418" t="s">
        <v>196</v>
      </c>
      <c r="C14" s="826">
        <v>1.25</v>
      </c>
      <c r="D14" s="765"/>
    </row>
    <row r="15" spans="1:5">
      <c r="A15" s="418" t="s">
        <v>207</v>
      </c>
      <c r="C15" s="826">
        <v>3.27</v>
      </c>
      <c r="D15" s="765"/>
    </row>
    <row r="16" spans="1:5">
      <c r="A16" s="418" t="s">
        <v>197</v>
      </c>
      <c r="C16" s="826">
        <v>1.35</v>
      </c>
      <c r="D16" s="765"/>
    </row>
    <row r="17" spans="1:4">
      <c r="A17" s="418" t="s">
        <v>198</v>
      </c>
      <c r="C17" s="826">
        <v>1.51</v>
      </c>
      <c r="D17" s="765"/>
    </row>
    <row r="18" spans="1:4">
      <c r="A18" s="418" t="s">
        <v>199</v>
      </c>
      <c r="C18" s="826">
        <v>1.48</v>
      </c>
      <c r="D18" s="765"/>
    </row>
    <row r="19" spans="1:4">
      <c r="C19" s="666"/>
    </row>
    <row r="20" spans="1:4">
      <c r="C20" s="825"/>
    </row>
    <row r="21" spans="1:4">
      <c r="A21" s="764" t="s">
        <v>450</v>
      </c>
      <c r="C21" s="666"/>
    </row>
    <row r="22" spans="1:4">
      <c r="A22" s="766" t="s">
        <v>451</v>
      </c>
      <c r="C22" s="825">
        <v>1.43</v>
      </c>
    </row>
    <row r="23" spans="1:4">
      <c r="A23" s="766" t="s">
        <v>452</v>
      </c>
      <c r="C23" s="825">
        <v>5</v>
      </c>
    </row>
    <row r="24" spans="1:4">
      <c r="A24" s="766" t="s">
        <v>453</v>
      </c>
      <c r="C24" s="825">
        <v>20</v>
      </c>
    </row>
    <row r="25" spans="1:4">
      <c r="A25" s="766" t="s">
        <v>200</v>
      </c>
      <c r="C25" s="825">
        <v>5.25</v>
      </c>
    </row>
    <row r="26" spans="1:4">
      <c r="A26" s="766" t="s">
        <v>201</v>
      </c>
      <c r="C26" s="825">
        <v>5</v>
      </c>
    </row>
    <row r="27" spans="1:4">
      <c r="A27" s="766" t="s">
        <v>454</v>
      </c>
      <c r="C27" s="825">
        <v>5</v>
      </c>
    </row>
    <row r="28" spans="1:4">
      <c r="A28" s="766" t="s">
        <v>202</v>
      </c>
      <c r="C28" s="825">
        <v>6.58</v>
      </c>
    </row>
    <row r="29" spans="1:4">
      <c r="A29" s="766" t="s">
        <v>455</v>
      </c>
      <c r="C29" s="825">
        <v>5</v>
      </c>
    </row>
    <row r="30" spans="1:4">
      <c r="A30" s="766" t="s">
        <v>456</v>
      </c>
      <c r="C30" s="825">
        <v>6.67</v>
      </c>
    </row>
    <row r="31" spans="1:4">
      <c r="A31" s="766" t="s">
        <v>457</v>
      </c>
      <c r="C31" s="825">
        <v>6.67</v>
      </c>
    </row>
    <row r="34" spans="8:8">
      <c r="H34" s="767"/>
    </row>
  </sheetData>
  <mergeCells count="2">
    <mergeCell ref="A2:E2"/>
    <mergeCell ref="A3:E3"/>
  </mergeCells>
  <phoneticPr fontId="73"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P250"/>
  <sheetViews>
    <sheetView topLeftCell="A13" zoomScale="85" zoomScaleNormal="85" zoomScaleSheetLayoutView="75" workbookViewId="0">
      <selection activeCell="B22" sqref="B22"/>
    </sheetView>
  </sheetViews>
  <sheetFormatPr defaultColWidth="9.140625" defaultRowHeight="11.25"/>
  <cols>
    <col min="1" max="1" width="44.140625" style="446" customWidth="1"/>
    <col min="2" max="2" width="12" style="446" customWidth="1"/>
    <col min="3" max="3" width="12.85546875" style="446" bestFit="1" customWidth="1"/>
    <col min="4" max="4" width="12.140625" style="446" bestFit="1" customWidth="1"/>
    <col min="5" max="5" width="12" style="446" customWidth="1"/>
    <col min="6" max="6" width="12.5703125" style="446" customWidth="1"/>
    <col min="7" max="7" width="12.140625" style="446" customWidth="1"/>
    <col min="8" max="8" width="12.42578125" style="446" customWidth="1"/>
    <col min="9" max="9" width="13.7109375" style="446" bestFit="1" customWidth="1"/>
    <col min="10" max="10" width="11.140625" style="446" customWidth="1"/>
    <col min="11" max="11" width="14.140625" style="446" customWidth="1"/>
    <col min="12" max="12" width="11.5703125" style="446" customWidth="1"/>
    <col min="13" max="16384" width="9.140625" style="446"/>
  </cols>
  <sheetData>
    <row r="1" spans="1:12" ht="16.5" thickBot="1">
      <c r="A1" s="76" t="s">
        <v>545</v>
      </c>
    </row>
    <row r="2" spans="1:12">
      <c r="B2" s="1513"/>
      <c r="C2" s="461"/>
      <c r="D2" s="1114" t="s">
        <v>976</v>
      </c>
      <c r="E2" s="1108" t="s">
        <v>437</v>
      </c>
      <c r="F2" s="1114" t="s">
        <v>438</v>
      </c>
    </row>
    <row r="3" spans="1:12">
      <c r="C3" s="534" t="s">
        <v>994</v>
      </c>
      <c r="D3" s="1110">
        <f>'ATT H-1 '!J26</f>
        <v>0.19124376459286946</v>
      </c>
      <c r="E3" s="1107">
        <f>'ATT H-1 '!K26</f>
        <v>3.8174080860296101E-3</v>
      </c>
      <c r="F3" s="1110">
        <f>'ATT H-1 '!L26</f>
        <v>7.0706800340726468E-3</v>
      </c>
    </row>
    <row r="4" spans="1:12" ht="12" thickBot="1">
      <c r="A4" s="446" t="s">
        <v>660</v>
      </c>
      <c r="C4" s="1109" t="s">
        <v>426</v>
      </c>
      <c r="D4" s="1651">
        <f>'ATT H-1 '!J13</f>
        <v>0.10801595633021691</v>
      </c>
      <c r="E4" s="1652">
        <f>'ATT H-1 '!K13</f>
        <v>0</v>
      </c>
      <c r="F4" s="1651">
        <f>'ATT H-1 '!L13</f>
        <v>0</v>
      </c>
    </row>
    <row r="5" spans="1:12" ht="12" thickBot="1">
      <c r="A5" s="461" t="s">
        <v>845</v>
      </c>
      <c r="B5" s="463" t="s">
        <v>136</v>
      </c>
      <c r="D5" s="1111"/>
      <c r="F5" s="1111"/>
      <c r="H5" s="461" t="s">
        <v>464</v>
      </c>
      <c r="I5" s="462"/>
      <c r="J5" s="462"/>
      <c r="K5" s="462"/>
      <c r="L5" s="463"/>
    </row>
    <row r="6" spans="1:12" ht="12" thickBot="1">
      <c r="A6" s="1653" t="s">
        <v>292</v>
      </c>
      <c r="B6" s="1654">
        <v>7359409</v>
      </c>
      <c r="C6" s="1655"/>
      <c r="D6" s="1112">
        <f>B6*L10</f>
        <v>4079041.6928256615</v>
      </c>
      <c r="E6" s="1656">
        <v>0</v>
      </c>
      <c r="F6" s="1657">
        <v>0</v>
      </c>
      <c r="H6" s="336"/>
      <c r="I6" s="415"/>
      <c r="J6" s="415"/>
      <c r="K6" s="415" t="s">
        <v>410</v>
      </c>
      <c r="L6" s="338"/>
    </row>
    <row r="7" spans="1:12" ht="12" thickBot="1">
      <c r="A7" s="336" t="s">
        <v>293</v>
      </c>
      <c r="B7" s="535">
        <v>4124965</v>
      </c>
      <c r="D7" s="1113"/>
      <c r="E7" s="1513"/>
      <c r="F7" s="1113"/>
      <c r="H7" s="1115" t="s">
        <v>474</v>
      </c>
      <c r="I7" s="415"/>
      <c r="J7" s="415"/>
      <c r="K7" s="415"/>
      <c r="L7" s="338"/>
    </row>
    <row r="8" spans="1:12" ht="12" thickBot="1">
      <c r="A8" s="1653" t="s">
        <v>590</v>
      </c>
      <c r="B8" s="1654">
        <v>84948</v>
      </c>
      <c r="C8" s="1655"/>
      <c r="D8" s="1658">
        <f>$B$8*D3</f>
        <v>16245.775314635075</v>
      </c>
      <c r="E8" s="1659">
        <f>$B$8*E3</f>
        <v>324.28118209204331</v>
      </c>
      <c r="F8" s="1658">
        <f>$B$8*F3</f>
        <v>600.64012753440318</v>
      </c>
      <c r="H8" s="336" t="s">
        <v>797</v>
      </c>
      <c r="I8" s="415"/>
      <c r="J8" s="415"/>
      <c r="K8" s="464">
        <v>92261166</v>
      </c>
      <c r="L8" s="465"/>
    </row>
    <row r="9" spans="1:12" ht="12" thickBot="1">
      <c r="A9" s="1653" t="s">
        <v>591</v>
      </c>
      <c r="B9" s="1654">
        <v>5123446</v>
      </c>
      <c r="C9" s="1655"/>
      <c r="D9" s="1658">
        <f>$B$9*D3</f>
        <v>979827.10072827863</v>
      </c>
      <c r="E9" s="1659">
        <f>$B$9*E3</f>
        <v>19558.284188736063</v>
      </c>
      <c r="F9" s="1658">
        <f>$B$9*F3</f>
        <v>36226.247337849367</v>
      </c>
      <c r="H9" s="534" t="s">
        <v>1327</v>
      </c>
      <c r="I9" s="415"/>
      <c r="J9" s="415"/>
      <c r="K9" s="464">
        <v>585546013</v>
      </c>
      <c r="L9" s="465"/>
    </row>
    <row r="10" spans="1:12">
      <c r="A10" s="336" t="s">
        <v>592</v>
      </c>
      <c r="B10" s="535">
        <v>298038</v>
      </c>
      <c r="D10" s="1111"/>
      <c r="F10" s="1111"/>
      <c r="H10" s="336"/>
      <c r="I10" s="415"/>
      <c r="J10" s="415"/>
      <c r="K10" s="466">
        <f>SUM(K8:K9)</f>
        <v>677807179</v>
      </c>
      <c r="L10" s="473">
        <f>K10/K15</f>
        <v>0.55426212795425034</v>
      </c>
    </row>
    <row r="11" spans="1:12">
      <c r="A11" s="534" t="s">
        <v>1350</v>
      </c>
      <c r="B11" s="535">
        <v>52</v>
      </c>
      <c r="D11" s="1892"/>
      <c r="E11" s="415"/>
      <c r="F11" s="415"/>
      <c r="H11" s="336"/>
      <c r="I11" s="415"/>
      <c r="J11" s="415"/>
      <c r="K11" s="415"/>
      <c r="L11" s="338"/>
    </row>
    <row r="12" spans="1:12">
      <c r="A12" s="534"/>
      <c r="B12" s="535"/>
      <c r="D12" s="1892"/>
      <c r="E12" s="415"/>
      <c r="F12" s="415"/>
      <c r="H12" s="1115" t="s">
        <v>977</v>
      </c>
      <c r="I12" s="415"/>
      <c r="J12" s="415"/>
      <c r="K12" s="464"/>
      <c r="L12" s="338"/>
    </row>
    <row r="13" spans="1:12">
      <c r="A13" s="336"/>
      <c r="B13" s="1828"/>
      <c r="D13" s="1892"/>
      <c r="E13" s="415"/>
      <c r="F13" s="415"/>
      <c r="H13" s="336" t="s">
        <v>798</v>
      </c>
      <c r="I13" s="415"/>
      <c r="J13" s="415"/>
      <c r="K13" s="464">
        <v>545092862</v>
      </c>
      <c r="L13" s="473">
        <f>K13/K15</f>
        <v>0.44573787204574966</v>
      </c>
    </row>
    <row r="14" spans="1:12">
      <c r="A14" s="336" t="s">
        <v>851</v>
      </c>
      <c r="B14" s="539">
        <f>SUM(B6:B13)</f>
        <v>16990858</v>
      </c>
      <c r="C14" s="475"/>
      <c r="D14" s="1893"/>
      <c r="E14" s="1893"/>
      <c r="F14" s="415"/>
      <c r="H14" s="336"/>
      <c r="I14" s="415"/>
      <c r="J14" s="415"/>
      <c r="K14" s="415"/>
      <c r="L14" s="338"/>
    </row>
    <row r="15" spans="1:12">
      <c r="A15" s="336" t="s">
        <v>157</v>
      </c>
      <c r="B15" s="535">
        <v>16990858</v>
      </c>
      <c r="D15" s="1892"/>
      <c r="E15" s="415"/>
      <c r="F15" s="415"/>
      <c r="H15" s="469" t="s">
        <v>94</v>
      </c>
      <c r="I15" s="470"/>
      <c r="J15" s="470"/>
      <c r="K15" s="471">
        <f>+K10+K13</f>
        <v>1222900041</v>
      </c>
      <c r="L15" s="472">
        <f>+K15/K15</f>
        <v>1</v>
      </c>
    </row>
    <row r="16" spans="1:12" ht="12" thickBot="1">
      <c r="A16" s="476" t="s">
        <v>294</v>
      </c>
      <c r="B16" s="540">
        <f>B14-B15</f>
        <v>0</v>
      </c>
      <c r="D16" s="415"/>
      <c r="E16" s="415"/>
      <c r="F16" s="415"/>
      <c r="H16" s="467"/>
      <c r="I16" s="451"/>
      <c r="J16" s="451"/>
      <c r="K16" s="451"/>
      <c r="L16" s="468"/>
    </row>
    <row r="17" spans="1:16">
      <c r="B17" s="1660"/>
      <c r="D17" s="415"/>
      <c r="E17" s="415"/>
      <c r="F17" s="415"/>
      <c r="H17" s="469" t="s">
        <v>95</v>
      </c>
      <c r="I17" s="470"/>
      <c r="J17" s="470"/>
      <c r="K17" s="471">
        <f>+K10</f>
        <v>677807179</v>
      </c>
      <c r="L17" s="474">
        <f>+K17/K15</f>
        <v>0.55426212795425034</v>
      </c>
    </row>
    <row r="18" spans="1:16" ht="12" thickBot="1">
      <c r="A18" s="446" t="s">
        <v>846</v>
      </c>
      <c r="C18" s="415"/>
      <c r="D18" s="1894"/>
      <c r="E18" s="415"/>
      <c r="F18" s="415"/>
      <c r="H18" s="336"/>
      <c r="I18" s="415"/>
      <c r="J18" s="415"/>
      <c r="K18" s="415"/>
      <c r="L18" s="338"/>
    </row>
    <row r="19" spans="1:16">
      <c r="A19" s="461" t="s">
        <v>845</v>
      </c>
      <c r="B19" s="463" t="s">
        <v>136</v>
      </c>
      <c r="C19" s="533"/>
      <c r="D19" s="533"/>
      <c r="E19" s="415"/>
      <c r="F19" s="415"/>
      <c r="H19" s="336"/>
      <c r="I19" s="415"/>
      <c r="J19" s="415"/>
      <c r="K19" s="415"/>
      <c r="L19" s="338"/>
    </row>
    <row r="20" spans="1:16" ht="12" thickBot="1">
      <c r="A20" s="534" t="s">
        <v>1146</v>
      </c>
      <c r="B20" s="535">
        <v>6197283</v>
      </c>
      <c r="C20" s="415"/>
      <c r="D20" s="645"/>
      <c r="E20" s="645"/>
      <c r="F20" s="645"/>
      <c r="G20" s="645"/>
      <c r="H20" s="476"/>
      <c r="I20" s="477"/>
      <c r="J20" s="477"/>
      <c r="K20" s="477"/>
      <c r="L20" s="478"/>
    </row>
    <row r="21" spans="1:16">
      <c r="A21" s="534" t="s">
        <v>1216</v>
      </c>
      <c r="B21" s="535">
        <v>424364</v>
      </c>
      <c r="C21" s="415"/>
      <c r="D21" s="645"/>
      <c r="E21" s="645"/>
      <c r="F21" s="645"/>
      <c r="G21" s="645"/>
      <c r="H21" s="415"/>
      <c r="I21" s="415"/>
      <c r="J21" s="415"/>
      <c r="K21" s="415"/>
      <c r="L21" s="415"/>
    </row>
    <row r="22" spans="1:16">
      <c r="A22" s="534" t="s">
        <v>577</v>
      </c>
      <c r="B22" s="535">
        <v>-943721</v>
      </c>
      <c r="C22" s="415"/>
      <c r="D22" s="645"/>
      <c r="E22" s="645"/>
      <c r="F22" s="645"/>
      <c r="G22" s="645"/>
      <c r="H22" s="415"/>
      <c r="I22" s="415"/>
      <c r="J22" s="415"/>
      <c r="K22" s="415"/>
      <c r="L22" s="415"/>
    </row>
    <row r="23" spans="1:16">
      <c r="A23" s="534" t="s">
        <v>578</v>
      </c>
      <c r="B23" s="535">
        <v>247239835</v>
      </c>
      <c r="C23" s="415"/>
      <c r="D23" s="645"/>
      <c r="E23" s="645"/>
      <c r="F23" s="645"/>
      <c r="G23" s="645"/>
      <c r="H23" s="415"/>
      <c r="I23" s="415"/>
      <c r="J23" s="415"/>
      <c r="K23" s="415"/>
      <c r="L23" s="415"/>
    </row>
    <row r="24" spans="1:16">
      <c r="A24" s="534" t="s">
        <v>579</v>
      </c>
      <c r="B24" s="535">
        <v>-199693314</v>
      </c>
      <c r="C24" s="415"/>
      <c r="D24" s="645"/>
      <c r="E24" s="645"/>
      <c r="F24" s="645"/>
      <c r="G24" s="645"/>
      <c r="H24" s="415"/>
      <c r="I24" s="415"/>
      <c r="J24" s="415"/>
      <c r="K24" s="415"/>
      <c r="L24" s="415"/>
    </row>
    <row r="25" spans="1:16">
      <c r="A25" s="534" t="s">
        <v>1351</v>
      </c>
      <c r="B25" s="535">
        <v>-2457874</v>
      </c>
      <c r="C25" s="415"/>
      <c r="D25" s="645"/>
      <c r="E25" s="645"/>
      <c r="F25" s="645"/>
      <c r="G25" s="645"/>
      <c r="H25" s="415"/>
      <c r="I25" s="415"/>
      <c r="J25" s="415"/>
      <c r="K25" s="415"/>
      <c r="L25" s="415"/>
    </row>
    <row r="26" spans="1:16">
      <c r="A26" s="534" t="s">
        <v>580</v>
      </c>
      <c r="B26" s="535">
        <v>636700</v>
      </c>
      <c r="C26" s="415"/>
      <c r="D26" s="645"/>
      <c r="E26" s="645"/>
      <c r="F26" s="645"/>
      <c r="G26" s="645"/>
      <c r="H26" s="415"/>
      <c r="I26" s="415"/>
      <c r="J26" s="415"/>
      <c r="K26" s="415"/>
      <c r="L26" s="415"/>
      <c r="N26" s="1513"/>
      <c r="O26" s="1513"/>
      <c r="P26" s="1513"/>
    </row>
    <row r="27" spans="1:16">
      <c r="A27" s="534" t="s">
        <v>1217</v>
      </c>
      <c r="B27" s="535">
        <v>-17591596</v>
      </c>
      <c r="C27" s="415"/>
      <c r="D27" s="645"/>
      <c r="E27" s="645"/>
      <c r="F27" s="645"/>
      <c r="G27" s="645"/>
      <c r="H27" s="415"/>
      <c r="I27" s="415"/>
      <c r="J27" s="415"/>
      <c r="K27" s="415"/>
      <c r="L27" s="415"/>
    </row>
    <row r="28" spans="1:16">
      <c r="A28" s="534" t="s">
        <v>1218</v>
      </c>
      <c r="B28" s="535">
        <v>-2510</v>
      </c>
      <c r="D28" s="645"/>
      <c r="E28" s="1724"/>
      <c r="F28" s="645"/>
      <c r="G28" s="645"/>
      <c r="H28" s="415"/>
      <c r="I28" s="415"/>
      <c r="J28" s="415"/>
      <c r="K28" s="415"/>
      <c r="L28" s="415"/>
    </row>
    <row r="29" spans="1:16">
      <c r="B29" s="535"/>
      <c r="C29" s="415"/>
      <c r="D29" s="645"/>
      <c r="E29" s="645"/>
      <c r="F29" s="645"/>
      <c r="G29" s="645"/>
      <c r="H29" s="415"/>
      <c r="I29" s="415"/>
      <c r="J29" s="415"/>
      <c r="K29" s="415"/>
      <c r="L29" s="415"/>
    </row>
    <row r="30" spans="1:16">
      <c r="A30" s="534"/>
      <c r="B30" s="535"/>
      <c r="C30" s="415"/>
      <c r="D30" s="645"/>
      <c r="E30" s="645"/>
      <c r="F30" s="645"/>
      <c r="G30" s="645"/>
      <c r="H30" s="415"/>
      <c r="I30" s="415"/>
      <c r="J30" s="415"/>
      <c r="K30" s="415"/>
      <c r="L30" s="415"/>
    </row>
    <row r="31" spans="1:16">
      <c r="A31" s="534"/>
      <c r="B31" s="535"/>
      <c r="C31" s="415"/>
      <c r="D31" s="645"/>
      <c r="E31" s="645"/>
      <c r="F31" s="645"/>
      <c r="G31" s="645"/>
      <c r="H31" s="415"/>
      <c r="I31" s="415"/>
      <c r="J31" s="415"/>
      <c r="K31" s="415"/>
      <c r="L31" s="415"/>
    </row>
    <row r="32" spans="1:16">
      <c r="A32" s="534"/>
      <c r="B32" s="535"/>
      <c r="C32" s="415"/>
      <c r="D32" s="645"/>
      <c r="E32" s="645"/>
      <c r="F32" s="645"/>
      <c r="G32" s="645"/>
      <c r="H32" s="415"/>
      <c r="I32" s="415"/>
      <c r="J32" s="415"/>
      <c r="K32" s="415"/>
      <c r="L32" s="415"/>
    </row>
    <row r="33" spans="1:13">
      <c r="A33" s="336" t="s">
        <v>851</v>
      </c>
      <c r="B33" s="536">
        <f>SUM(B20:B32)</f>
        <v>33809167</v>
      </c>
      <c r="C33" s="337"/>
      <c r="D33" s="337"/>
      <c r="E33" s="415"/>
    </row>
    <row r="34" spans="1:13">
      <c r="A34" s="336" t="s">
        <v>158</v>
      </c>
      <c r="B34" s="535">
        <v>33809167</v>
      </c>
      <c r="C34" s="415"/>
      <c r="D34" s="415"/>
      <c r="E34" s="415"/>
    </row>
    <row r="35" spans="1:13" ht="12" thickBot="1">
      <c r="A35" s="476" t="s">
        <v>294</v>
      </c>
      <c r="B35" s="537">
        <f>B33-B34</f>
        <v>0</v>
      </c>
      <c r="C35" s="415"/>
      <c r="D35" s="415"/>
    </row>
    <row r="36" spans="1:13">
      <c r="H36" s="415"/>
      <c r="I36" s="415"/>
      <c r="J36" s="415"/>
      <c r="K36" s="415"/>
      <c r="L36" s="415"/>
    </row>
    <row r="37" spans="1:13" ht="12" thickBot="1">
      <c r="A37" s="446" t="s">
        <v>847</v>
      </c>
      <c r="H37" s="415"/>
      <c r="I37" s="415"/>
      <c r="J37" s="415"/>
      <c r="K37" s="415"/>
      <c r="L37" s="415"/>
    </row>
    <row r="38" spans="1:13" ht="22.5">
      <c r="A38" s="1505" t="s">
        <v>159</v>
      </c>
      <c r="B38" s="1711" t="s">
        <v>299</v>
      </c>
      <c r="C38" s="1506" t="s">
        <v>848</v>
      </c>
      <c r="D38" s="1506" t="s">
        <v>297</v>
      </c>
      <c r="E38" s="1506" t="s">
        <v>296</v>
      </c>
      <c r="F38" s="1506" t="s">
        <v>295</v>
      </c>
      <c r="G38" s="1507"/>
      <c r="H38" s="1508"/>
      <c r="I38" s="1508"/>
      <c r="J38" s="1508"/>
      <c r="K38" s="1509" t="s">
        <v>298</v>
      </c>
      <c r="L38" s="1513"/>
    </row>
    <row r="39" spans="1:13" ht="12.75">
      <c r="A39" s="1895" t="s">
        <v>148</v>
      </c>
      <c r="B39" s="1895" t="s">
        <v>289</v>
      </c>
      <c r="C39" s="1895"/>
      <c r="D39" s="1896"/>
      <c r="E39" s="1897">
        <v>600</v>
      </c>
      <c r="F39" s="1748">
        <v>600</v>
      </c>
      <c r="G39" s="1718"/>
      <c r="H39" s="1720"/>
      <c r="I39" s="1720"/>
      <c r="J39" s="1720"/>
      <c r="K39" s="1715"/>
      <c r="L39" s="2"/>
      <c r="M39"/>
    </row>
    <row r="40" spans="1:13" ht="12.75">
      <c r="A40" s="1895" t="s">
        <v>148</v>
      </c>
      <c r="B40" s="1895" t="s">
        <v>287</v>
      </c>
      <c r="C40" s="1897">
        <v>9615</v>
      </c>
      <c r="D40" s="1896"/>
      <c r="E40" s="1897">
        <v>600</v>
      </c>
      <c r="F40" s="1748">
        <v>10215</v>
      </c>
      <c r="G40" s="1718"/>
      <c r="H40" s="1716"/>
      <c r="I40" s="1716"/>
      <c r="J40" s="1716"/>
      <c r="K40" s="1719"/>
      <c r="L40" s="2"/>
      <c r="M40"/>
    </row>
    <row r="41" spans="1:13" ht="12.75">
      <c r="A41" s="1895" t="s">
        <v>148</v>
      </c>
      <c r="B41" s="1895" t="s">
        <v>287</v>
      </c>
      <c r="C41" s="1897">
        <v>1554</v>
      </c>
      <c r="D41" s="1896"/>
      <c r="E41" s="1897">
        <v>600</v>
      </c>
      <c r="F41" s="1748">
        <v>2154</v>
      </c>
      <c r="G41" s="1718"/>
      <c r="H41" s="1720"/>
      <c r="I41" s="1720"/>
      <c r="J41" s="1720"/>
      <c r="K41" s="1715"/>
      <c r="L41" s="2"/>
      <c r="M41"/>
    </row>
    <row r="42" spans="1:13" ht="12.75">
      <c r="A42" s="1895" t="s">
        <v>149</v>
      </c>
      <c r="B42" s="1895" t="s">
        <v>289</v>
      </c>
      <c r="C42" s="1895"/>
      <c r="D42" s="1896"/>
      <c r="E42" s="1897">
        <v>4195</v>
      </c>
      <c r="F42" s="1748">
        <v>4195</v>
      </c>
      <c r="G42" s="1718"/>
      <c r="H42" s="1716"/>
      <c r="I42" s="1716"/>
      <c r="J42" s="1716"/>
      <c r="K42" s="1719"/>
      <c r="L42" s="2"/>
      <c r="M42"/>
    </row>
    <row r="43" spans="1:13" ht="12.75">
      <c r="A43" s="1747" t="s">
        <v>522</v>
      </c>
      <c r="B43" s="1747" t="s">
        <v>522</v>
      </c>
      <c r="C43" s="1748"/>
      <c r="D43" s="1748"/>
      <c r="E43" s="1748"/>
      <c r="F43" s="1748">
        <v>0</v>
      </c>
      <c r="G43" s="1718"/>
      <c r="H43" s="1716"/>
      <c r="I43" s="1716"/>
      <c r="J43" s="1716"/>
      <c r="K43" s="1715"/>
      <c r="L43" s="2"/>
      <c r="M43"/>
    </row>
    <row r="44" spans="1:13" ht="12.75">
      <c r="A44" s="1747" t="s">
        <v>523</v>
      </c>
      <c r="B44" s="1747" t="s">
        <v>285</v>
      </c>
      <c r="C44" s="1897">
        <v>302524</v>
      </c>
      <c r="D44" s="1896"/>
      <c r="E44" s="1897">
        <v>389691</v>
      </c>
      <c r="F44" s="1748">
        <v>692215</v>
      </c>
      <c r="G44" s="1718"/>
      <c r="H44" s="1716"/>
      <c r="I44" s="1716"/>
      <c r="J44" s="1716"/>
      <c r="K44" s="1719"/>
      <c r="L44" s="2"/>
      <c r="M44"/>
    </row>
    <row r="45" spans="1:13" ht="12.75">
      <c r="A45" s="1747" t="s">
        <v>523</v>
      </c>
      <c r="B45" s="1747" t="s">
        <v>285</v>
      </c>
      <c r="C45" s="1897">
        <v>109036</v>
      </c>
      <c r="D45" s="1896"/>
      <c r="E45" s="1897">
        <v>313294</v>
      </c>
      <c r="F45" s="1748">
        <v>422330</v>
      </c>
      <c r="G45" s="1718"/>
      <c r="H45" s="1720"/>
      <c r="I45" s="1720"/>
      <c r="J45" s="1720"/>
      <c r="K45" s="1719"/>
      <c r="L45" s="2"/>
      <c r="M45"/>
    </row>
    <row r="46" spans="1:13" ht="12.75">
      <c r="A46" s="1747" t="s">
        <v>523</v>
      </c>
      <c r="B46" s="1747" t="s">
        <v>285</v>
      </c>
      <c r="C46" s="1897">
        <v>104980</v>
      </c>
      <c r="D46" s="1896"/>
      <c r="E46" s="1897">
        <v>123703</v>
      </c>
      <c r="F46" s="1748">
        <v>228683</v>
      </c>
      <c r="G46" s="1718"/>
      <c r="H46" s="1720"/>
      <c r="I46" s="1720"/>
      <c r="J46" s="1720"/>
      <c r="K46" s="1717"/>
      <c r="L46" s="2"/>
      <c r="M46"/>
    </row>
    <row r="47" spans="1:13" ht="12.75">
      <c r="A47" s="1747" t="s">
        <v>523</v>
      </c>
      <c r="B47" s="1747" t="s">
        <v>285</v>
      </c>
      <c r="C47" s="1897">
        <v>815295</v>
      </c>
      <c r="D47" s="1896"/>
      <c r="E47" s="1897">
        <v>671194</v>
      </c>
      <c r="F47" s="1748">
        <v>1486489</v>
      </c>
      <c r="G47" s="1718"/>
      <c r="H47" s="1716"/>
      <c r="I47" s="1716"/>
      <c r="J47" s="1716"/>
      <c r="K47" s="1719"/>
      <c r="L47" s="2"/>
      <c r="M47"/>
    </row>
    <row r="48" spans="1:13" ht="12.75">
      <c r="A48" s="1747" t="s">
        <v>523</v>
      </c>
      <c r="B48" s="1747" t="s">
        <v>285</v>
      </c>
      <c r="C48" s="1896">
        <v>93389</v>
      </c>
      <c r="D48" s="1896"/>
      <c r="E48" s="1896">
        <v>84105</v>
      </c>
      <c r="F48" s="1748">
        <v>177494</v>
      </c>
      <c r="G48" s="1718"/>
      <c r="H48" s="1716"/>
      <c r="I48" s="1716"/>
      <c r="J48" s="1716"/>
      <c r="K48" s="1719"/>
      <c r="L48" s="2"/>
      <c r="M48"/>
    </row>
    <row r="49" spans="1:13" ht="12.75">
      <c r="A49" s="1747" t="s">
        <v>523</v>
      </c>
      <c r="B49" s="1747" t="s">
        <v>285</v>
      </c>
      <c r="C49" s="1897">
        <v>68492</v>
      </c>
      <c r="D49" s="1895"/>
      <c r="E49" s="1897">
        <v>92298</v>
      </c>
      <c r="F49" s="1748">
        <v>160790</v>
      </c>
      <c r="G49" s="1718"/>
      <c r="H49" s="1716"/>
      <c r="I49" s="1716"/>
      <c r="J49" s="1716"/>
      <c r="K49" s="1719"/>
      <c r="L49" s="2"/>
      <c r="M49"/>
    </row>
    <row r="50" spans="1:13" ht="12.75">
      <c r="A50" s="1747" t="s">
        <v>523</v>
      </c>
      <c r="B50" s="1747" t="s">
        <v>285</v>
      </c>
      <c r="C50" s="1897">
        <v>373912</v>
      </c>
      <c r="D50" s="1895"/>
      <c r="E50" s="1897">
        <v>240569</v>
      </c>
      <c r="F50" s="1748">
        <v>614481</v>
      </c>
      <c r="G50" s="1718"/>
      <c r="H50" s="1716"/>
      <c r="I50" s="1716"/>
      <c r="J50" s="1716"/>
      <c r="K50" s="1719"/>
      <c r="L50" s="2"/>
      <c r="M50"/>
    </row>
    <row r="51" spans="1:13" ht="12.75">
      <c r="A51" s="1747" t="s">
        <v>523</v>
      </c>
      <c r="B51" s="1747" t="s">
        <v>285</v>
      </c>
      <c r="C51" s="1897">
        <v>410555</v>
      </c>
      <c r="D51" s="1895"/>
      <c r="E51" s="1897">
        <v>539460</v>
      </c>
      <c r="F51" s="1748">
        <v>950015</v>
      </c>
      <c r="G51" s="1718"/>
      <c r="H51" s="1716"/>
      <c r="I51" s="1716"/>
      <c r="J51" s="1716"/>
      <c r="K51" s="1719"/>
      <c r="L51" s="2"/>
      <c r="M51"/>
    </row>
    <row r="52" spans="1:13" ht="12.75">
      <c r="A52" s="1747" t="s">
        <v>523</v>
      </c>
      <c r="B52" s="1747" t="s">
        <v>285</v>
      </c>
      <c r="C52" s="1897">
        <v>6716</v>
      </c>
      <c r="D52" s="1895"/>
      <c r="E52" s="1897">
        <v>8627</v>
      </c>
      <c r="F52" s="1748">
        <v>15343</v>
      </c>
      <c r="G52" s="1718"/>
      <c r="H52" s="1716"/>
      <c r="I52" s="1716"/>
      <c r="J52" s="1716"/>
      <c r="K52" s="1719"/>
      <c r="L52" s="2"/>
      <c r="M52"/>
    </row>
    <row r="53" spans="1:13" ht="12.75">
      <c r="A53" s="1747" t="s">
        <v>522</v>
      </c>
      <c r="B53" s="1747" t="s">
        <v>522</v>
      </c>
      <c r="C53" s="1748"/>
      <c r="D53" s="1748"/>
      <c r="E53" s="1748"/>
      <c r="F53" s="1748"/>
      <c r="G53" s="1718"/>
      <c r="H53" s="1720"/>
      <c r="I53" s="1720"/>
      <c r="J53" s="1720"/>
      <c r="K53" s="1719"/>
      <c r="L53" s="2"/>
      <c r="M53" s="2"/>
    </row>
    <row r="54" spans="1:13" ht="12.75">
      <c r="A54" s="1747" t="s">
        <v>525</v>
      </c>
      <c r="B54" s="1747" t="s">
        <v>286</v>
      </c>
      <c r="C54" s="1897">
        <v>889400</v>
      </c>
      <c r="D54" s="1895"/>
      <c r="E54" s="1897">
        <v>932144</v>
      </c>
      <c r="F54" s="1748">
        <v>1821544</v>
      </c>
      <c r="G54" s="1718"/>
      <c r="H54" s="1716"/>
      <c r="I54" s="1716"/>
      <c r="J54" s="1716"/>
      <c r="K54" s="1719"/>
      <c r="L54" s="1747"/>
      <c r="M54" s="2"/>
    </row>
    <row r="55" spans="1:13" ht="12.75">
      <c r="A55" s="1747" t="s">
        <v>525</v>
      </c>
      <c r="B55" s="1747" t="s">
        <v>286</v>
      </c>
      <c r="C55" s="1897">
        <v>2054459</v>
      </c>
      <c r="D55" s="1895"/>
      <c r="E55" s="1897">
        <v>2613274</v>
      </c>
      <c r="F55" s="1748">
        <v>4667733</v>
      </c>
      <c r="G55" s="1718"/>
      <c r="H55" s="1716"/>
      <c r="I55" s="1716"/>
      <c r="J55" s="1716"/>
      <c r="K55" s="1719"/>
      <c r="L55" s="1747"/>
      <c r="M55" s="2"/>
    </row>
    <row r="56" spans="1:13" ht="12.75">
      <c r="A56" s="1747" t="s">
        <v>291</v>
      </c>
      <c r="B56" s="1747" t="s">
        <v>286</v>
      </c>
      <c r="C56" s="1897">
        <v>1941315</v>
      </c>
      <c r="D56" s="1895"/>
      <c r="E56" s="1897">
        <v>1037391</v>
      </c>
      <c r="F56" s="1748">
        <v>2978706</v>
      </c>
      <c r="G56" s="1718"/>
      <c r="H56" s="1720"/>
      <c r="I56" s="1720"/>
      <c r="J56" s="1720"/>
      <c r="K56" s="1719">
        <v>11</v>
      </c>
      <c r="L56" s="2" t="s">
        <v>1296</v>
      </c>
      <c r="M56" s="2"/>
    </row>
    <row r="57" spans="1:13" ht="12.75">
      <c r="A57" s="1747" t="s">
        <v>291</v>
      </c>
      <c r="B57" s="1747" t="s">
        <v>286</v>
      </c>
      <c r="C57" s="1895"/>
      <c r="D57" s="1895"/>
      <c r="E57" s="1897">
        <v>89025</v>
      </c>
      <c r="F57" s="1748">
        <v>89025</v>
      </c>
      <c r="G57" s="1718"/>
      <c r="H57" s="1716"/>
      <c r="I57" s="1716"/>
      <c r="J57" s="1785"/>
      <c r="K57" s="1719">
        <v>89786</v>
      </c>
      <c r="L57" s="1747" t="s">
        <v>1295</v>
      </c>
      <c r="M57" s="2"/>
    </row>
    <row r="58" spans="1:13" ht="12.75">
      <c r="A58" s="1747" t="s">
        <v>1282</v>
      </c>
      <c r="B58" s="1747" t="s">
        <v>286</v>
      </c>
      <c r="C58" s="1897">
        <v>2010985</v>
      </c>
      <c r="D58" s="1895"/>
      <c r="E58" s="1897">
        <v>1278389</v>
      </c>
      <c r="F58" s="1748">
        <v>3289374</v>
      </c>
      <c r="G58" s="1718"/>
      <c r="H58" s="1716"/>
      <c r="I58" s="1716"/>
      <c r="J58" s="1716"/>
      <c r="K58" s="1719"/>
      <c r="L58" s="1747"/>
      <c r="M58" s="2"/>
    </row>
    <row r="59" spans="1:13" ht="12.75">
      <c r="A59" s="1747" t="s">
        <v>147</v>
      </c>
      <c r="B59" s="1747" t="s">
        <v>286</v>
      </c>
      <c r="C59" s="1897">
        <v>365634</v>
      </c>
      <c r="D59" s="1895"/>
      <c r="E59" s="1897">
        <v>34427</v>
      </c>
      <c r="F59" s="1748">
        <v>400061</v>
      </c>
      <c r="G59" s="1718"/>
      <c r="H59" s="1716"/>
      <c r="I59" s="1716"/>
      <c r="J59" s="1716"/>
      <c r="K59" s="1719"/>
      <c r="L59" s="1747"/>
      <c r="M59" s="2"/>
    </row>
    <row r="60" spans="1:13" ht="12.75">
      <c r="A60" s="1747" t="s">
        <v>529</v>
      </c>
      <c r="B60" s="1747" t="s">
        <v>286</v>
      </c>
      <c r="C60" s="1897">
        <v>652292</v>
      </c>
      <c r="D60" s="1895"/>
      <c r="E60" s="1897">
        <v>243300</v>
      </c>
      <c r="F60" s="1748">
        <v>895592</v>
      </c>
      <c r="G60" s="1718"/>
      <c r="H60" s="1716"/>
      <c r="I60" s="1716"/>
      <c r="J60" s="1716"/>
      <c r="K60" s="1719"/>
      <c r="L60" s="1747"/>
      <c r="M60"/>
    </row>
    <row r="61" spans="1:13" ht="12.75">
      <c r="A61" s="1747" t="s">
        <v>529</v>
      </c>
      <c r="B61" s="1747" t="s">
        <v>286</v>
      </c>
      <c r="C61" s="1897"/>
      <c r="D61" s="1895"/>
      <c r="E61" s="1897">
        <v>4012</v>
      </c>
      <c r="F61" s="1748">
        <v>4012</v>
      </c>
      <c r="G61" s="1718"/>
      <c r="H61" s="1716"/>
      <c r="I61" s="1716"/>
      <c r="J61" s="1716"/>
      <c r="K61" s="1719">
        <v>21932</v>
      </c>
      <c r="L61" s="1747" t="s">
        <v>1295</v>
      </c>
      <c r="M61"/>
    </row>
    <row r="62" spans="1:13" ht="12.75">
      <c r="A62" s="1898" t="s">
        <v>1074</v>
      </c>
      <c r="B62" s="1747" t="s">
        <v>286</v>
      </c>
      <c r="C62" s="1897">
        <v>2230</v>
      </c>
      <c r="D62" s="1895"/>
      <c r="E62" s="1897">
        <v>90</v>
      </c>
      <c r="F62" s="1748">
        <v>2320</v>
      </c>
      <c r="G62" s="1718"/>
      <c r="H62" s="1716"/>
      <c r="I62" s="1716"/>
      <c r="J62" s="1716"/>
      <c r="K62" s="1719"/>
      <c r="L62" s="1741"/>
      <c r="M62"/>
    </row>
    <row r="63" spans="1:13" ht="12.75">
      <c r="A63" s="1747" t="s">
        <v>530</v>
      </c>
      <c r="B63" s="1747" t="s">
        <v>286</v>
      </c>
      <c r="C63" s="1748">
        <v>45704</v>
      </c>
      <c r="D63" s="1748"/>
      <c r="E63" s="1748">
        <v>29501</v>
      </c>
      <c r="F63" s="1748">
        <v>75205</v>
      </c>
      <c r="G63" s="1718"/>
      <c r="H63" s="1716"/>
      <c r="I63" s="1716"/>
      <c r="J63" s="1716"/>
      <c r="K63" s="1719"/>
      <c r="L63" s="2"/>
      <c r="M63"/>
    </row>
    <row r="64" spans="1:13" ht="12.75">
      <c r="A64" s="1895" t="s">
        <v>527</v>
      </c>
      <c r="B64" s="1747" t="s">
        <v>286</v>
      </c>
      <c r="C64" s="1897"/>
      <c r="D64" s="1895"/>
      <c r="E64" s="1897">
        <v>7</v>
      </c>
      <c r="F64" s="1748">
        <v>7</v>
      </c>
      <c r="G64" s="1718"/>
      <c r="H64" s="1716"/>
      <c r="I64" s="1716"/>
      <c r="J64" s="1716"/>
      <c r="K64" s="1806"/>
      <c r="L64" s="1747"/>
      <c r="M64"/>
    </row>
    <row r="65" spans="1:13" ht="12.75">
      <c r="A65" s="1895" t="s">
        <v>522</v>
      </c>
      <c r="B65" s="1747" t="s">
        <v>522</v>
      </c>
      <c r="C65" s="1897"/>
      <c r="D65" s="1895"/>
      <c r="E65" s="1897"/>
      <c r="F65" s="1748"/>
      <c r="G65" s="1718"/>
      <c r="H65" s="1716"/>
      <c r="I65" s="1716"/>
      <c r="J65" s="1716"/>
      <c r="K65" s="1806"/>
      <c r="L65" s="1747"/>
      <c r="M65"/>
    </row>
    <row r="66" spans="1:13" ht="12.75">
      <c r="A66" s="1895" t="s">
        <v>526</v>
      </c>
      <c r="B66" s="1747" t="s">
        <v>290</v>
      </c>
      <c r="C66" s="1897">
        <v>430642</v>
      </c>
      <c r="D66" s="1895"/>
      <c r="E66" s="1897">
        <v>484913</v>
      </c>
      <c r="F66" s="1748">
        <v>915555</v>
      </c>
      <c r="G66" s="1718"/>
      <c r="H66" s="1716"/>
      <c r="I66" s="1716"/>
      <c r="J66" s="1716"/>
      <c r="K66" s="1806">
        <v>430642</v>
      </c>
      <c r="L66" s="1747" t="s">
        <v>1295</v>
      </c>
      <c r="M66"/>
    </row>
    <row r="67" spans="1:13" ht="12.75">
      <c r="A67" s="1895" t="s">
        <v>1317</v>
      </c>
      <c r="B67" s="1747" t="s">
        <v>290</v>
      </c>
      <c r="C67" s="1897">
        <v>4268</v>
      </c>
      <c r="D67" s="1895"/>
      <c r="E67" s="1897">
        <v>606</v>
      </c>
      <c r="F67" s="1748">
        <v>4874</v>
      </c>
      <c r="G67" s="1718"/>
      <c r="H67" s="1716"/>
      <c r="I67" s="1716"/>
      <c r="J67" s="1716"/>
      <c r="K67" s="1806">
        <v>4268</v>
      </c>
      <c r="L67" s="1747" t="s">
        <v>1296</v>
      </c>
      <c r="M67"/>
    </row>
    <row r="68" spans="1:13" ht="12.75">
      <c r="A68" s="1945" t="s">
        <v>1318</v>
      </c>
      <c r="B68" s="1898" t="s">
        <v>290</v>
      </c>
      <c r="C68" s="1946">
        <v>44828</v>
      </c>
      <c r="D68" s="1945"/>
      <c r="E68" s="1946">
        <v>11857</v>
      </c>
      <c r="F68" s="1896">
        <v>56685</v>
      </c>
      <c r="G68" s="1718"/>
      <c r="H68" s="1716"/>
      <c r="I68" s="1716"/>
      <c r="J68" s="1716"/>
      <c r="K68" s="1806">
        <v>44828</v>
      </c>
      <c r="L68" s="1747" t="s">
        <v>1296</v>
      </c>
      <c r="M68"/>
    </row>
    <row r="69" spans="1:13" ht="12.75">
      <c r="A69" s="1945" t="s">
        <v>291</v>
      </c>
      <c r="B69" s="1898" t="s">
        <v>290</v>
      </c>
      <c r="C69" s="1946">
        <v>3425</v>
      </c>
      <c r="D69" s="1945"/>
      <c r="E69" s="1946">
        <v>486</v>
      </c>
      <c r="F69" s="1896">
        <v>3911</v>
      </c>
      <c r="G69" s="1718"/>
      <c r="H69" s="1716"/>
      <c r="I69" s="1716"/>
      <c r="J69" s="1716"/>
      <c r="K69" s="1806">
        <v>3425</v>
      </c>
      <c r="L69" s="1747" t="s">
        <v>1296</v>
      </c>
      <c r="M69"/>
    </row>
    <row r="70" spans="1:13" ht="12.75">
      <c r="A70" s="1945" t="s">
        <v>291</v>
      </c>
      <c r="B70" s="1898" t="s">
        <v>290</v>
      </c>
      <c r="C70" s="1946">
        <v>350206</v>
      </c>
      <c r="D70" s="1945"/>
      <c r="E70" s="1946">
        <v>62326</v>
      </c>
      <c r="F70" s="1896">
        <v>412532</v>
      </c>
      <c r="G70" s="1718"/>
      <c r="H70" s="1716"/>
      <c r="I70" s="1716"/>
      <c r="J70" s="1716"/>
      <c r="K70" s="1806">
        <v>350206</v>
      </c>
      <c r="L70" s="1747" t="s">
        <v>1295</v>
      </c>
      <c r="M70"/>
    </row>
    <row r="71" spans="1:13" ht="12.75">
      <c r="A71" s="1945" t="s">
        <v>148</v>
      </c>
      <c r="B71" s="1898" t="s">
        <v>290</v>
      </c>
      <c r="C71" s="1946">
        <v>120298</v>
      </c>
      <c r="D71" s="1945"/>
      <c r="E71" s="1946">
        <v>60497</v>
      </c>
      <c r="F71" s="1896">
        <v>180795</v>
      </c>
      <c r="G71" s="1718"/>
      <c r="H71" s="1716"/>
      <c r="I71" s="1716"/>
      <c r="J71" s="1716"/>
      <c r="K71" s="1806">
        <v>120298</v>
      </c>
      <c r="L71" s="1747" t="s">
        <v>1295</v>
      </c>
      <c r="M71"/>
    </row>
    <row r="72" spans="1:13" ht="12.75">
      <c r="A72" s="1945" t="s">
        <v>529</v>
      </c>
      <c r="B72" s="1898" t="s">
        <v>290</v>
      </c>
      <c r="C72" s="1946">
        <v>36690</v>
      </c>
      <c r="D72" s="1945"/>
      <c r="E72" s="1946">
        <v>2224</v>
      </c>
      <c r="F72" s="1896">
        <v>38914</v>
      </c>
      <c r="G72" s="1718"/>
      <c r="H72" s="1716"/>
      <c r="I72" s="1716"/>
      <c r="J72" s="1716"/>
      <c r="K72" s="1806">
        <v>36690</v>
      </c>
      <c r="L72" s="1747" t="s">
        <v>1295</v>
      </c>
      <c r="M72"/>
    </row>
    <row r="73" spans="1:13" ht="12.75">
      <c r="A73" s="1898" t="s">
        <v>1323</v>
      </c>
      <c r="B73" s="1898" t="s">
        <v>290</v>
      </c>
      <c r="C73" s="1896">
        <v>171260</v>
      </c>
      <c r="D73" s="1896"/>
      <c r="E73" s="1896">
        <v>19816</v>
      </c>
      <c r="F73" s="1896">
        <v>191076</v>
      </c>
      <c r="G73" s="1718"/>
      <c r="H73" s="1716"/>
      <c r="I73" s="1716"/>
      <c r="J73" s="1716"/>
      <c r="K73" s="1719">
        <v>171260</v>
      </c>
      <c r="L73" s="1747" t="s">
        <v>1295</v>
      </c>
      <c r="M73"/>
    </row>
    <row r="74" spans="1:13" ht="12.75">
      <c r="A74" s="1945" t="s">
        <v>522</v>
      </c>
      <c r="B74" s="1898"/>
      <c r="C74" s="1896"/>
      <c r="D74" s="1946"/>
      <c r="E74" s="1946"/>
      <c r="F74" s="1896"/>
      <c r="G74" s="1718"/>
      <c r="H74" s="1716"/>
      <c r="I74" s="1716"/>
      <c r="J74" s="1716"/>
      <c r="K74" s="1719"/>
      <c r="L74" s="1747"/>
      <c r="M74"/>
    </row>
    <row r="75" spans="1:13" ht="12.75">
      <c r="A75" s="1945" t="s">
        <v>1319</v>
      </c>
      <c r="B75" s="1898" t="s">
        <v>288</v>
      </c>
      <c r="C75" s="1896"/>
      <c r="D75" s="1946">
        <v>6657</v>
      </c>
      <c r="E75" s="1946">
        <v>6165</v>
      </c>
      <c r="F75" s="1896">
        <v>12822</v>
      </c>
      <c r="G75" s="1718"/>
      <c r="H75" s="1716"/>
      <c r="I75" s="1716"/>
      <c r="J75" s="1716"/>
      <c r="K75" s="1719">
        <v>6657</v>
      </c>
      <c r="L75" s="1747" t="s">
        <v>1296</v>
      </c>
      <c r="M75"/>
    </row>
    <row r="76" spans="1:13" ht="12.75">
      <c r="A76" s="1945" t="s">
        <v>1319</v>
      </c>
      <c r="B76" s="1898" t="s">
        <v>288</v>
      </c>
      <c r="C76" s="1896"/>
      <c r="D76" s="1946">
        <v>16973</v>
      </c>
      <c r="E76" s="1946">
        <v>27399</v>
      </c>
      <c r="F76" s="1896">
        <v>44372</v>
      </c>
      <c r="G76" s="1718"/>
      <c r="H76" s="1716"/>
      <c r="I76" s="1716"/>
      <c r="J76" s="1716"/>
      <c r="K76" s="1719">
        <v>16973</v>
      </c>
      <c r="L76" s="1747" t="s">
        <v>1295</v>
      </c>
      <c r="M76"/>
    </row>
    <row r="77" spans="1:13" ht="12.75">
      <c r="A77" s="1945" t="s">
        <v>1215</v>
      </c>
      <c r="B77" s="1898" t="s">
        <v>288</v>
      </c>
      <c r="C77" s="1896"/>
      <c r="D77" s="1946">
        <v>5547</v>
      </c>
      <c r="E77" s="1946">
        <v>6285</v>
      </c>
      <c r="F77" s="1896">
        <v>11832</v>
      </c>
      <c r="G77" s="1718"/>
      <c r="H77" s="1716"/>
      <c r="I77" s="1716"/>
      <c r="J77" s="1716"/>
      <c r="K77" s="1719">
        <v>5547</v>
      </c>
      <c r="L77" s="1747" t="s">
        <v>1296</v>
      </c>
      <c r="M77" s="2"/>
    </row>
    <row r="78" spans="1:13" ht="12.75">
      <c r="A78" s="1945" t="s">
        <v>526</v>
      </c>
      <c r="B78" s="1898" t="s">
        <v>288</v>
      </c>
      <c r="C78" s="1896"/>
      <c r="D78" s="1946">
        <v>19879</v>
      </c>
      <c r="E78" s="1946">
        <v>12919</v>
      </c>
      <c r="F78" s="1896">
        <v>32798</v>
      </c>
      <c r="G78" s="1718"/>
      <c r="H78" s="1716"/>
      <c r="I78" s="1716"/>
      <c r="J78" s="1716"/>
      <c r="K78" s="1719">
        <v>19879</v>
      </c>
      <c r="L78" s="1747" t="s">
        <v>1296</v>
      </c>
      <c r="M78"/>
    </row>
    <row r="79" spans="1:13" ht="12.75">
      <c r="A79" s="1895" t="s">
        <v>526</v>
      </c>
      <c r="B79" s="1898" t="s">
        <v>288</v>
      </c>
      <c r="C79" s="1896"/>
      <c r="D79" s="1897">
        <v>25104</v>
      </c>
      <c r="E79" s="1897">
        <v>32626</v>
      </c>
      <c r="F79" s="1748">
        <v>57730</v>
      </c>
      <c r="G79" s="1718"/>
      <c r="H79" s="1716"/>
      <c r="I79" s="1716"/>
      <c r="J79" s="1716"/>
      <c r="K79" s="1719">
        <v>25104</v>
      </c>
      <c r="L79" s="1747" t="s">
        <v>1295</v>
      </c>
      <c r="M79"/>
    </row>
    <row r="80" spans="1:13" ht="12.75">
      <c r="A80" s="1895" t="s">
        <v>1297</v>
      </c>
      <c r="B80" s="1898" t="s">
        <v>288</v>
      </c>
      <c r="C80" s="1896"/>
      <c r="D80" s="1897">
        <v>191872</v>
      </c>
      <c r="E80" s="1897">
        <v>68242</v>
      </c>
      <c r="F80" s="1748">
        <v>260114</v>
      </c>
      <c r="G80" s="1718"/>
      <c r="H80" s="1716"/>
      <c r="I80" s="1716"/>
      <c r="J80" s="1716"/>
      <c r="K80" s="1719">
        <v>191872</v>
      </c>
      <c r="L80" s="1747" t="s">
        <v>1296</v>
      </c>
      <c r="M80" s="2"/>
    </row>
    <row r="81" spans="1:13" ht="12.75">
      <c r="A81" s="1895" t="s">
        <v>1297</v>
      </c>
      <c r="B81" s="1898" t="s">
        <v>288</v>
      </c>
      <c r="C81" s="1896"/>
      <c r="D81" s="1897">
        <v>1945</v>
      </c>
      <c r="E81" s="1897">
        <v>959</v>
      </c>
      <c r="F81" s="1748">
        <v>2904</v>
      </c>
      <c r="G81" s="1718"/>
      <c r="H81" s="1716"/>
      <c r="I81" s="1716"/>
      <c r="J81" s="1716"/>
      <c r="K81" s="1719">
        <v>1945</v>
      </c>
      <c r="L81" s="1747" t="s">
        <v>1295</v>
      </c>
      <c r="M81"/>
    </row>
    <row r="82" spans="1:13" ht="12.75">
      <c r="A82" s="1895" t="s">
        <v>1320</v>
      </c>
      <c r="B82" s="1898" t="s">
        <v>288</v>
      </c>
      <c r="C82" s="1896"/>
      <c r="D82" s="1897">
        <v>3797</v>
      </c>
      <c r="E82" s="1897">
        <v>3629</v>
      </c>
      <c r="F82" s="1748">
        <v>7426</v>
      </c>
      <c r="G82" s="1718"/>
      <c r="H82" s="1720"/>
      <c r="I82" s="1720"/>
      <c r="J82" s="1720"/>
      <c r="K82" s="1719">
        <v>3797</v>
      </c>
      <c r="L82" s="1747" t="s">
        <v>1296</v>
      </c>
      <c r="M82"/>
    </row>
    <row r="83" spans="1:13" ht="12.75">
      <c r="A83" s="1895" t="s">
        <v>1283</v>
      </c>
      <c r="B83" s="1898" t="s">
        <v>288</v>
      </c>
      <c r="C83" s="1896"/>
      <c r="D83" s="1897">
        <v>21105</v>
      </c>
      <c r="E83" s="1897">
        <v>12225</v>
      </c>
      <c r="F83" s="1748">
        <v>33330</v>
      </c>
      <c r="G83" s="1718"/>
      <c r="H83" s="1720"/>
      <c r="I83" s="1720"/>
      <c r="J83" s="1720"/>
      <c r="K83" s="1719">
        <v>21105</v>
      </c>
      <c r="L83" s="1747" t="s">
        <v>1296</v>
      </c>
      <c r="M83"/>
    </row>
    <row r="84" spans="1:13" ht="12.75">
      <c r="A84" s="1895" t="s">
        <v>1317</v>
      </c>
      <c r="B84" s="1898" t="s">
        <v>288</v>
      </c>
      <c r="C84" s="1896"/>
      <c r="D84" s="1897">
        <v>170692</v>
      </c>
      <c r="E84" s="1897">
        <v>95404</v>
      </c>
      <c r="F84" s="1748">
        <v>266096</v>
      </c>
      <c r="G84" s="1718"/>
      <c r="H84" s="1720"/>
      <c r="I84" s="1720"/>
      <c r="J84" s="1720"/>
      <c r="K84" s="1719">
        <v>170692</v>
      </c>
      <c r="L84" s="1747" t="s">
        <v>1296</v>
      </c>
      <c r="M84"/>
    </row>
    <row r="85" spans="1:13" ht="12.75">
      <c r="A85" s="1895" t="s">
        <v>524</v>
      </c>
      <c r="B85" s="1898" t="s">
        <v>288</v>
      </c>
      <c r="C85" s="1896"/>
      <c r="D85" s="1897">
        <v>28016</v>
      </c>
      <c r="E85" s="1897">
        <v>54236</v>
      </c>
      <c r="F85" s="1748">
        <v>82252</v>
      </c>
      <c r="G85" s="1718"/>
      <c r="H85" s="1720"/>
      <c r="I85" s="1720"/>
      <c r="J85" s="1720"/>
      <c r="K85" s="1719">
        <v>28016</v>
      </c>
      <c r="L85" s="1747" t="s">
        <v>1296</v>
      </c>
      <c r="M85"/>
    </row>
    <row r="86" spans="1:13" ht="12.75">
      <c r="A86" s="1895" t="s">
        <v>1321</v>
      </c>
      <c r="B86" s="1898" t="s">
        <v>288</v>
      </c>
      <c r="C86" s="1896"/>
      <c r="D86" s="1897">
        <v>21587</v>
      </c>
      <c r="E86" s="1897">
        <v>25666</v>
      </c>
      <c r="F86" s="1748">
        <v>47253</v>
      </c>
      <c r="G86" s="1718"/>
      <c r="H86" s="1720"/>
      <c r="I86" s="1720"/>
      <c r="J86" s="1720"/>
      <c r="K86" s="1719">
        <v>21587</v>
      </c>
      <c r="L86" s="1747" t="s">
        <v>1296</v>
      </c>
      <c r="M86"/>
    </row>
    <row r="87" spans="1:13" ht="12.75">
      <c r="A87" s="1895" t="s">
        <v>1321</v>
      </c>
      <c r="B87" s="1898" t="s">
        <v>288</v>
      </c>
      <c r="C87" s="1896"/>
      <c r="D87" s="1897">
        <v>121</v>
      </c>
      <c r="E87" s="1897">
        <v>43</v>
      </c>
      <c r="F87" s="1748">
        <v>164</v>
      </c>
      <c r="G87" s="1718"/>
      <c r="H87" s="1720"/>
      <c r="I87" s="1720"/>
      <c r="J87" s="1720"/>
      <c r="K87" s="1719">
        <v>121</v>
      </c>
      <c r="L87" s="1747" t="s">
        <v>1295</v>
      </c>
      <c r="M87"/>
    </row>
    <row r="88" spans="1:13" ht="12.75">
      <c r="A88" s="1895" t="s">
        <v>1298</v>
      </c>
      <c r="B88" s="1898" t="s">
        <v>288</v>
      </c>
      <c r="C88" s="1896"/>
      <c r="D88" s="1897">
        <v>17451</v>
      </c>
      <c r="E88" s="1897">
        <v>4085</v>
      </c>
      <c r="F88" s="1748">
        <v>21536</v>
      </c>
      <c r="G88" s="1718"/>
      <c r="H88" s="1716"/>
      <c r="I88" s="1716"/>
      <c r="J88" s="1716"/>
      <c r="K88" s="1719">
        <v>17451</v>
      </c>
      <c r="L88" s="1747" t="s">
        <v>1296</v>
      </c>
      <c r="M88"/>
    </row>
    <row r="89" spans="1:13" ht="12.75">
      <c r="A89" s="1895" t="s">
        <v>1299</v>
      </c>
      <c r="B89" s="1898" t="s">
        <v>288</v>
      </c>
      <c r="C89" s="1896"/>
      <c r="D89" s="1897">
        <v>79886</v>
      </c>
      <c r="E89" s="1897">
        <v>43055</v>
      </c>
      <c r="F89" s="1748">
        <v>122941</v>
      </c>
      <c r="G89" s="1718"/>
      <c r="H89" s="1716"/>
      <c r="I89" s="1716"/>
      <c r="J89" s="1716"/>
      <c r="K89" s="1719">
        <v>79886</v>
      </c>
      <c r="L89" s="1747" t="s">
        <v>1296</v>
      </c>
      <c r="M89"/>
    </row>
    <row r="90" spans="1:13" ht="12.75">
      <c r="A90" s="1895" t="s">
        <v>1318</v>
      </c>
      <c r="B90" s="1898" t="s">
        <v>288</v>
      </c>
      <c r="C90" s="1896"/>
      <c r="D90" s="1897">
        <v>689</v>
      </c>
      <c r="E90" s="1897">
        <v>158</v>
      </c>
      <c r="F90" s="1748">
        <v>847</v>
      </c>
      <c r="G90" s="1718"/>
      <c r="H90" s="1716"/>
      <c r="I90" s="1716"/>
      <c r="J90" s="1716"/>
      <c r="K90" s="1719">
        <v>689</v>
      </c>
      <c r="L90" s="1747" t="s">
        <v>1296</v>
      </c>
      <c r="M90"/>
    </row>
    <row r="91" spans="1:13" ht="12.75">
      <c r="A91" s="1895" t="s">
        <v>291</v>
      </c>
      <c r="B91" s="1898" t="s">
        <v>288</v>
      </c>
      <c r="C91" s="1896"/>
      <c r="D91" s="1897">
        <v>177508</v>
      </c>
      <c r="E91" s="1897">
        <v>76422</v>
      </c>
      <c r="F91" s="1748">
        <v>253930</v>
      </c>
      <c r="G91" s="1718"/>
      <c r="H91" s="1716"/>
      <c r="I91" s="1716"/>
      <c r="J91" s="1716"/>
      <c r="K91" s="1719">
        <v>177508</v>
      </c>
      <c r="L91" s="1747" t="s">
        <v>1296</v>
      </c>
      <c r="M91"/>
    </row>
    <row r="92" spans="1:13" ht="12.75">
      <c r="A92" s="1895" t="s">
        <v>291</v>
      </c>
      <c r="B92" s="1898" t="s">
        <v>288</v>
      </c>
      <c r="C92" s="1896"/>
      <c r="D92" s="1897">
        <v>321911</v>
      </c>
      <c r="E92" s="1897">
        <v>224155</v>
      </c>
      <c r="F92" s="1748">
        <v>546066</v>
      </c>
      <c r="G92" s="1718"/>
      <c r="H92" s="1716"/>
      <c r="I92" s="1716"/>
      <c r="J92" s="1716"/>
      <c r="K92" s="1719">
        <v>321911</v>
      </c>
      <c r="L92" s="1747" t="s">
        <v>1295</v>
      </c>
      <c r="M92"/>
    </row>
    <row r="93" spans="1:13" ht="12.75">
      <c r="A93" s="1895" t="s">
        <v>1322</v>
      </c>
      <c r="B93" s="1898" t="s">
        <v>288</v>
      </c>
      <c r="C93" s="1896"/>
      <c r="D93" s="1897">
        <v>61872</v>
      </c>
      <c r="E93" s="1897">
        <v>45366</v>
      </c>
      <c r="F93" s="1748">
        <v>107238</v>
      </c>
      <c r="G93" s="1718"/>
      <c r="H93" s="1716"/>
      <c r="I93" s="1716"/>
      <c r="J93" s="1716"/>
      <c r="K93" s="1719">
        <v>61872</v>
      </c>
      <c r="L93" s="1747" t="s">
        <v>1296</v>
      </c>
      <c r="M93"/>
    </row>
    <row r="94" spans="1:13" ht="12.75">
      <c r="A94" s="1895" t="s">
        <v>147</v>
      </c>
      <c r="B94" s="1898" t="s">
        <v>288</v>
      </c>
      <c r="C94" s="1896"/>
      <c r="D94" s="1897">
        <v>493</v>
      </c>
      <c r="E94" s="1897">
        <v>312</v>
      </c>
      <c r="F94" s="1748">
        <v>805</v>
      </c>
      <c r="G94" s="1718"/>
      <c r="H94" s="1716"/>
      <c r="I94" s="1716"/>
      <c r="J94" s="1716"/>
      <c r="K94" s="1719">
        <v>493</v>
      </c>
      <c r="L94" s="1747" t="s">
        <v>1296</v>
      </c>
      <c r="M94"/>
    </row>
    <row r="95" spans="1:13" ht="12.75">
      <c r="A95" s="1895" t="s">
        <v>1348</v>
      </c>
      <c r="B95" s="1898" t="s">
        <v>288</v>
      </c>
      <c r="C95" s="1896"/>
      <c r="D95" s="1897">
        <v>248</v>
      </c>
      <c r="E95" s="1897">
        <v>65</v>
      </c>
      <c r="F95" s="1748">
        <v>313</v>
      </c>
      <c r="G95" s="1718"/>
      <c r="H95" s="1716"/>
      <c r="I95" s="1716"/>
      <c r="J95" s="1716"/>
      <c r="K95" s="1719">
        <v>248</v>
      </c>
      <c r="L95" s="1747" t="s">
        <v>1296</v>
      </c>
      <c r="M95"/>
    </row>
    <row r="96" spans="1:13" ht="12.75">
      <c r="A96" s="1895" t="s">
        <v>148</v>
      </c>
      <c r="B96" s="1898" t="s">
        <v>288</v>
      </c>
      <c r="C96" s="1896"/>
      <c r="D96" s="1897">
        <v>29098</v>
      </c>
      <c r="E96" s="1897">
        <v>15171</v>
      </c>
      <c r="F96" s="1748">
        <v>44269</v>
      </c>
      <c r="G96" s="1718"/>
      <c r="H96" s="1716"/>
      <c r="I96" s="1716"/>
      <c r="J96" s="1716"/>
      <c r="K96" s="1719">
        <v>29098</v>
      </c>
      <c r="L96" s="1747" t="s">
        <v>1295</v>
      </c>
      <c r="M96"/>
    </row>
    <row r="97" spans="1:13" ht="12.75">
      <c r="A97" s="1895" t="s">
        <v>528</v>
      </c>
      <c r="B97" s="1898" t="s">
        <v>288</v>
      </c>
      <c r="C97" s="1896"/>
      <c r="D97" s="1897">
        <v>169974</v>
      </c>
      <c r="E97" s="1897">
        <v>304947</v>
      </c>
      <c r="F97" s="1748">
        <v>474921</v>
      </c>
      <c r="G97" s="1718"/>
      <c r="H97" s="1720"/>
      <c r="I97" s="1720"/>
      <c r="J97" s="1720"/>
      <c r="K97" s="1719">
        <v>169974</v>
      </c>
      <c r="L97" s="1747" t="s">
        <v>1296</v>
      </c>
      <c r="M97"/>
    </row>
    <row r="98" spans="1:13" ht="12.75">
      <c r="A98" s="1895" t="s">
        <v>529</v>
      </c>
      <c r="B98" s="1898" t="s">
        <v>288</v>
      </c>
      <c r="C98" s="1896"/>
      <c r="D98" s="1897">
        <v>7119</v>
      </c>
      <c r="E98" s="1897">
        <v>4686</v>
      </c>
      <c r="F98" s="1748">
        <v>11805</v>
      </c>
      <c r="G98" s="1718"/>
      <c r="H98" s="1720"/>
      <c r="I98" s="1720"/>
      <c r="J98" s="1720"/>
      <c r="K98" s="1719">
        <v>7119</v>
      </c>
      <c r="L98" s="1747" t="s">
        <v>1296</v>
      </c>
      <c r="M98"/>
    </row>
    <row r="99" spans="1:13" ht="12.75">
      <c r="A99" s="1895" t="s">
        <v>529</v>
      </c>
      <c r="B99" s="1898" t="s">
        <v>288</v>
      </c>
      <c r="C99" s="1896"/>
      <c r="D99" s="1897">
        <v>2420</v>
      </c>
      <c r="E99" s="1897">
        <v>771</v>
      </c>
      <c r="F99" s="1748">
        <v>3191</v>
      </c>
      <c r="G99" s="1718"/>
      <c r="H99" s="1720"/>
      <c r="I99" s="1720"/>
      <c r="J99" s="1720"/>
      <c r="K99" s="1719">
        <v>2420</v>
      </c>
      <c r="L99" s="1747" t="s">
        <v>1295</v>
      </c>
      <c r="M99"/>
    </row>
    <row r="100" spans="1:13" ht="12.75">
      <c r="A100" s="1895" t="s">
        <v>587</v>
      </c>
      <c r="B100" s="1898" t="s">
        <v>288</v>
      </c>
      <c r="C100" s="1896"/>
      <c r="D100" s="1897">
        <v>73</v>
      </c>
      <c r="E100" s="1897">
        <v>9</v>
      </c>
      <c r="F100" s="1748">
        <v>82</v>
      </c>
      <c r="G100" s="1718"/>
      <c r="H100" s="1720"/>
      <c r="I100" s="1720"/>
      <c r="J100" s="1720"/>
      <c r="K100" s="1719">
        <v>73</v>
      </c>
      <c r="L100" s="1747" t="s">
        <v>1296</v>
      </c>
      <c r="M100"/>
    </row>
    <row r="101" spans="1:13" ht="12.75">
      <c r="A101" s="1747" t="s">
        <v>587</v>
      </c>
      <c r="B101" s="1747" t="s">
        <v>288</v>
      </c>
      <c r="C101" s="1748"/>
      <c r="D101" s="1748">
        <v>10096</v>
      </c>
      <c r="E101" s="1748">
        <v>1012</v>
      </c>
      <c r="F101" s="1748">
        <v>11108</v>
      </c>
      <c r="G101" s="1718"/>
      <c r="H101" s="1716"/>
      <c r="I101" s="1716"/>
      <c r="J101" s="1716"/>
      <c r="K101" s="1719">
        <v>10096</v>
      </c>
      <c r="L101" s="1747" t="s">
        <v>1295</v>
      </c>
      <c r="M101"/>
    </row>
    <row r="102" spans="1:13" ht="12.75">
      <c r="A102" s="1895" t="s">
        <v>1349</v>
      </c>
      <c r="B102" s="1747" t="s">
        <v>288</v>
      </c>
      <c r="C102" s="1897"/>
      <c r="D102" s="1895">
        <v>3</v>
      </c>
      <c r="E102" s="1897">
        <v>0</v>
      </c>
      <c r="F102" s="1748">
        <v>3</v>
      </c>
      <c r="G102" s="1718"/>
      <c r="H102" s="1716"/>
      <c r="I102" s="1716"/>
      <c r="J102" s="1716"/>
      <c r="K102" s="1719">
        <v>3</v>
      </c>
      <c r="L102" s="1747" t="s">
        <v>1296</v>
      </c>
      <c r="M102"/>
    </row>
    <row r="103" spans="1:13" ht="12.75">
      <c r="A103" s="1895" t="s">
        <v>1323</v>
      </c>
      <c r="B103" s="1747" t="s">
        <v>288</v>
      </c>
      <c r="C103" s="1897"/>
      <c r="D103" s="1895">
        <v>17492</v>
      </c>
      <c r="E103" s="1897">
        <v>39505</v>
      </c>
      <c r="F103" s="1748">
        <v>56997</v>
      </c>
      <c r="G103" s="1718"/>
      <c r="H103" s="1716"/>
      <c r="I103" s="1716"/>
      <c r="J103" s="1716"/>
      <c r="K103" s="1719">
        <v>17492</v>
      </c>
      <c r="L103" s="1747" t="s">
        <v>1296</v>
      </c>
      <c r="M103"/>
    </row>
    <row r="104" spans="1:13" ht="12.75">
      <c r="A104" s="1895" t="s">
        <v>522</v>
      </c>
      <c r="B104" s="1747"/>
      <c r="C104" s="1897"/>
      <c r="D104" s="1895"/>
      <c r="E104" s="1897"/>
      <c r="F104" s="1748"/>
      <c r="G104" s="1718"/>
      <c r="H104" s="1716"/>
      <c r="I104" s="1716"/>
      <c r="J104" s="1716"/>
      <c r="K104" s="1719"/>
      <c r="L104" s="1747"/>
      <c r="M104"/>
    </row>
    <row r="105" spans="1:13" ht="12.75">
      <c r="A105" s="1895" t="s">
        <v>150</v>
      </c>
      <c r="B105" s="1747" t="s">
        <v>285</v>
      </c>
      <c r="C105" s="1897">
        <v>179749</v>
      </c>
      <c r="D105" s="1895"/>
      <c r="E105" s="1897">
        <v>197599</v>
      </c>
      <c r="F105" s="1748">
        <v>377348</v>
      </c>
      <c r="G105" s="1718"/>
      <c r="H105" s="1716"/>
      <c r="I105" s="1716"/>
      <c r="J105" s="1716"/>
      <c r="K105" s="1719"/>
      <c r="L105" s="1747"/>
      <c r="M105"/>
    </row>
    <row r="106" spans="1:13" ht="12.75">
      <c r="A106" s="1895" t="s">
        <v>734</v>
      </c>
      <c r="B106" s="1747" t="s">
        <v>285</v>
      </c>
      <c r="C106" s="1897">
        <v>114094</v>
      </c>
      <c r="D106" s="1895"/>
      <c r="E106" s="1897">
        <v>126319</v>
      </c>
      <c r="F106" s="1748">
        <v>240413</v>
      </c>
      <c r="G106" s="1718"/>
      <c r="H106" s="1716"/>
      <c r="I106" s="1716"/>
      <c r="J106" s="1716"/>
      <c r="K106" s="1719"/>
      <c r="L106" s="1747"/>
      <c r="M106"/>
    </row>
    <row r="107" spans="1:13" ht="12.75">
      <c r="A107" s="1895" t="s">
        <v>1071</v>
      </c>
      <c r="B107" s="1747" t="s">
        <v>285</v>
      </c>
      <c r="C107" s="1897">
        <v>115946</v>
      </c>
      <c r="D107" s="1895"/>
      <c r="E107" s="1897">
        <v>182922</v>
      </c>
      <c r="F107" s="1748">
        <v>298868</v>
      </c>
      <c r="G107" s="1718"/>
      <c r="H107" s="1716"/>
      <c r="I107" s="1716"/>
      <c r="J107" s="1716"/>
      <c r="K107" s="1719"/>
      <c r="L107" s="1747"/>
      <c r="M107"/>
    </row>
    <row r="108" spans="1:13" ht="12.75">
      <c r="A108" s="1895" t="s">
        <v>589</v>
      </c>
      <c r="B108" s="1747" t="s">
        <v>285</v>
      </c>
      <c r="C108" s="1897">
        <v>52418</v>
      </c>
      <c r="D108" s="1895"/>
      <c r="E108" s="1897">
        <v>56046</v>
      </c>
      <c r="F108" s="1748">
        <v>108464</v>
      </c>
      <c r="G108" s="1718"/>
      <c r="H108" s="1716"/>
      <c r="I108" s="1716"/>
      <c r="J108" s="1716"/>
      <c r="K108" s="1719"/>
      <c r="L108" s="1747"/>
      <c r="M108"/>
    </row>
    <row r="109" spans="1:13" ht="12.75">
      <c r="A109" s="1895" t="s">
        <v>588</v>
      </c>
      <c r="B109" s="1747" t="s">
        <v>285</v>
      </c>
      <c r="C109" s="1897">
        <v>48452</v>
      </c>
      <c r="D109" s="1895"/>
      <c r="E109" s="1897">
        <v>53208</v>
      </c>
      <c r="F109" s="1748">
        <v>101660</v>
      </c>
      <c r="G109" s="1718"/>
      <c r="H109" s="1716"/>
      <c r="I109" s="1716"/>
      <c r="J109" s="1716"/>
      <c r="K109" s="1719"/>
      <c r="L109" s="1747"/>
      <c r="M109"/>
    </row>
    <row r="110" spans="1:13" ht="12.75">
      <c r="A110" s="1895" t="s">
        <v>151</v>
      </c>
      <c r="B110" s="1747" t="s">
        <v>285</v>
      </c>
      <c r="C110" s="1897">
        <v>1113259</v>
      </c>
      <c r="D110" s="1895"/>
      <c r="E110" s="1897">
        <v>1054525</v>
      </c>
      <c r="F110" s="1748">
        <v>2167784</v>
      </c>
      <c r="G110" s="1718"/>
      <c r="H110" s="1716"/>
      <c r="I110" s="1716"/>
      <c r="J110" s="1716"/>
      <c r="K110" s="1719"/>
      <c r="L110" s="1747"/>
      <c r="M110"/>
    </row>
    <row r="111" spans="1:13" ht="12.75">
      <c r="A111" s="1895" t="s">
        <v>1284</v>
      </c>
      <c r="B111" s="1747" t="s">
        <v>285</v>
      </c>
      <c r="C111" s="1897">
        <v>2120090</v>
      </c>
      <c r="D111" s="1895"/>
      <c r="E111" s="1897">
        <v>2199017</v>
      </c>
      <c r="F111" s="1748">
        <v>4319107</v>
      </c>
      <c r="G111" s="1718"/>
      <c r="H111" s="1716"/>
      <c r="I111" s="1716"/>
      <c r="J111" s="1716"/>
      <c r="K111" s="1719"/>
      <c r="L111" s="1747"/>
      <c r="M111"/>
    </row>
    <row r="112" spans="1:13" ht="12.75">
      <c r="A112" s="1895" t="s">
        <v>1300</v>
      </c>
      <c r="B112" s="1747" t="s">
        <v>285</v>
      </c>
      <c r="C112" s="1897">
        <v>12954</v>
      </c>
      <c r="D112" s="1895"/>
      <c r="E112" s="1897">
        <v>19919</v>
      </c>
      <c r="F112" s="1748">
        <v>32873</v>
      </c>
      <c r="G112" s="1718"/>
      <c r="H112" s="1716"/>
      <c r="I112" s="1716"/>
      <c r="J112" s="1716"/>
      <c r="K112" s="1719"/>
      <c r="L112" s="1747"/>
      <c r="M112"/>
    </row>
    <row r="113" spans="1:13" ht="12.75">
      <c r="A113" s="1747" t="s">
        <v>1301</v>
      </c>
      <c r="B113" s="1747" t="s">
        <v>285</v>
      </c>
      <c r="C113" s="1748">
        <v>863939</v>
      </c>
      <c r="D113" s="1748"/>
      <c r="E113" s="1748">
        <v>1079825</v>
      </c>
      <c r="F113" s="1748">
        <v>1943764</v>
      </c>
      <c r="G113" s="1718"/>
      <c r="H113" s="1716"/>
      <c r="I113" s="1716"/>
      <c r="J113" s="1716"/>
      <c r="K113" s="1719"/>
      <c r="L113" s="1747"/>
      <c r="M113"/>
    </row>
    <row r="114" spans="1:13" ht="12.75">
      <c r="A114" s="1747" t="s">
        <v>1302</v>
      </c>
      <c r="B114" s="1747" t="s">
        <v>285</v>
      </c>
      <c r="C114" s="1748">
        <v>672291</v>
      </c>
      <c r="D114" s="1748"/>
      <c r="E114" s="1897">
        <v>804278</v>
      </c>
      <c r="F114" s="1748">
        <v>1476569</v>
      </c>
      <c r="G114" s="1718"/>
      <c r="H114" s="1716"/>
      <c r="I114" s="1716"/>
      <c r="J114" s="1716"/>
      <c r="K114" s="1719"/>
      <c r="L114" s="1747"/>
      <c r="M114"/>
    </row>
    <row r="115" spans="1:13" ht="12.75">
      <c r="A115" s="1747" t="s">
        <v>522</v>
      </c>
      <c r="B115" s="1747" t="s">
        <v>522</v>
      </c>
      <c r="C115" s="1748"/>
      <c r="D115" s="1748"/>
      <c r="E115" s="1897"/>
      <c r="F115" s="1748"/>
      <c r="G115" s="1718"/>
      <c r="H115" s="1716"/>
      <c r="I115" s="1716"/>
      <c r="J115" s="1716"/>
      <c r="K115" s="1719"/>
      <c r="L115" s="1747"/>
      <c r="M115"/>
    </row>
    <row r="116" spans="1:13" ht="12.75">
      <c r="A116" s="1747" t="s">
        <v>1071</v>
      </c>
      <c r="B116" s="1747" t="s">
        <v>160</v>
      </c>
      <c r="C116" s="1748"/>
      <c r="D116" s="1748"/>
      <c r="E116" s="1897">
        <v>-16</v>
      </c>
      <c r="F116" s="1748">
        <v>-16</v>
      </c>
      <c r="G116" s="1718"/>
      <c r="H116" s="1716"/>
      <c r="I116" s="1716"/>
      <c r="J116" s="1716"/>
      <c r="K116" s="1719"/>
      <c r="L116" s="1747"/>
      <c r="M116"/>
    </row>
    <row r="117" spans="1:13">
      <c r="A117" s="1747" t="s">
        <v>150</v>
      </c>
      <c r="B117" s="1747" t="s">
        <v>160</v>
      </c>
      <c r="C117" s="1748"/>
      <c r="D117" s="1748"/>
      <c r="E117" s="1897">
        <v>-29</v>
      </c>
      <c r="F117" s="1748">
        <v>-29</v>
      </c>
      <c r="G117" s="1718"/>
      <c r="H117" s="1716"/>
      <c r="I117" s="1716"/>
      <c r="J117" s="1716"/>
      <c r="K117" s="1719"/>
      <c r="L117" s="1747"/>
    </row>
    <row r="118" spans="1:13">
      <c r="A118" s="1747" t="s">
        <v>734</v>
      </c>
      <c r="B118" s="1747" t="s">
        <v>160</v>
      </c>
      <c r="C118" s="1748"/>
      <c r="D118" s="1748"/>
      <c r="E118" s="1897">
        <v>-13</v>
      </c>
      <c r="F118" s="1748">
        <v>-13</v>
      </c>
      <c r="G118" s="1718"/>
      <c r="H118" s="1716"/>
      <c r="I118" s="1716"/>
      <c r="J118" s="1716"/>
      <c r="K118" s="1719"/>
      <c r="L118" s="1747"/>
    </row>
    <row r="119" spans="1:13">
      <c r="A119" s="1747" t="s">
        <v>1284</v>
      </c>
      <c r="B119" s="1747" t="s">
        <v>160</v>
      </c>
      <c r="C119" s="1748"/>
      <c r="D119" s="1748"/>
      <c r="E119" s="1897">
        <v>-328</v>
      </c>
      <c r="F119" s="1748">
        <v>-328</v>
      </c>
      <c r="G119" s="1718"/>
      <c r="H119" s="1716"/>
      <c r="I119" s="1716"/>
      <c r="J119" s="1716"/>
      <c r="K119" s="1719"/>
      <c r="L119" s="1747"/>
    </row>
    <row r="120" spans="1:13">
      <c r="A120" s="1747" t="s">
        <v>588</v>
      </c>
      <c r="B120" s="1747" t="s">
        <v>160</v>
      </c>
      <c r="C120" s="1748"/>
      <c r="D120" s="1748"/>
      <c r="E120" s="1897">
        <v>-18</v>
      </c>
      <c r="F120" s="1748">
        <v>-18</v>
      </c>
      <c r="G120" s="1718"/>
      <c r="H120" s="1716"/>
      <c r="I120" s="1716"/>
      <c r="J120" s="1716"/>
      <c r="K120" s="1719"/>
      <c r="L120" s="1747"/>
    </row>
    <row r="121" spans="1:13">
      <c r="A121" s="1747" t="s">
        <v>151</v>
      </c>
      <c r="B121" s="1747" t="s">
        <v>160</v>
      </c>
      <c r="C121" s="1748"/>
      <c r="D121" s="1748"/>
      <c r="E121" s="1897">
        <v>-152</v>
      </c>
      <c r="F121" s="1748">
        <v>-152</v>
      </c>
      <c r="G121" s="1718"/>
      <c r="H121" s="1716"/>
      <c r="I121" s="1716"/>
      <c r="J121" s="1716"/>
      <c r="K121" s="1719"/>
      <c r="L121" s="1747"/>
    </row>
    <row r="122" spans="1:13">
      <c r="A122" s="1747" t="s">
        <v>1075</v>
      </c>
      <c r="B122" s="1747" t="s">
        <v>160</v>
      </c>
      <c r="C122" s="1748"/>
      <c r="D122" s="1748"/>
      <c r="E122" s="1897">
        <v>-286</v>
      </c>
      <c r="F122" s="1748">
        <v>-286</v>
      </c>
      <c r="G122" s="1718"/>
      <c r="H122" s="1716"/>
      <c r="I122" s="1716"/>
      <c r="J122" s="1716"/>
      <c r="K122" s="1719"/>
      <c r="L122" s="1747"/>
    </row>
    <row r="123" spans="1:13">
      <c r="A123" s="1747" t="s">
        <v>1215</v>
      </c>
      <c r="B123" s="1747" t="s">
        <v>160</v>
      </c>
      <c r="C123" s="1748"/>
      <c r="D123" s="1748"/>
      <c r="E123" s="1897">
        <v>-26</v>
      </c>
      <c r="F123" s="1748">
        <v>-26</v>
      </c>
      <c r="G123" s="1718"/>
      <c r="H123" s="1716"/>
      <c r="I123" s="1716"/>
      <c r="J123" s="1716"/>
      <c r="K123" s="1719"/>
      <c r="L123" s="1747"/>
    </row>
    <row r="124" spans="1:13">
      <c r="A124" s="1747" t="s">
        <v>1300</v>
      </c>
      <c r="B124" s="1747" t="s">
        <v>160</v>
      </c>
      <c r="C124" s="1748"/>
      <c r="D124" s="1748"/>
      <c r="E124" s="1897">
        <v>-2</v>
      </c>
      <c r="F124" s="1748">
        <v>-2</v>
      </c>
      <c r="G124" s="1718"/>
      <c r="H124" s="1716"/>
      <c r="I124" s="1716"/>
      <c r="J124" s="1716"/>
      <c r="K124" s="1719"/>
      <c r="L124" s="1747"/>
    </row>
    <row r="125" spans="1:13">
      <c r="A125" s="1747" t="s">
        <v>1297</v>
      </c>
      <c r="B125" s="1747" t="s">
        <v>160</v>
      </c>
      <c r="C125" s="1748"/>
      <c r="D125" s="1748"/>
      <c r="E125" s="1897">
        <v>-17</v>
      </c>
      <c r="F125" s="1748">
        <v>-17</v>
      </c>
      <c r="G125" s="1718"/>
      <c r="H125" s="1716"/>
      <c r="I125" s="1716"/>
      <c r="J125" s="1716"/>
      <c r="K125" s="1719"/>
      <c r="L125" s="1747"/>
    </row>
    <row r="126" spans="1:13">
      <c r="A126" s="1747" t="s">
        <v>1317</v>
      </c>
      <c r="B126" s="1747" t="s">
        <v>160</v>
      </c>
      <c r="C126" s="1748"/>
      <c r="D126" s="1748"/>
      <c r="E126" s="1897">
        <v>-100</v>
      </c>
      <c r="F126" s="1748">
        <v>-100</v>
      </c>
      <c r="G126" s="1718"/>
      <c r="H126" s="1716"/>
      <c r="I126" s="1716"/>
      <c r="J126" s="1716"/>
      <c r="K126" s="1719"/>
      <c r="L126" s="1747"/>
    </row>
    <row r="127" spans="1:13">
      <c r="A127" s="1747" t="s">
        <v>1301</v>
      </c>
      <c r="B127" s="1747" t="s">
        <v>160</v>
      </c>
      <c r="C127" s="1748"/>
      <c r="D127" s="1748"/>
      <c r="E127" s="1897">
        <v>-137</v>
      </c>
      <c r="F127" s="1748">
        <v>-137</v>
      </c>
      <c r="G127" s="1718"/>
      <c r="H127" s="1716"/>
      <c r="I127" s="1716"/>
      <c r="J127" s="1716"/>
      <c r="K127" s="1719"/>
      <c r="L127" s="1747"/>
    </row>
    <row r="128" spans="1:13">
      <c r="A128" s="1747" t="s">
        <v>524</v>
      </c>
      <c r="B128" s="1747" t="s">
        <v>160</v>
      </c>
      <c r="C128" s="1748"/>
      <c r="D128" s="1748"/>
      <c r="E128" s="1897">
        <v>-1</v>
      </c>
      <c r="F128" s="1748">
        <v>-1</v>
      </c>
      <c r="G128" s="1718"/>
      <c r="H128" s="1716"/>
      <c r="I128" s="1716"/>
      <c r="J128" s="1716"/>
      <c r="K128" s="1719"/>
      <c r="L128" s="1747"/>
    </row>
    <row r="129" spans="1:12">
      <c r="A129" s="1747" t="s">
        <v>1321</v>
      </c>
      <c r="B129" s="1747" t="s">
        <v>160</v>
      </c>
      <c r="C129" s="1748"/>
      <c r="D129" s="1748"/>
      <c r="E129" s="1897">
        <v>-74</v>
      </c>
      <c r="F129" s="1748">
        <v>-74</v>
      </c>
      <c r="G129" s="1718"/>
      <c r="H129" s="1716"/>
      <c r="I129" s="1716"/>
      <c r="J129" s="1716"/>
      <c r="K129" s="1719"/>
      <c r="L129" s="1747"/>
    </row>
    <row r="130" spans="1:12">
      <c r="A130" s="1747" t="s">
        <v>525</v>
      </c>
      <c r="B130" s="1747" t="s">
        <v>160</v>
      </c>
      <c r="C130" s="1748"/>
      <c r="D130" s="1748"/>
      <c r="E130" s="1897">
        <v>-605</v>
      </c>
      <c r="F130" s="1748">
        <v>-605</v>
      </c>
      <c r="G130" s="1718"/>
      <c r="H130" s="1716"/>
      <c r="I130" s="1716"/>
      <c r="J130" s="1716"/>
      <c r="K130" s="1719"/>
      <c r="L130" s="1747"/>
    </row>
    <row r="131" spans="1:12">
      <c r="A131" s="1747" t="s">
        <v>1299</v>
      </c>
      <c r="B131" s="1747" t="s">
        <v>160</v>
      </c>
      <c r="C131" s="1748"/>
      <c r="D131" s="1748"/>
      <c r="E131" s="1897">
        <v>-32</v>
      </c>
      <c r="F131" s="1748">
        <v>-32</v>
      </c>
      <c r="G131" s="1718"/>
      <c r="H131" s="1716"/>
      <c r="I131" s="1716"/>
      <c r="J131" s="1716"/>
      <c r="K131" s="1719"/>
      <c r="L131" s="1747"/>
    </row>
    <row r="132" spans="1:12">
      <c r="A132" s="1747" t="s">
        <v>1318</v>
      </c>
      <c r="B132" s="1747" t="s">
        <v>160</v>
      </c>
      <c r="C132" s="1748"/>
      <c r="D132" s="1748"/>
      <c r="E132" s="1897">
        <v>-5</v>
      </c>
      <c r="F132" s="1748">
        <v>-5</v>
      </c>
      <c r="G132" s="1718"/>
      <c r="H132" s="1716"/>
      <c r="I132" s="1716"/>
      <c r="J132" s="1716"/>
      <c r="K132" s="1719"/>
      <c r="L132" s="1747"/>
    </row>
    <row r="133" spans="1:12">
      <c r="A133" s="1747" t="s">
        <v>291</v>
      </c>
      <c r="B133" s="1747" t="s">
        <v>160</v>
      </c>
      <c r="C133" s="1748"/>
      <c r="D133" s="1748"/>
      <c r="E133" s="1897">
        <v>-1084</v>
      </c>
      <c r="F133" s="1748">
        <v>-1084</v>
      </c>
      <c r="G133" s="1718"/>
      <c r="H133" s="1716"/>
      <c r="I133" s="1716"/>
      <c r="J133" s="1716"/>
      <c r="K133" s="1719"/>
      <c r="L133" s="1747"/>
    </row>
    <row r="134" spans="1:12">
      <c r="A134" s="1747" t="s">
        <v>1322</v>
      </c>
      <c r="B134" s="1747" t="s">
        <v>160</v>
      </c>
      <c r="C134" s="1748"/>
      <c r="D134" s="1748"/>
      <c r="E134" s="1897">
        <v>-40</v>
      </c>
      <c r="F134" s="1748">
        <v>-40</v>
      </c>
      <c r="G134" s="1718"/>
      <c r="H134" s="1716"/>
      <c r="I134" s="1716"/>
      <c r="J134" s="1716"/>
      <c r="K134" s="1719"/>
      <c r="L134" s="1747"/>
    </row>
    <row r="135" spans="1:12">
      <c r="A135" s="1747" t="s">
        <v>147</v>
      </c>
      <c r="B135" s="1747" t="s">
        <v>160</v>
      </c>
      <c r="C135" s="1748"/>
      <c r="D135" s="1748"/>
      <c r="E135" s="1897">
        <v>-55</v>
      </c>
      <c r="F135" s="1748">
        <v>-55</v>
      </c>
      <c r="G135" s="1718"/>
      <c r="H135" s="1716"/>
      <c r="I135" s="1716"/>
      <c r="J135" s="1716"/>
      <c r="K135" s="1719"/>
      <c r="L135" s="1747"/>
    </row>
    <row r="136" spans="1:12">
      <c r="A136" s="1747" t="s">
        <v>148</v>
      </c>
      <c r="B136" s="1747" t="s">
        <v>160</v>
      </c>
      <c r="C136" s="1748"/>
      <c r="D136" s="1748"/>
      <c r="E136" s="1897">
        <v>-1</v>
      </c>
      <c r="F136" s="1748">
        <v>-1</v>
      </c>
      <c r="G136" s="1718"/>
      <c r="H136" s="1716"/>
      <c r="I136" s="1716"/>
      <c r="J136" s="1716"/>
      <c r="K136" s="1719"/>
      <c r="L136" s="1747"/>
    </row>
    <row r="137" spans="1:12">
      <c r="A137" s="1747" t="s">
        <v>528</v>
      </c>
      <c r="B137" s="1747" t="s">
        <v>160</v>
      </c>
      <c r="C137" s="1748"/>
      <c r="D137" s="1748"/>
      <c r="E137" s="1897">
        <v>-95</v>
      </c>
      <c r="F137" s="1748">
        <v>-95</v>
      </c>
      <c r="G137" s="1718"/>
      <c r="H137" s="1716"/>
      <c r="I137" s="1716"/>
      <c r="J137" s="1716"/>
      <c r="K137" s="1719"/>
      <c r="L137" s="1747"/>
    </row>
    <row r="138" spans="1:12">
      <c r="A138" s="1747" t="s">
        <v>529</v>
      </c>
      <c r="B138" s="1747" t="s">
        <v>160</v>
      </c>
      <c r="C138" s="1748"/>
      <c r="D138" s="1748"/>
      <c r="E138" s="1897">
        <v>-261</v>
      </c>
      <c r="F138" s="1748">
        <v>-261</v>
      </c>
      <c r="G138" s="1718"/>
      <c r="H138" s="1716"/>
      <c r="I138" s="1716"/>
      <c r="J138" s="1716"/>
      <c r="K138" s="1719"/>
      <c r="L138" s="1747"/>
    </row>
    <row r="139" spans="1:12">
      <c r="A139" s="1747" t="s">
        <v>152</v>
      </c>
      <c r="B139" s="1747" t="s">
        <v>160</v>
      </c>
      <c r="C139" s="1748"/>
      <c r="D139" s="1748"/>
      <c r="E139" s="1897">
        <v>-109</v>
      </c>
      <c r="F139" s="1748">
        <v>-109</v>
      </c>
      <c r="G139" s="1718"/>
      <c r="H139" s="1716"/>
      <c r="I139" s="1716"/>
      <c r="J139" s="1716"/>
      <c r="K139" s="1719"/>
      <c r="L139" s="1747"/>
    </row>
    <row r="140" spans="1:12">
      <c r="A140" s="1747" t="s">
        <v>1323</v>
      </c>
      <c r="B140" s="1747" t="s">
        <v>160</v>
      </c>
      <c r="C140" s="1748"/>
      <c r="D140" s="1748"/>
      <c r="E140" s="1897">
        <v>-13</v>
      </c>
      <c r="F140" s="1748">
        <v>-13</v>
      </c>
      <c r="G140" s="1718"/>
      <c r="H140" s="1716"/>
      <c r="I140" s="1716"/>
      <c r="J140" s="1716"/>
      <c r="K140" s="1719"/>
      <c r="L140" s="1747"/>
    </row>
    <row r="141" spans="1:12">
      <c r="A141" s="1747" t="s">
        <v>530</v>
      </c>
      <c r="B141" s="1747" t="s">
        <v>160</v>
      </c>
      <c r="C141" s="1748"/>
      <c r="D141" s="1748"/>
      <c r="E141" s="1897">
        <v>-7</v>
      </c>
      <c r="F141" s="1748">
        <v>-7</v>
      </c>
      <c r="G141" s="1718"/>
      <c r="H141" s="1716"/>
      <c r="I141" s="1716"/>
      <c r="J141" s="1716"/>
      <c r="K141" s="1719"/>
      <c r="L141" s="1747"/>
    </row>
    <row r="142" spans="1:12">
      <c r="A142" s="1747"/>
      <c r="B142" s="1747"/>
      <c r="C142" s="1748"/>
      <c r="D142" s="1748"/>
      <c r="E142" s="1897"/>
      <c r="F142" s="1748"/>
      <c r="G142" s="1718"/>
      <c r="H142" s="1716"/>
      <c r="I142" s="1716"/>
      <c r="J142" s="1716"/>
      <c r="K142" s="1719"/>
      <c r="L142" s="1747"/>
    </row>
    <row r="143" spans="1:12">
      <c r="A143" s="1747"/>
      <c r="B143" s="1747"/>
      <c r="C143" s="1748"/>
      <c r="D143" s="1748"/>
      <c r="E143" s="1897"/>
      <c r="F143" s="1748"/>
      <c r="G143" s="1718"/>
      <c r="H143" s="1716"/>
      <c r="I143" s="1716"/>
      <c r="J143" s="1716"/>
      <c r="K143" s="1719"/>
      <c r="L143" s="1747"/>
    </row>
    <row r="144" spans="1:12">
      <c r="A144" s="1747" t="s">
        <v>522</v>
      </c>
      <c r="B144" s="1747"/>
      <c r="C144" s="1748"/>
      <c r="D144" s="1748"/>
      <c r="E144" s="1748"/>
      <c r="F144" s="1748"/>
      <c r="G144" s="1718"/>
      <c r="H144" s="1716"/>
      <c r="I144" s="1716"/>
      <c r="J144" s="1716"/>
      <c r="K144" s="1719"/>
      <c r="L144" s="1747"/>
    </row>
    <row r="145" spans="1:13" ht="13.5" thickBot="1">
      <c r="A145" s="1109"/>
      <c r="B145" s="1560"/>
      <c r="C145" s="1516"/>
      <c r="D145" s="1516"/>
      <c r="E145" s="1516"/>
      <c r="F145" s="1516"/>
      <c r="G145" s="1517"/>
      <c r="H145" s="1517"/>
      <c r="I145" s="1517"/>
      <c r="J145" s="1517"/>
      <c r="K145" s="1661"/>
      <c r="L145" s="2"/>
    </row>
    <row r="146" spans="1:13">
      <c r="A146" s="1518" t="s">
        <v>851</v>
      </c>
      <c r="B146" s="1519"/>
      <c r="C146" s="1542">
        <f>SUM(C39:C145)</f>
        <v>16712896</v>
      </c>
      <c r="D146" s="1542">
        <f>SUM(D39:D145)</f>
        <v>1409628</v>
      </c>
      <c r="E146" s="1542">
        <f>SUM(E39:E145)</f>
        <v>16248890</v>
      </c>
      <c r="F146" s="1542">
        <f>SUM(F39:F145)</f>
        <v>34371414</v>
      </c>
      <c r="G146" s="1542">
        <v>0</v>
      </c>
      <c r="H146" s="1542">
        <v>0</v>
      </c>
      <c r="I146" s="1542">
        <v>0</v>
      </c>
      <c r="J146" s="1542">
        <v>0</v>
      </c>
      <c r="K146" s="1543">
        <f>SUM(K39:K145)</f>
        <v>2682974</v>
      </c>
      <c r="L146" s="1513"/>
    </row>
    <row r="147" spans="1:13">
      <c r="A147" s="1510" t="s">
        <v>161</v>
      </c>
      <c r="B147" s="1511"/>
      <c r="C147" s="1511"/>
      <c r="D147" s="1511"/>
      <c r="E147" s="1511"/>
      <c r="F147" s="1515">
        <v>36229675</v>
      </c>
      <c r="G147" s="1511"/>
      <c r="H147" s="1520"/>
      <c r="I147" s="1520"/>
      <c r="J147" s="1520"/>
      <c r="K147" s="1512"/>
      <c r="L147" s="1513"/>
    </row>
    <row r="148" spans="1:13">
      <c r="A148" s="1510" t="s">
        <v>294</v>
      </c>
      <c r="B148" s="1511"/>
      <c r="C148" s="1511"/>
      <c r="D148" s="1511"/>
      <c r="E148" s="1511"/>
      <c r="F148" s="645">
        <f>F146-F147</f>
        <v>-1858261</v>
      </c>
      <c r="G148" s="1511"/>
      <c r="H148" s="1520"/>
      <c r="I148" s="1520"/>
      <c r="J148" s="1520"/>
      <c r="K148" s="1512"/>
      <c r="L148" s="1513"/>
    </row>
    <row r="149" spans="1:13">
      <c r="A149" s="1510" t="s">
        <v>849</v>
      </c>
      <c r="B149" s="1520"/>
      <c r="C149" s="1520"/>
      <c r="D149" s="1520"/>
      <c r="E149" s="1520"/>
      <c r="F149" s="1520"/>
      <c r="G149" s="1520"/>
      <c r="H149" s="1520"/>
      <c r="I149" s="1520"/>
      <c r="J149" s="1520"/>
      <c r="K149" s="1521">
        <v>0</v>
      </c>
      <c r="L149" s="1513"/>
    </row>
    <row r="150" spans="1:13">
      <c r="A150" s="1510" t="s">
        <v>204</v>
      </c>
      <c r="B150" s="1520"/>
      <c r="C150" s="1520"/>
      <c r="D150" s="1520"/>
      <c r="E150" s="1520"/>
      <c r="F150" s="1520"/>
      <c r="G150" s="1520"/>
      <c r="H150" s="1520"/>
      <c r="I150" s="1520"/>
      <c r="J150" s="1520"/>
      <c r="K150" s="1514">
        <f>K57+K61+K66+K70+K71+K72+K73+K76+K79+K81+K87+K92+K96+K99+K101</f>
        <v>1628482</v>
      </c>
    </row>
    <row r="151" spans="1:13">
      <c r="A151" s="1510" t="s">
        <v>205</v>
      </c>
      <c r="B151" s="1520"/>
      <c r="C151" s="1520"/>
      <c r="D151" s="1520"/>
      <c r="E151" s="1520"/>
      <c r="F151" s="1520"/>
      <c r="G151" s="1520"/>
      <c r="H151" s="1520"/>
      <c r="I151" s="1520"/>
      <c r="J151" s="1520"/>
      <c r="K151" s="1521">
        <v>0</v>
      </c>
    </row>
    <row r="152" spans="1:13">
      <c r="A152" s="1510" t="s">
        <v>206</v>
      </c>
      <c r="B152" s="1520"/>
      <c r="C152" s="1520"/>
      <c r="D152" s="1520"/>
      <c r="E152" s="1520"/>
      <c r="F152" s="1520"/>
      <c r="G152" s="1520"/>
      <c r="H152" s="1520"/>
      <c r="I152" s="1520"/>
      <c r="J152" s="1520"/>
      <c r="K152" s="1521">
        <f>K103+K102+K100+K98+K97+K95+K94+K93+K91+K90+K89+K88+K86+K85+K84+K83+K82+K80+K78+K77+K75+K69+K68+K67+K56</f>
        <v>1054492</v>
      </c>
    </row>
    <row r="153" spans="1:13" ht="12" thickBot="1">
      <c r="A153" s="1522" t="s">
        <v>713</v>
      </c>
      <c r="B153" s="1560"/>
      <c r="C153" s="1560"/>
      <c r="D153" s="1560"/>
      <c r="E153" s="1560"/>
      <c r="F153" s="1560"/>
      <c r="G153" s="1560"/>
      <c r="H153" s="1560"/>
      <c r="I153" s="1560"/>
      <c r="J153" s="1560"/>
      <c r="K153" s="1523">
        <f>SUM(K149:K152)</f>
        <v>2682974</v>
      </c>
      <c r="L153" s="1513"/>
    </row>
    <row r="155" spans="1:13">
      <c r="K155" s="647"/>
    </row>
    <row r="156" spans="1:13">
      <c r="I156" s="1559"/>
      <c r="K156" s="647"/>
    </row>
    <row r="157" spans="1:13" ht="12.75">
      <c r="C157" s="1895"/>
      <c r="D157" s="1895"/>
      <c r="E157" s="1895"/>
      <c r="F157" s="1896"/>
      <c r="G157" s="1897"/>
      <c r="H157" s="1748"/>
      <c r="I157" s="1718"/>
      <c r="J157" s="1720"/>
      <c r="K157" s="1720"/>
      <c r="L157" s="1720"/>
      <c r="M157" s="2"/>
    </row>
    <row r="158" spans="1:13" ht="12.75">
      <c r="C158" s="1895"/>
      <c r="D158" s="1895"/>
      <c r="E158" s="1897"/>
      <c r="F158" s="1896"/>
      <c r="G158" s="1897"/>
      <c r="H158" s="1748"/>
      <c r="I158" s="1718"/>
      <c r="J158" s="1716"/>
      <c r="K158" s="1716"/>
      <c r="L158" s="1716"/>
      <c r="M158" s="2"/>
    </row>
    <row r="159" spans="1:13" ht="12.75">
      <c r="C159" s="1895"/>
      <c r="D159" s="1895"/>
      <c r="E159" s="1897"/>
      <c r="F159" s="1896"/>
      <c r="G159" s="1897"/>
      <c r="H159" s="1748"/>
      <c r="I159" s="1718"/>
      <c r="J159" s="1720"/>
      <c r="K159" s="1720"/>
      <c r="L159" s="1720"/>
      <c r="M159" s="2"/>
    </row>
    <row r="160" spans="1:13" ht="12.75">
      <c r="C160" s="1895"/>
      <c r="D160" s="1895"/>
      <c r="E160" s="1895"/>
      <c r="F160" s="1896"/>
      <c r="G160" s="1897"/>
      <c r="H160" s="1748"/>
      <c r="I160" s="1718"/>
      <c r="J160" s="1716"/>
      <c r="K160" s="1716"/>
      <c r="L160" s="1716"/>
      <c r="M160" s="2"/>
    </row>
    <row r="161" spans="1:13" ht="12.75">
      <c r="C161" s="1747"/>
      <c r="D161" s="1747"/>
      <c r="E161" s="1748"/>
      <c r="F161" s="1748"/>
      <c r="G161" s="1748"/>
      <c r="H161" s="1748"/>
      <c r="I161" s="1718"/>
      <c r="J161" s="1716"/>
      <c r="K161" s="1716"/>
      <c r="L161" s="1716"/>
      <c r="M161" s="2"/>
    </row>
    <row r="162" spans="1:13" ht="12.75">
      <c r="C162" s="1747"/>
      <c r="D162" s="1747"/>
      <c r="E162" s="1897"/>
      <c r="F162" s="1896"/>
      <c r="G162" s="1897"/>
      <c r="H162" s="1748"/>
      <c r="I162" s="1718"/>
      <c r="J162" s="1716"/>
      <c r="K162" s="1716"/>
      <c r="L162" s="1716"/>
      <c r="M162" s="2"/>
    </row>
    <row r="163" spans="1:13" ht="12.75">
      <c r="C163" s="1747"/>
      <c r="D163" s="1747"/>
      <c r="E163" s="1897"/>
      <c r="F163" s="1896"/>
      <c r="G163" s="1897"/>
      <c r="H163" s="1748"/>
      <c r="I163" s="1718"/>
      <c r="J163" s="1720"/>
      <c r="K163" s="1720"/>
      <c r="L163" s="1720"/>
      <c r="M163" s="2"/>
    </row>
    <row r="164" spans="1:13" ht="12.75">
      <c r="A164" s="1747"/>
      <c r="B164" s="1747"/>
      <c r="C164" s="1747"/>
      <c r="D164" s="1747"/>
      <c r="E164" s="1897"/>
      <c r="F164" s="1896"/>
      <c r="G164" s="1897"/>
      <c r="H164" s="1748"/>
      <c r="I164" s="1718"/>
      <c r="J164" s="1720"/>
      <c r="K164" s="1720"/>
      <c r="L164" s="1720"/>
      <c r="M164" s="2"/>
    </row>
    <row r="165" spans="1:13" ht="12.75">
      <c r="A165" s="1747"/>
      <c r="B165" s="1747"/>
      <c r="C165" s="1747"/>
      <c r="D165" s="1747"/>
      <c r="E165" s="1897"/>
      <c r="F165" s="1896"/>
      <c r="G165" s="1897"/>
      <c r="H165" s="1748"/>
      <c r="I165" s="1718"/>
      <c r="J165" s="1716"/>
      <c r="K165" s="1716"/>
      <c r="L165" s="1716"/>
      <c r="M165" s="2"/>
    </row>
    <row r="166" spans="1:13" ht="12.75">
      <c r="A166" s="1747"/>
      <c r="B166" s="1747"/>
      <c r="C166" s="1747"/>
      <c r="D166" s="1747"/>
      <c r="E166" s="1896"/>
      <c r="F166" s="1896"/>
      <c r="G166" s="1896"/>
      <c r="H166" s="1748"/>
      <c r="I166" s="1718"/>
      <c r="J166" s="1716"/>
      <c r="K166" s="1716"/>
      <c r="L166" s="1716"/>
      <c r="M166" s="2"/>
    </row>
    <row r="167" spans="1:13" ht="12.75">
      <c r="A167" s="1747"/>
      <c r="B167" s="1747"/>
      <c r="C167" s="1747"/>
      <c r="D167" s="1747"/>
      <c r="E167" s="1897"/>
      <c r="F167" s="1895"/>
      <c r="G167" s="1897"/>
      <c r="H167" s="1748"/>
      <c r="I167" s="1718"/>
      <c r="J167" s="1716"/>
      <c r="K167" s="1716"/>
      <c r="L167" s="1716"/>
      <c r="M167" s="2"/>
    </row>
    <row r="168" spans="1:13" ht="12.75">
      <c r="A168" s="1747"/>
      <c r="B168" s="1747"/>
      <c r="C168" s="1747"/>
      <c r="D168" s="1747"/>
      <c r="E168" s="1897"/>
      <c r="F168" s="1895"/>
      <c r="G168" s="1897"/>
      <c r="H168" s="1748"/>
      <c r="I168" s="1718"/>
      <c r="J168" s="1716"/>
      <c r="K168" s="1716"/>
      <c r="L168" s="1716"/>
      <c r="M168" s="2"/>
    </row>
    <row r="169" spans="1:13" ht="12.75">
      <c r="A169" s="1747"/>
      <c r="B169" s="1747"/>
      <c r="C169" s="1747"/>
      <c r="D169" s="1747"/>
      <c r="E169" s="1897"/>
      <c r="F169" s="1895"/>
      <c r="G169" s="1897"/>
      <c r="H169" s="1748"/>
      <c r="I169" s="1718"/>
      <c r="J169" s="1716"/>
      <c r="K169" s="1716"/>
      <c r="L169" s="1716"/>
      <c r="M169" s="2"/>
    </row>
    <row r="170" spans="1:13" ht="12.75">
      <c r="A170" s="1747"/>
      <c r="B170" s="1747"/>
      <c r="C170" s="1747"/>
      <c r="D170" s="1747"/>
      <c r="E170" s="1897"/>
      <c r="F170" s="1895"/>
      <c r="G170" s="1897"/>
      <c r="H170" s="1748"/>
      <c r="I170" s="1718"/>
      <c r="J170" s="1716"/>
      <c r="K170" s="1716"/>
      <c r="L170" s="1716"/>
      <c r="M170" s="2"/>
    </row>
    <row r="171" spans="1:13" ht="12.75">
      <c r="A171" s="1747"/>
      <c r="B171" s="1747"/>
      <c r="C171" s="1747"/>
      <c r="D171" s="1747"/>
      <c r="E171" s="1748"/>
      <c r="F171" s="1748"/>
      <c r="G171" s="1748"/>
      <c r="H171" s="1748"/>
      <c r="I171" s="1718"/>
      <c r="J171" s="1720"/>
      <c r="K171" s="1720"/>
      <c r="L171" s="1720"/>
      <c r="M171" s="2"/>
    </row>
    <row r="172" spans="1:13">
      <c r="A172" s="1747"/>
      <c r="B172" s="1747"/>
      <c r="C172" s="1747"/>
      <c r="D172" s="1747"/>
      <c r="E172" s="1897"/>
      <c r="F172" s="1895"/>
      <c r="G172" s="1897"/>
      <c r="H172" s="1748"/>
      <c r="I172" s="1718"/>
      <c r="J172" s="1716"/>
      <c r="K172" s="1716"/>
      <c r="L172" s="1716"/>
      <c r="M172" s="1747"/>
    </row>
    <row r="173" spans="1:13">
      <c r="A173" s="1747"/>
      <c r="B173" s="1747"/>
      <c r="C173" s="1747"/>
      <c r="D173" s="1747"/>
      <c r="E173" s="1897"/>
      <c r="F173" s="1895"/>
      <c r="G173" s="1897"/>
      <c r="H173" s="1748"/>
      <c r="I173" s="1718"/>
      <c r="J173" s="1716"/>
      <c r="K173" s="1716"/>
      <c r="L173" s="1716"/>
      <c r="M173" s="1747"/>
    </row>
    <row r="174" spans="1:13" ht="12.75">
      <c r="A174" s="1747"/>
      <c r="B174" s="1747"/>
      <c r="C174" s="1747"/>
      <c r="D174" s="1747"/>
      <c r="E174" s="1897"/>
      <c r="F174" s="1895"/>
      <c r="G174" s="1897"/>
      <c r="H174" s="1748"/>
      <c r="I174" s="1718"/>
      <c r="J174" s="1720"/>
      <c r="K174" s="1720"/>
      <c r="L174" s="1720"/>
      <c r="M174" s="2"/>
    </row>
    <row r="175" spans="1:13">
      <c r="A175" s="1747"/>
      <c r="B175" s="1747"/>
      <c r="C175" s="1747"/>
      <c r="D175" s="1747"/>
      <c r="E175" s="1895"/>
      <c r="F175" s="1895"/>
      <c r="G175" s="1897"/>
      <c r="H175" s="1748"/>
      <c r="I175" s="1718"/>
      <c r="J175" s="1716"/>
      <c r="K175" s="1716"/>
      <c r="L175" s="1785"/>
      <c r="M175" s="1747"/>
    </row>
    <row r="176" spans="1:13">
      <c r="A176" s="1747"/>
      <c r="B176" s="1747"/>
      <c r="C176" s="1747"/>
      <c r="D176" s="1747"/>
      <c r="E176" s="1897"/>
      <c r="F176" s="1895"/>
      <c r="G176" s="1897"/>
      <c r="H176" s="1748"/>
      <c r="I176" s="1718"/>
      <c r="J176" s="1716"/>
      <c r="K176" s="1716"/>
      <c r="L176" s="1716"/>
      <c r="M176" s="1747"/>
    </row>
    <row r="177" spans="1:13">
      <c r="A177" s="1747"/>
      <c r="B177" s="1747"/>
      <c r="C177" s="1747"/>
      <c r="D177" s="1747"/>
      <c r="E177" s="1897"/>
      <c r="F177" s="1895"/>
      <c r="G177" s="1897"/>
      <c r="H177" s="1748"/>
      <c r="I177" s="1718"/>
      <c r="J177" s="1716"/>
      <c r="K177" s="1716"/>
      <c r="L177" s="1716"/>
      <c r="M177" s="1747"/>
    </row>
    <row r="178" spans="1:13">
      <c r="A178" s="1747"/>
      <c r="B178" s="1747"/>
      <c r="C178" s="1747"/>
      <c r="D178" s="1747"/>
      <c r="E178" s="1897"/>
      <c r="F178" s="1895"/>
      <c r="G178" s="1897"/>
      <c r="H178" s="1748"/>
      <c r="I178" s="1718"/>
      <c r="J178" s="1716"/>
      <c r="K178" s="1716"/>
      <c r="L178" s="1716"/>
      <c r="M178" s="1747"/>
    </row>
    <row r="179" spans="1:13">
      <c r="A179" s="1747"/>
      <c r="B179" s="1747"/>
      <c r="C179" s="1747"/>
      <c r="D179" s="1747"/>
      <c r="E179" s="1897"/>
      <c r="F179" s="1895"/>
      <c r="G179" s="1897"/>
      <c r="H179" s="1748"/>
      <c r="I179" s="1718"/>
      <c r="J179" s="1716"/>
      <c r="K179" s="1716"/>
      <c r="L179" s="1716"/>
      <c r="M179" s="1747"/>
    </row>
    <row r="180" spans="1:13">
      <c r="A180" s="1747"/>
      <c r="B180" s="1747"/>
      <c r="C180" s="1747"/>
      <c r="D180" s="1747"/>
      <c r="E180" s="1897"/>
      <c r="F180" s="1895"/>
      <c r="G180" s="1897"/>
      <c r="H180" s="1748"/>
      <c r="I180" s="1718"/>
      <c r="J180" s="1716"/>
      <c r="K180" s="1716"/>
      <c r="L180" s="1716"/>
      <c r="M180" s="1747"/>
    </row>
    <row r="181" spans="1:13">
      <c r="A181" s="1747"/>
      <c r="B181" s="1747"/>
      <c r="C181" s="1898"/>
      <c r="D181" s="1747"/>
      <c r="E181" s="1897"/>
      <c r="F181" s="1895"/>
      <c r="G181" s="1897"/>
      <c r="H181" s="1748"/>
      <c r="I181" s="1718"/>
      <c r="J181" s="1716"/>
      <c r="K181" s="1716"/>
      <c r="L181" s="1716"/>
      <c r="M181" s="1741"/>
    </row>
    <row r="182" spans="1:13">
      <c r="A182" s="1747"/>
      <c r="B182" s="1747"/>
      <c r="C182" s="1898"/>
      <c r="D182" s="1747"/>
      <c r="E182" s="1897"/>
      <c r="F182" s="1895"/>
      <c r="G182" s="1897"/>
      <c r="H182" s="1748"/>
      <c r="I182" s="1718"/>
      <c r="J182" s="1716"/>
      <c r="K182" s="1716"/>
      <c r="L182" s="1716"/>
      <c r="M182" s="1741"/>
    </row>
    <row r="183" spans="1:13" ht="12.75">
      <c r="A183" s="1747"/>
      <c r="B183" s="1747"/>
      <c r="C183" s="1747"/>
      <c r="D183" s="1747"/>
      <c r="E183" s="1748"/>
      <c r="F183" s="1748"/>
      <c r="G183" s="1748"/>
      <c r="H183" s="1748"/>
      <c r="I183" s="1718"/>
      <c r="J183" s="1716"/>
      <c r="K183" s="1716"/>
      <c r="L183" s="1716"/>
      <c r="M183" s="2"/>
    </row>
    <row r="184" spans="1:13">
      <c r="A184" s="1747"/>
      <c r="B184" s="1747"/>
      <c r="C184" s="1895"/>
      <c r="D184" s="1747"/>
      <c r="E184" s="1897"/>
      <c r="F184" s="1895"/>
      <c r="G184" s="1897"/>
      <c r="H184" s="1748"/>
      <c r="I184" s="1718"/>
      <c r="J184" s="1716"/>
      <c r="K184" s="1716"/>
      <c r="L184" s="1716"/>
      <c r="M184" s="1747"/>
    </row>
    <row r="185" spans="1:13">
      <c r="A185" s="1747"/>
      <c r="B185" s="1747"/>
      <c r="C185" s="1895"/>
      <c r="D185" s="1747"/>
      <c r="E185" s="1897"/>
      <c r="F185" s="1895"/>
      <c r="G185" s="1897"/>
      <c r="H185" s="1748"/>
      <c r="I185" s="1718"/>
      <c r="J185" s="1716"/>
      <c r="K185" s="1716"/>
      <c r="L185" s="1716"/>
      <c r="M185" s="1747"/>
    </row>
    <row r="186" spans="1:13">
      <c r="A186" s="1747"/>
      <c r="B186" s="1747"/>
      <c r="C186" s="1895"/>
      <c r="D186" s="1747"/>
      <c r="E186" s="1897"/>
      <c r="F186" s="1895"/>
      <c r="G186" s="1897"/>
      <c r="H186" s="1748"/>
      <c r="I186" s="1718"/>
      <c r="J186" s="1716"/>
      <c r="K186" s="1716"/>
      <c r="L186" s="1716"/>
      <c r="M186" s="1747"/>
    </row>
    <row r="187" spans="1:13">
      <c r="A187" s="1747"/>
      <c r="B187" s="1747"/>
      <c r="C187" s="1895"/>
      <c r="D187" s="1747"/>
      <c r="E187" s="1897"/>
      <c r="F187" s="1895"/>
      <c r="G187" s="1897"/>
      <c r="H187" s="1748"/>
      <c r="I187" s="1718"/>
      <c r="J187" s="1716"/>
      <c r="K187" s="1716"/>
      <c r="L187" s="1716"/>
      <c r="M187" s="1747"/>
    </row>
    <row r="188" spans="1:13">
      <c r="A188" s="1747"/>
      <c r="B188" s="1747"/>
      <c r="C188" s="1895"/>
      <c r="D188" s="1747"/>
      <c r="E188" s="1897"/>
      <c r="F188" s="1895"/>
      <c r="G188" s="1897"/>
      <c r="H188" s="1748"/>
      <c r="I188" s="1718"/>
      <c r="J188" s="1716"/>
      <c r="K188" s="1716"/>
      <c r="L188" s="1716"/>
      <c r="M188" s="1747"/>
    </row>
    <row r="189" spans="1:13">
      <c r="A189" s="1747"/>
      <c r="B189" s="1747"/>
      <c r="C189" s="1895"/>
      <c r="D189" s="1747"/>
      <c r="E189" s="1897"/>
      <c r="F189" s="1895"/>
      <c r="G189" s="1897"/>
      <c r="H189" s="1748"/>
      <c r="I189" s="1718"/>
      <c r="J189" s="1716"/>
      <c r="K189" s="1716"/>
      <c r="L189" s="1716"/>
      <c r="M189" s="1747"/>
    </row>
    <row r="190" spans="1:13">
      <c r="A190" s="1747"/>
      <c r="B190" s="1747"/>
      <c r="C190" s="1895"/>
      <c r="D190" s="1747"/>
      <c r="E190" s="1897"/>
      <c r="F190" s="1895"/>
      <c r="G190" s="1897"/>
      <c r="H190" s="1748"/>
      <c r="I190" s="1718"/>
      <c r="J190" s="1716"/>
      <c r="K190" s="1716"/>
      <c r="L190" s="1716"/>
      <c r="M190" s="1747"/>
    </row>
    <row r="191" spans="1:13">
      <c r="A191" s="1747"/>
      <c r="B191" s="1747"/>
      <c r="C191" s="1895"/>
      <c r="D191" s="1898"/>
      <c r="E191" s="1896"/>
      <c r="F191" s="1897"/>
      <c r="G191" s="1897"/>
      <c r="H191" s="1748"/>
      <c r="I191" s="1718"/>
      <c r="J191" s="1716"/>
      <c r="K191" s="1716"/>
      <c r="L191" s="1716"/>
      <c r="M191" s="1747"/>
    </row>
    <row r="192" spans="1:13">
      <c r="A192" s="1747"/>
      <c r="B192" s="1747"/>
      <c r="C192" s="1895"/>
      <c r="D192" s="1898"/>
      <c r="E192" s="1896"/>
      <c r="F192" s="1897"/>
      <c r="G192" s="1897"/>
      <c r="H192" s="1748"/>
      <c r="I192" s="1718"/>
      <c r="J192" s="1720"/>
      <c r="K192" s="1720"/>
      <c r="L192" s="1720"/>
      <c r="M192" s="1747"/>
    </row>
    <row r="193" spans="1:13">
      <c r="A193" s="1747"/>
      <c r="B193" s="1747"/>
      <c r="C193" s="1895"/>
      <c r="D193" s="1898"/>
      <c r="E193" s="1896"/>
      <c r="F193" s="1897"/>
      <c r="G193" s="1897"/>
      <c r="H193" s="1748"/>
      <c r="I193" s="1718"/>
      <c r="J193" s="1720"/>
      <c r="K193" s="1720"/>
      <c r="L193" s="1720"/>
      <c r="M193" s="1747"/>
    </row>
    <row r="194" spans="1:13">
      <c r="A194" s="1747"/>
      <c r="B194" s="1747"/>
      <c r="C194" s="1895"/>
      <c r="D194" s="1898"/>
      <c r="E194" s="1896"/>
      <c r="F194" s="1897"/>
      <c r="G194" s="1897"/>
      <c r="H194" s="1748"/>
      <c r="I194" s="1718"/>
      <c r="J194" s="1720"/>
      <c r="K194" s="1720"/>
      <c r="L194" s="1720"/>
      <c r="M194" s="1747"/>
    </row>
    <row r="195" spans="1:13">
      <c r="A195" s="1747"/>
      <c r="B195" s="1747"/>
      <c r="C195" s="1895"/>
      <c r="D195" s="1898"/>
      <c r="E195" s="1896"/>
      <c r="F195" s="1897"/>
      <c r="G195" s="1897"/>
      <c r="H195" s="1748"/>
      <c r="I195" s="1718"/>
      <c r="J195" s="1720"/>
      <c r="K195" s="1720"/>
      <c r="L195" s="1720"/>
      <c r="M195" s="1747"/>
    </row>
    <row r="196" spans="1:13">
      <c r="A196" s="1747"/>
      <c r="B196" s="1747"/>
      <c r="C196" s="1895"/>
      <c r="D196" s="1898"/>
      <c r="E196" s="1896"/>
      <c r="F196" s="1897"/>
      <c r="G196" s="1897"/>
      <c r="H196" s="1748"/>
      <c r="I196" s="1718"/>
      <c r="J196" s="1720"/>
      <c r="K196" s="1720"/>
      <c r="L196" s="1720"/>
      <c r="M196" s="1747"/>
    </row>
    <row r="197" spans="1:13">
      <c r="A197" s="1747"/>
      <c r="B197" s="1747"/>
      <c r="C197" s="1895"/>
      <c r="D197" s="1898"/>
      <c r="E197" s="1896"/>
      <c r="F197" s="1897"/>
      <c r="G197" s="1897"/>
      <c r="H197" s="1748"/>
      <c r="I197" s="1718"/>
      <c r="J197" s="1716"/>
      <c r="K197" s="1716"/>
      <c r="L197" s="1716"/>
      <c r="M197" s="1747"/>
    </row>
    <row r="198" spans="1:13">
      <c r="A198" s="1747"/>
      <c r="B198" s="1747"/>
      <c r="C198" s="1895"/>
      <c r="D198" s="1898"/>
      <c r="E198" s="1896"/>
      <c r="F198" s="1897"/>
      <c r="G198" s="1897"/>
      <c r="H198" s="1748"/>
      <c r="I198" s="1718"/>
      <c r="J198" s="1716"/>
      <c r="K198" s="1716"/>
      <c r="L198" s="1716"/>
      <c r="M198" s="1747"/>
    </row>
    <row r="199" spans="1:13">
      <c r="A199" s="1747"/>
      <c r="B199" s="1747"/>
      <c r="C199" s="1895"/>
      <c r="D199" s="1898"/>
      <c r="E199" s="1896"/>
      <c r="F199" s="1897"/>
      <c r="G199" s="1897"/>
      <c r="H199" s="1748"/>
      <c r="I199" s="1718"/>
      <c r="J199" s="1716"/>
      <c r="K199" s="1716"/>
      <c r="L199" s="1716"/>
      <c r="M199" s="1747"/>
    </row>
    <row r="200" spans="1:13">
      <c r="A200" s="1747"/>
      <c r="B200" s="1747"/>
      <c r="C200" s="1895"/>
      <c r="D200" s="1898"/>
      <c r="E200" s="1896"/>
      <c r="F200" s="1897"/>
      <c r="G200" s="1897"/>
      <c r="H200" s="1748"/>
      <c r="I200" s="1718"/>
      <c r="J200" s="1716"/>
      <c r="K200" s="1716"/>
      <c r="L200" s="1716"/>
      <c r="M200" s="1747"/>
    </row>
    <row r="201" spans="1:13">
      <c r="A201" s="1747"/>
      <c r="B201" s="1747"/>
      <c r="C201" s="1895"/>
      <c r="D201" s="1898"/>
      <c r="E201" s="1896"/>
      <c r="F201" s="1897"/>
      <c r="G201" s="1897"/>
      <c r="H201" s="1748"/>
      <c r="I201" s="1718"/>
      <c r="J201" s="1716"/>
      <c r="K201" s="1716"/>
      <c r="L201" s="1716"/>
      <c r="M201" s="1747"/>
    </row>
    <row r="202" spans="1:13">
      <c r="A202" s="1747"/>
      <c r="B202" s="1747"/>
      <c r="C202" s="1895"/>
      <c r="D202" s="1898"/>
      <c r="E202" s="1896"/>
      <c r="F202" s="1897"/>
      <c r="G202" s="1897"/>
      <c r="H202" s="1748"/>
      <c r="I202" s="1718"/>
      <c r="J202" s="1716"/>
      <c r="K202" s="1716"/>
      <c r="L202" s="1716"/>
      <c r="M202" s="1747"/>
    </row>
    <row r="203" spans="1:13">
      <c r="A203" s="1747"/>
      <c r="B203" s="1747"/>
      <c r="C203" s="1895"/>
      <c r="D203" s="1898"/>
      <c r="E203" s="1896"/>
      <c r="F203" s="1897"/>
      <c r="G203" s="1897"/>
      <c r="H203" s="1748"/>
      <c r="I203" s="1718"/>
      <c r="J203" s="1716"/>
      <c r="K203" s="1716"/>
      <c r="L203" s="1716"/>
      <c r="M203" s="1747"/>
    </row>
    <row r="204" spans="1:13">
      <c r="A204" s="1747"/>
      <c r="B204" s="1747"/>
      <c r="C204" s="1895"/>
      <c r="D204" s="1898"/>
      <c r="E204" s="1896"/>
      <c r="F204" s="1897"/>
      <c r="G204" s="1897"/>
      <c r="H204" s="1748"/>
      <c r="I204" s="1718"/>
      <c r="J204" s="1716"/>
      <c r="K204" s="1716"/>
      <c r="L204" s="1716"/>
      <c r="M204" s="1747"/>
    </row>
    <row r="205" spans="1:13">
      <c r="A205" s="1747"/>
      <c r="B205" s="1747"/>
      <c r="C205" s="1895"/>
      <c r="D205" s="1898"/>
      <c r="E205" s="1896"/>
      <c r="F205" s="1897"/>
      <c r="G205" s="1897"/>
      <c r="H205" s="1748"/>
      <c r="I205" s="1718"/>
      <c r="J205" s="1716"/>
      <c r="K205" s="1716"/>
      <c r="L205" s="1716"/>
      <c r="M205" s="1747"/>
    </row>
    <row r="206" spans="1:13">
      <c r="A206" s="1747"/>
      <c r="B206" s="1747"/>
      <c r="C206" s="1895"/>
      <c r="D206" s="1898"/>
      <c r="E206" s="1896"/>
      <c r="F206" s="1897"/>
      <c r="G206" s="1897"/>
      <c r="H206" s="1748"/>
      <c r="I206" s="1718"/>
      <c r="J206" s="1716"/>
      <c r="K206" s="1716"/>
      <c r="L206" s="1716"/>
      <c r="M206" s="1747"/>
    </row>
    <row r="207" spans="1:13">
      <c r="A207" s="1747"/>
      <c r="B207" s="1747"/>
      <c r="C207" s="1895"/>
      <c r="D207" s="1898"/>
      <c r="E207" s="1896"/>
      <c r="F207" s="1897"/>
      <c r="G207" s="1897"/>
      <c r="H207" s="1748"/>
      <c r="I207" s="1718"/>
      <c r="J207" s="1720"/>
      <c r="K207" s="1720"/>
      <c r="L207" s="1720"/>
      <c r="M207" s="1747"/>
    </row>
    <row r="208" spans="1:13">
      <c r="A208" s="1747"/>
      <c r="B208" s="1747"/>
      <c r="C208" s="1895"/>
      <c r="D208" s="1898"/>
      <c r="E208" s="1896"/>
      <c r="F208" s="1897"/>
      <c r="G208" s="1897"/>
      <c r="H208" s="1748"/>
      <c r="I208" s="1718"/>
      <c r="J208" s="1720"/>
      <c r="K208" s="1720"/>
      <c r="L208" s="1720"/>
      <c r="M208" s="1747"/>
    </row>
    <row r="209" spans="1:13">
      <c r="A209" s="1747"/>
      <c r="B209" s="1747"/>
      <c r="C209" s="1895"/>
      <c r="D209" s="1898"/>
      <c r="E209" s="1896"/>
      <c r="F209" s="1897"/>
      <c r="G209" s="1897"/>
      <c r="H209" s="1748"/>
      <c r="I209" s="1718"/>
      <c r="J209" s="1720"/>
      <c r="K209" s="1720"/>
      <c r="L209" s="1720"/>
      <c r="M209" s="1747"/>
    </row>
    <row r="210" spans="1:13">
      <c r="A210" s="1747"/>
      <c r="B210" s="1747"/>
      <c r="C210" s="1895"/>
      <c r="D210" s="1898"/>
      <c r="E210" s="1896"/>
      <c r="F210" s="1897"/>
      <c r="G210" s="1897"/>
      <c r="H210" s="1748"/>
      <c r="I210" s="1718"/>
      <c r="J210" s="1720"/>
      <c r="K210" s="1720"/>
      <c r="L210" s="1720"/>
      <c r="M210" s="1747"/>
    </row>
    <row r="211" spans="1:13">
      <c r="A211" s="1747"/>
      <c r="B211" s="1747"/>
      <c r="C211" s="1895"/>
      <c r="D211" s="1898"/>
      <c r="E211" s="1896"/>
      <c r="F211" s="1897"/>
      <c r="G211" s="1897"/>
      <c r="H211" s="1748"/>
      <c r="I211" s="1718"/>
      <c r="J211" s="1720"/>
      <c r="K211" s="1720"/>
      <c r="L211" s="1720"/>
      <c r="M211" s="1747"/>
    </row>
    <row r="212" spans="1:13">
      <c r="A212" s="1747"/>
      <c r="B212" s="1747"/>
      <c r="C212" s="1895"/>
      <c r="D212" s="1898"/>
      <c r="E212" s="1896"/>
      <c r="F212" s="1897"/>
      <c r="G212" s="1897"/>
      <c r="H212" s="1748"/>
      <c r="I212" s="1718"/>
      <c r="J212" s="1720"/>
      <c r="K212" s="1720"/>
      <c r="L212" s="1720"/>
      <c r="M212" s="1747"/>
    </row>
    <row r="213" spans="1:13">
      <c r="A213" s="1747"/>
      <c r="B213" s="1747"/>
      <c r="C213" s="1747"/>
      <c r="D213" s="1747"/>
      <c r="E213" s="1748"/>
      <c r="F213" s="1748"/>
      <c r="G213" s="1748"/>
      <c r="H213" s="1748"/>
      <c r="I213" s="1718"/>
      <c r="J213" s="1716"/>
      <c r="K213" s="1716"/>
      <c r="L213" s="1716"/>
      <c r="M213" s="1747"/>
    </row>
    <row r="214" spans="1:13">
      <c r="A214" s="1747"/>
      <c r="B214" s="1747"/>
      <c r="C214" s="1895"/>
      <c r="D214" s="1747"/>
      <c r="E214" s="1897"/>
      <c r="F214" s="1895"/>
      <c r="G214" s="1897"/>
      <c r="H214" s="1748"/>
      <c r="I214" s="1718"/>
      <c r="J214" s="1716"/>
      <c r="K214" s="1716"/>
      <c r="L214" s="1716"/>
      <c r="M214" s="1747"/>
    </row>
    <row r="215" spans="1:13">
      <c r="A215" s="1747"/>
      <c r="B215" s="1747"/>
      <c r="C215" s="1895"/>
      <c r="D215" s="1747"/>
      <c r="E215" s="1897"/>
      <c r="F215" s="1895"/>
      <c r="G215" s="1897"/>
      <c r="H215" s="1748"/>
      <c r="I215" s="1718"/>
      <c r="J215" s="1716"/>
      <c r="K215" s="1716"/>
      <c r="L215" s="1716"/>
      <c r="M215" s="1747"/>
    </row>
    <row r="216" spans="1:13">
      <c r="A216" s="1747"/>
      <c r="B216" s="1747"/>
      <c r="C216" s="1895"/>
      <c r="D216" s="1747"/>
      <c r="E216" s="1897"/>
      <c r="F216" s="1895"/>
      <c r="G216" s="1897"/>
      <c r="H216" s="1748"/>
      <c r="I216" s="1718"/>
      <c r="J216" s="1716"/>
      <c r="K216" s="1716"/>
      <c r="L216" s="1716"/>
      <c r="M216" s="1747"/>
    </row>
    <row r="217" spans="1:13">
      <c r="A217" s="1747"/>
      <c r="B217" s="1747"/>
      <c r="C217" s="1945"/>
      <c r="D217" s="1747"/>
      <c r="E217" s="1897"/>
      <c r="F217" s="1895"/>
      <c r="G217" s="1897"/>
      <c r="H217" s="1748"/>
      <c r="I217" s="1718"/>
      <c r="J217" s="1716"/>
      <c r="K217" s="1716"/>
      <c r="L217" s="1716"/>
      <c r="M217" s="1747"/>
    </row>
    <row r="218" spans="1:13">
      <c r="A218" s="1747"/>
      <c r="B218" s="1747"/>
      <c r="C218" s="1895"/>
      <c r="D218" s="1747"/>
      <c r="E218" s="1897"/>
      <c r="F218" s="1895"/>
      <c r="G218" s="1897"/>
      <c r="H218" s="1748"/>
      <c r="I218" s="1718"/>
      <c r="J218" s="1716"/>
      <c r="K218" s="1716"/>
      <c r="L218" s="1716"/>
      <c r="M218" s="1747"/>
    </row>
    <row r="219" spans="1:13">
      <c r="A219" s="1747"/>
      <c r="B219" s="1747"/>
      <c r="C219" s="1895"/>
      <c r="D219" s="1747"/>
      <c r="E219" s="1897"/>
      <c r="F219" s="1895"/>
      <c r="G219" s="1897"/>
      <c r="H219" s="1748"/>
      <c r="I219" s="1718"/>
      <c r="J219" s="1716"/>
      <c r="K219" s="1716"/>
      <c r="L219" s="1716"/>
      <c r="M219" s="1747"/>
    </row>
    <row r="220" spans="1:13">
      <c r="A220" s="1747"/>
      <c r="B220" s="1747"/>
      <c r="C220" s="1895"/>
      <c r="D220" s="1747"/>
      <c r="E220" s="1897"/>
      <c r="F220" s="1895"/>
      <c r="G220" s="1897"/>
      <c r="H220" s="1748"/>
      <c r="I220" s="1718"/>
      <c r="J220" s="1716"/>
      <c r="K220" s="1716"/>
      <c r="L220" s="1716"/>
      <c r="M220" s="1747"/>
    </row>
    <row r="221" spans="1:13">
      <c r="A221" s="1747"/>
      <c r="B221" s="1747"/>
      <c r="C221" s="1895"/>
      <c r="D221" s="1747"/>
      <c r="E221" s="1897"/>
      <c r="F221" s="1895"/>
      <c r="G221" s="1897"/>
      <c r="H221" s="1748"/>
      <c r="I221" s="1718"/>
      <c r="J221" s="1716"/>
      <c r="K221" s="1716"/>
      <c r="L221" s="1716"/>
      <c r="M221" s="1747"/>
    </row>
    <row r="222" spans="1:13">
      <c r="A222" s="1747"/>
      <c r="B222" s="1747"/>
      <c r="C222" s="1895"/>
      <c r="D222" s="1747"/>
      <c r="E222" s="1897"/>
      <c r="F222" s="1895"/>
      <c r="G222" s="1897"/>
      <c r="H222" s="1748"/>
      <c r="I222" s="1718"/>
      <c r="J222" s="1716"/>
      <c r="K222" s="1716"/>
      <c r="L222" s="1716"/>
      <c r="M222" s="1747"/>
    </row>
    <row r="223" spans="1:13">
      <c r="A223" s="1747"/>
      <c r="B223" s="1747"/>
      <c r="C223" s="1895"/>
      <c r="D223" s="1747"/>
      <c r="E223" s="1897"/>
      <c r="F223" s="1895"/>
      <c r="G223" s="1897"/>
      <c r="H223" s="1748"/>
      <c r="I223" s="1718"/>
      <c r="J223" s="1716"/>
      <c r="K223" s="1716"/>
      <c r="L223" s="1716"/>
      <c r="M223" s="1747"/>
    </row>
    <row r="224" spans="1:13">
      <c r="A224" s="1747"/>
      <c r="B224" s="1747"/>
      <c r="C224" s="1747"/>
      <c r="D224" s="1747"/>
      <c r="E224" s="1748"/>
      <c r="F224" s="1748"/>
      <c r="G224" s="1748"/>
      <c r="H224" s="1748"/>
      <c r="I224" s="1718"/>
      <c r="J224" s="1716"/>
      <c r="K224" s="1716"/>
      <c r="L224" s="1716"/>
      <c r="M224" s="1747"/>
    </row>
    <row r="225" spans="1:13">
      <c r="A225" s="1747"/>
      <c r="B225" s="1747"/>
      <c r="C225" s="1747"/>
      <c r="D225" s="1747"/>
      <c r="E225" s="1748"/>
      <c r="F225" s="1748"/>
      <c r="G225" s="1748"/>
      <c r="H225" s="1748"/>
      <c r="I225" s="1718"/>
      <c r="J225" s="1716"/>
      <c r="K225" s="1716"/>
      <c r="L225" s="1716"/>
      <c r="M225" s="1747"/>
    </row>
    <row r="226" spans="1:13">
      <c r="A226" s="1747"/>
      <c r="B226" s="1747"/>
      <c r="C226" s="1747"/>
      <c r="D226" s="1747"/>
      <c r="E226" s="1748"/>
      <c r="F226" s="1748"/>
      <c r="G226" s="1897"/>
      <c r="H226" s="1748"/>
      <c r="I226" s="1718"/>
      <c r="J226" s="1716"/>
      <c r="K226" s="1716"/>
      <c r="L226" s="1716"/>
      <c r="M226" s="1747"/>
    </row>
    <row r="227" spans="1:13">
      <c r="A227" s="1747"/>
      <c r="B227" s="1747"/>
      <c r="C227" s="1747"/>
      <c r="D227" s="1747"/>
      <c r="E227" s="1748"/>
      <c r="F227" s="1748"/>
      <c r="G227" s="1897"/>
      <c r="H227" s="1748"/>
      <c r="I227" s="1718"/>
      <c r="J227" s="1716"/>
      <c r="K227" s="1716"/>
      <c r="L227" s="1716"/>
      <c r="M227" s="1747"/>
    </row>
    <row r="228" spans="1:13">
      <c r="A228" s="1747"/>
      <c r="B228" s="1747"/>
      <c r="C228" s="1747"/>
      <c r="D228" s="1747"/>
      <c r="E228" s="1748"/>
      <c r="F228" s="1748"/>
      <c r="G228" s="1897"/>
      <c r="H228" s="1748"/>
      <c r="I228" s="1718"/>
      <c r="J228" s="1716"/>
      <c r="K228" s="1716"/>
      <c r="L228" s="1716"/>
      <c r="M228" s="1747"/>
    </row>
    <row r="229" spans="1:13">
      <c r="A229" s="1747"/>
      <c r="B229" s="1747"/>
      <c r="C229" s="1747"/>
      <c r="D229" s="1747"/>
      <c r="E229" s="1748"/>
      <c r="F229" s="1748"/>
      <c r="G229" s="1897"/>
      <c r="H229" s="1748"/>
      <c r="I229" s="1718"/>
      <c r="J229" s="1716"/>
      <c r="K229" s="1716"/>
      <c r="L229" s="1716"/>
      <c r="M229" s="1747"/>
    </row>
    <row r="230" spans="1:13">
      <c r="A230" s="1747"/>
      <c r="B230" s="1747"/>
      <c r="C230" s="1747"/>
      <c r="D230" s="1747"/>
      <c r="E230" s="1748"/>
      <c r="F230" s="1748"/>
      <c r="G230" s="1897"/>
      <c r="H230" s="1748"/>
      <c r="I230" s="1718"/>
      <c r="J230" s="1716"/>
      <c r="K230" s="1716"/>
      <c r="L230" s="1716"/>
      <c r="M230" s="1747"/>
    </row>
    <row r="231" spans="1:13">
      <c r="A231" s="1747"/>
      <c r="B231" s="1747"/>
      <c r="C231" s="1747"/>
      <c r="D231" s="1747"/>
      <c r="E231" s="1748"/>
      <c r="F231" s="1748"/>
      <c r="G231" s="1897"/>
      <c r="H231" s="1748"/>
      <c r="I231" s="1718"/>
      <c r="J231" s="1716"/>
      <c r="K231" s="1716"/>
      <c r="L231" s="1716"/>
      <c r="M231" s="1747"/>
    </row>
    <row r="232" spans="1:13">
      <c r="A232" s="1747"/>
      <c r="B232" s="1747"/>
      <c r="C232" s="1747"/>
      <c r="D232" s="1747"/>
      <c r="E232" s="1748"/>
      <c r="F232" s="1748"/>
      <c r="G232" s="1897"/>
      <c r="H232" s="1748"/>
      <c r="I232" s="1718"/>
      <c r="J232" s="1716"/>
      <c r="K232" s="1716"/>
      <c r="L232" s="1716"/>
      <c r="M232" s="1747"/>
    </row>
    <row r="233" spans="1:13">
      <c r="A233" s="1747"/>
      <c r="B233" s="1747"/>
      <c r="C233" s="1747"/>
      <c r="D233" s="1747"/>
      <c r="E233" s="1748"/>
      <c r="F233" s="1748"/>
      <c r="G233" s="1897"/>
      <c r="H233" s="1748"/>
      <c r="I233" s="1718"/>
      <c r="J233" s="1716"/>
      <c r="K233" s="1716"/>
      <c r="L233" s="1716"/>
      <c r="M233" s="1747"/>
    </row>
    <row r="234" spans="1:13">
      <c r="A234" s="1747"/>
      <c r="B234" s="1747"/>
      <c r="C234" s="1747"/>
      <c r="D234" s="1747"/>
      <c r="E234" s="1748"/>
      <c r="F234" s="1748"/>
      <c r="G234" s="1897"/>
      <c r="H234" s="1748"/>
      <c r="I234" s="1718"/>
      <c r="J234" s="1716"/>
      <c r="K234" s="1716"/>
      <c r="L234" s="1716"/>
      <c r="M234" s="1747"/>
    </row>
    <row r="235" spans="1:13">
      <c r="A235" s="1747"/>
      <c r="B235" s="1747"/>
      <c r="C235" s="1747"/>
      <c r="D235" s="1747"/>
      <c r="E235" s="1748"/>
      <c r="F235" s="1748"/>
      <c r="G235" s="1897"/>
      <c r="H235" s="1748"/>
      <c r="I235" s="1718"/>
      <c r="J235" s="1716"/>
      <c r="K235" s="1716"/>
      <c r="L235" s="1716"/>
      <c r="M235" s="1747"/>
    </row>
    <row r="236" spans="1:13">
      <c r="A236" s="1747"/>
      <c r="B236" s="1747"/>
      <c r="C236" s="1747"/>
      <c r="D236" s="1747"/>
      <c r="E236" s="1748"/>
      <c r="F236" s="1748"/>
      <c r="G236" s="1897"/>
      <c r="H236" s="1748"/>
      <c r="I236" s="1718"/>
      <c r="J236" s="1716"/>
      <c r="K236" s="1716"/>
      <c r="L236" s="1716"/>
      <c r="M236" s="1747"/>
    </row>
    <row r="237" spans="1:13">
      <c r="A237" s="1747"/>
      <c r="B237" s="1747"/>
      <c r="C237" s="1747"/>
      <c r="D237" s="1747"/>
      <c r="E237" s="1748"/>
      <c r="F237" s="1748"/>
      <c r="G237" s="1897"/>
      <c r="H237" s="1748"/>
      <c r="I237" s="1718"/>
      <c r="J237" s="1716"/>
      <c r="K237" s="1716"/>
      <c r="L237" s="1716"/>
      <c r="M237" s="1747"/>
    </row>
    <row r="238" spans="1:13">
      <c r="A238" s="1747"/>
      <c r="B238" s="1747"/>
      <c r="C238" s="1747"/>
      <c r="D238" s="1747"/>
      <c r="E238" s="1748"/>
      <c r="F238" s="1748"/>
      <c r="G238" s="1897"/>
      <c r="H238" s="1748"/>
      <c r="I238" s="1718"/>
      <c r="J238" s="1716"/>
      <c r="K238" s="1716"/>
      <c r="L238" s="1716"/>
      <c r="M238" s="1747"/>
    </row>
    <row r="239" spans="1:13">
      <c r="A239" s="1747"/>
      <c r="B239" s="1747"/>
      <c r="C239" s="1747"/>
      <c r="D239" s="1747"/>
      <c r="E239" s="1748"/>
      <c r="F239" s="1748"/>
      <c r="G239" s="1897"/>
      <c r="H239" s="1748"/>
      <c r="I239" s="1718"/>
      <c r="J239" s="1716"/>
      <c r="K239" s="1716"/>
      <c r="L239" s="1716"/>
      <c r="M239" s="1747"/>
    </row>
    <row r="240" spans="1:13">
      <c r="A240" s="1747"/>
      <c r="B240" s="1747"/>
      <c r="C240" s="1747"/>
      <c r="D240" s="1747"/>
      <c r="E240" s="1748"/>
      <c r="F240" s="1748"/>
      <c r="G240" s="1897"/>
      <c r="H240" s="1748"/>
      <c r="I240" s="1718"/>
      <c r="J240" s="1716"/>
      <c r="K240" s="1716"/>
      <c r="L240" s="1716"/>
      <c r="M240" s="1747"/>
    </row>
    <row r="241" spans="1:13">
      <c r="A241" s="1747"/>
      <c r="B241" s="1747"/>
      <c r="C241" s="1747"/>
      <c r="D241" s="1747"/>
      <c r="E241" s="1748"/>
      <c r="F241" s="1748"/>
      <c r="G241" s="1897"/>
      <c r="H241" s="1748"/>
      <c r="I241" s="1718"/>
      <c r="J241" s="1716"/>
      <c r="K241" s="1716"/>
      <c r="L241" s="1716"/>
      <c r="M241" s="1747"/>
    </row>
    <row r="242" spans="1:13">
      <c r="A242" s="1747"/>
      <c r="B242" s="1747"/>
      <c r="C242" s="1747"/>
      <c r="D242" s="1747"/>
      <c r="E242" s="1748"/>
      <c r="F242" s="1748"/>
      <c r="G242" s="1897"/>
      <c r="H242" s="1748"/>
      <c r="I242" s="1718"/>
      <c r="J242" s="1716"/>
      <c r="K242" s="1716"/>
      <c r="L242" s="1716"/>
      <c r="M242" s="1747"/>
    </row>
    <row r="243" spans="1:13">
      <c r="A243" s="1747"/>
      <c r="B243" s="1747"/>
      <c r="C243" s="1747"/>
      <c r="D243" s="1747"/>
      <c r="E243" s="1748"/>
      <c r="F243" s="1748"/>
      <c r="G243" s="1897"/>
      <c r="H243" s="1748"/>
      <c r="I243" s="1718"/>
      <c r="J243" s="1716"/>
      <c r="K243" s="1716"/>
      <c r="L243" s="1716"/>
      <c r="M243" s="1747"/>
    </row>
    <row r="244" spans="1:13">
      <c r="A244" s="1747"/>
      <c r="B244" s="1747"/>
      <c r="C244" s="1747"/>
      <c r="D244" s="1747"/>
      <c r="E244" s="1748"/>
      <c r="F244" s="1748"/>
      <c r="G244" s="1897"/>
      <c r="H244" s="1748"/>
      <c r="I244" s="1718"/>
      <c r="J244" s="1716"/>
      <c r="K244" s="1716"/>
      <c r="L244" s="1716"/>
      <c r="M244" s="1747"/>
    </row>
    <row r="245" spans="1:13">
      <c r="A245" s="1747"/>
      <c r="B245" s="1747"/>
      <c r="C245" s="1747"/>
      <c r="D245" s="1747"/>
      <c r="E245" s="1748"/>
      <c r="F245" s="1748"/>
      <c r="G245" s="1897"/>
      <c r="H245" s="1748"/>
      <c r="I245" s="1718"/>
      <c r="J245" s="1716"/>
      <c r="K245" s="1716"/>
      <c r="L245" s="1716"/>
      <c r="M245" s="1747"/>
    </row>
    <row r="246" spans="1:13">
      <c r="A246" s="1747"/>
      <c r="B246" s="1747"/>
      <c r="C246" s="1747"/>
      <c r="D246" s="1747"/>
      <c r="E246" s="1748"/>
      <c r="F246" s="1748"/>
      <c r="G246" s="1897"/>
      <c r="H246" s="1748"/>
      <c r="I246" s="1718"/>
      <c r="J246" s="1716"/>
      <c r="K246" s="1716"/>
      <c r="L246" s="1716"/>
      <c r="M246" s="1747"/>
    </row>
    <row r="247" spans="1:13">
      <c r="A247" s="1747"/>
      <c r="B247" s="1747"/>
      <c r="C247" s="1747"/>
      <c r="D247" s="1747"/>
      <c r="E247" s="1748"/>
      <c r="F247" s="1748"/>
      <c r="G247" s="1897"/>
      <c r="H247" s="1748"/>
      <c r="I247" s="1718"/>
      <c r="J247" s="1716"/>
      <c r="K247" s="1716"/>
      <c r="L247" s="1716"/>
      <c r="M247" s="1747"/>
    </row>
    <row r="248" spans="1:13">
      <c r="A248" s="1747"/>
      <c r="B248" s="1747"/>
      <c r="C248" s="1747"/>
      <c r="D248" s="1747"/>
      <c r="E248" s="1748"/>
      <c r="F248" s="1748"/>
      <c r="G248" s="1897"/>
      <c r="H248" s="1748"/>
      <c r="I248" s="1718"/>
      <c r="J248" s="1716"/>
      <c r="K248" s="1716"/>
      <c r="L248" s="1716"/>
      <c r="M248" s="1747"/>
    </row>
    <row r="249" spans="1:13">
      <c r="A249" s="1747"/>
      <c r="B249" s="1747"/>
      <c r="C249" s="1747"/>
      <c r="D249" s="1747"/>
      <c r="E249" s="1748"/>
      <c r="F249" s="1748"/>
      <c r="G249" s="1897"/>
      <c r="H249" s="1748"/>
      <c r="I249" s="1718"/>
      <c r="J249" s="1716"/>
      <c r="K249" s="1716"/>
      <c r="L249" s="1716"/>
      <c r="M249" s="1747"/>
    </row>
    <row r="250" spans="1:13">
      <c r="C250" s="1747"/>
      <c r="D250" s="1747"/>
      <c r="E250" s="1748"/>
      <c r="F250" s="1748"/>
      <c r="G250" s="1897"/>
      <c r="H250" s="1748"/>
      <c r="I250" s="1718"/>
      <c r="J250" s="1716"/>
      <c r="K250" s="1716"/>
      <c r="L250" s="1716"/>
      <c r="M250" s="1747"/>
    </row>
  </sheetData>
  <phoneticPr fontId="49" type="noConversion"/>
  <pageMargins left="0.18" right="0.7" top="0.17" bottom="0.22" header="0.3" footer="0.3"/>
  <pageSetup scale="64" fitToHeight="2" orientation="landscape" r:id="rId1"/>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R44"/>
  <sheetViews>
    <sheetView zoomScale="65" zoomScaleNormal="65" workbookViewId="0">
      <pane xSplit="3" ySplit="4" topLeftCell="D5" activePane="bottomRight" state="frozen"/>
      <selection pane="topRight" activeCell="D1" sqref="D1"/>
      <selection pane="bottomLeft" activeCell="A5" sqref="A5"/>
      <selection pane="bottomRight" activeCell="M49" sqref="M49"/>
    </sheetView>
  </sheetViews>
  <sheetFormatPr defaultRowHeight="12.75"/>
  <cols>
    <col min="1" max="1" width="7.140625" customWidth="1"/>
    <col min="2" max="2" width="15.5703125" style="81" customWidth="1"/>
    <col min="3" max="3" width="41.42578125" customWidth="1"/>
    <col min="4" max="7" width="15.7109375" style="486" bestFit="1" customWidth="1"/>
    <col min="8" max="8" width="15.28515625" style="486" bestFit="1" customWidth="1"/>
    <col min="9" max="9" width="15.7109375" style="486" bestFit="1" customWidth="1"/>
    <col min="10" max="11" width="15.28515625" style="486" bestFit="1" customWidth="1"/>
    <col min="12" max="16" width="15.7109375" style="486" bestFit="1" customWidth="1"/>
    <col min="17" max="17" width="20.85546875" style="486" bestFit="1" customWidth="1"/>
    <col min="18" max="18" width="4" style="486" customWidth="1"/>
    <col min="19" max="19" width="8.28515625" bestFit="1" customWidth="1"/>
    <col min="20" max="20" width="15.5703125" customWidth="1"/>
    <col min="21" max="21" width="16.85546875" customWidth="1"/>
    <col min="22" max="22" width="12.28515625" bestFit="1" customWidth="1"/>
    <col min="23" max="23" width="17.140625" customWidth="1"/>
    <col min="25" max="25" width="11.28515625" style="2" bestFit="1" customWidth="1"/>
    <col min="26" max="26" width="13.7109375" style="2" customWidth="1"/>
    <col min="27" max="27" width="36.42578125" style="2" customWidth="1"/>
    <col min="28" max="38" width="16.42578125" style="2" customWidth="1"/>
    <col min="39" max="40" width="14.28515625" style="2" bestFit="1" customWidth="1"/>
    <col min="41" max="41" width="2.7109375" style="2" customWidth="1"/>
    <col min="42" max="44" width="9.140625" style="2"/>
  </cols>
  <sheetData>
    <row r="1" spans="1:44" ht="15.75">
      <c r="A1" s="1" t="s">
        <v>544</v>
      </c>
      <c r="P1" s="428"/>
      <c r="AO1"/>
      <c r="AP1"/>
      <c r="AQ1"/>
      <c r="AR1"/>
    </row>
    <row r="2" spans="1:44">
      <c r="B2" s="1723"/>
      <c r="D2" s="838" t="s">
        <v>184</v>
      </c>
      <c r="E2" s="838" t="s">
        <v>475</v>
      </c>
      <c r="F2" s="838" t="s">
        <v>476</v>
      </c>
      <c r="G2" s="838" t="s">
        <v>477</v>
      </c>
      <c r="H2" s="838" t="s">
        <v>626</v>
      </c>
      <c r="I2" s="838" t="s">
        <v>627</v>
      </c>
      <c r="J2" s="838" t="s">
        <v>628</v>
      </c>
      <c r="K2" s="838" t="s">
        <v>478</v>
      </c>
      <c r="L2" s="838" t="s">
        <v>479</v>
      </c>
      <c r="M2" s="838" t="s">
        <v>480</v>
      </c>
      <c r="N2" s="838" t="s">
        <v>481</v>
      </c>
      <c r="O2" s="838" t="s">
        <v>482</v>
      </c>
      <c r="P2" s="838" t="s">
        <v>184</v>
      </c>
      <c r="Q2" s="838" t="s">
        <v>413</v>
      </c>
      <c r="AO2"/>
      <c r="AP2"/>
      <c r="AQ2"/>
      <c r="AR2"/>
    </row>
    <row r="3" spans="1:44">
      <c r="A3" s="480" t="s">
        <v>187</v>
      </c>
      <c r="B3" s="480" t="s">
        <v>188</v>
      </c>
      <c r="C3" s="480" t="s">
        <v>189</v>
      </c>
      <c r="D3" s="493">
        <v>2022</v>
      </c>
      <c r="E3" s="492">
        <v>2023</v>
      </c>
      <c r="F3" s="492">
        <v>2023</v>
      </c>
      <c r="G3" s="492">
        <v>2023</v>
      </c>
      <c r="H3" s="492">
        <v>2023</v>
      </c>
      <c r="I3" s="492">
        <v>2023</v>
      </c>
      <c r="J3" s="492">
        <v>2023</v>
      </c>
      <c r="K3" s="492">
        <v>2023</v>
      </c>
      <c r="L3" s="492">
        <v>2023</v>
      </c>
      <c r="M3" s="492">
        <v>2023</v>
      </c>
      <c r="N3" s="492">
        <v>2023</v>
      </c>
      <c r="O3" s="492">
        <v>2023</v>
      </c>
      <c r="P3" s="492">
        <v>2023</v>
      </c>
      <c r="Q3" s="839" t="s">
        <v>215</v>
      </c>
      <c r="R3" s="494"/>
      <c r="T3" s="896" t="s">
        <v>190</v>
      </c>
      <c r="U3" s="896" t="s">
        <v>191</v>
      </c>
      <c r="V3" s="896" t="s">
        <v>192</v>
      </c>
      <c r="W3" s="896" t="s">
        <v>117</v>
      </c>
      <c r="AO3"/>
      <c r="AP3"/>
      <c r="AQ3"/>
      <c r="AR3"/>
    </row>
    <row r="4" spans="1:44">
      <c r="B4" s="488" t="s">
        <v>212</v>
      </c>
      <c r="C4" s="487"/>
      <c r="D4" s="428"/>
      <c r="E4" s="428"/>
      <c r="F4" s="428"/>
      <c r="G4" s="428"/>
      <c r="H4" s="428"/>
      <c r="I4" s="428"/>
      <c r="J4" s="428"/>
      <c r="K4" s="428"/>
      <c r="L4" s="428"/>
      <c r="M4" s="428"/>
      <c r="N4" s="428"/>
      <c r="O4" s="428"/>
      <c r="P4" s="428"/>
      <c r="Q4" s="494"/>
      <c r="R4" s="494"/>
      <c r="AO4"/>
      <c r="AP4"/>
      <c r="AQ4"/>
      <c r="AR4"/>
    </row>
    <row r="5" spans="1:44">
      <c r="A5" s="497" t="s">
        <v>126</v>
      </c>
      <c r="B5" s="497" t="s">
        <v>1285</v>
      </c>
      <c r="C5" s="183" t="s">
        <v>1286</v>
      </c>
      <c r="D5" s="1890">
        <v>277777.14</v>
      </c>
      <c r="E5" s="1890">
        <v>262909.09999999998</v>
      </c>
      <c r="F5" s="1890">
        <v>248041.06</v>
      </c>
      <c r="G5" s="1890">
        <v>918943.36</v>
      </c>
      <c r="H5" s="1890">
        <v>789780.27</v>
      </c>
      <c r="I5" s="1890">
        <v>660617.17999999993</v>
      </c>
      <c r="J5" s="1890">
        <v>531454.09</v>
      </c>
      <c r="K5" s="1890">
        <v>402291</v>
      </c>
      <c r="L5" s="1890">
        <v>273127.91000000003</v>
      </c>
      <c r="M5" s="1890">
        <v>299850.80000000005</v>
      </c>
      <c r="N5" s="1890">
        <v>284771.59999999998</v>
      </c>
      <c r="O5" s="1890">
        <v>269692.40000000002</v>
      </c>
      <c r="P5" s="1890">
        <v>254613.2</v>
      </c>
      <c r="Q5" s="665">
        <f>AVERAGE(D5:P5)</f>
        <v>421066.85461538465</v>
      </c>
      <c r="R5" s="485"/>
      <c r="S5" s="176" t="s">
        <v>1239</v>
      </c>
      <c r="V5" s="483">
        <f t="shared" ref="V5" si="0">+Q5</f>
        <v>421066.85461538465</v>
      </c>
      <c r="AO5"/>
      <c r="AP5"/>
      <c r="AQ5"/>
      <c r="AR5"/>
    </row>
    <row r="6" spans="1:44">
      <c r="B6" s="489" t="s">
        <v>131</v>
      </c>
      <c r="C6" s="490"/>
      <c r="D6" s="495">
        <f t="shared" ref="D6:Q6" si="1">SUM(D5:D5)</f>
        <v>277777.14</v>
      </c>
      <c r="E6" s="495">
        <f t="shared" si="1"/>
        <v>262909.09999999998</v>
      </c>
      <c r="F6" s="495">
        <f t="shared" si="1"/>
        <v>248041.06</v>
      </c>
      <c r="G6" s="495">
        <f t="shared" si="1"/>
        <v>918943.36</v>
      </c>
      <c r="H6" s="495">
        <f t="shared" si="1"/>
        <v>789780.27</v>
      </c>
      <c r="I6" s="495">
        <f t="shared" si="1"/>
        <v>660617.17999999993</v>
      </c>
      <c r="J6" s="495">
        <f t="shared" si="1"/>
        <v>531454.09</v>
      </c>
      <c r="K6" s="495">
        <f t="shared" si="1"/>
        <v>402291</v>
      </c>
      <c r="L6" s="495">
        <f t="shared" si="1"/>
        <v>273127.91000000003</v>
      </c>
      <c r="M6" s="495">
        <f t="shared" si="1"/>
        <v>299850.80000000005</v>
      </c>
      <c r="N6" s="495">
        <f t="shared" si="1"/>
        <v>284771.59999999998</v>
      </c>
      <c r="O6" s="495">
        <f t="shared" si="1"/>
        <v>269692.40000000002</v>
      </c>
      <c r="P6" s="495">
        <f t="shared" si="1"/>
        <v>254613.2</v>
      </c>
      <c r="Q6" s="495">
        <f t="shared" si="1"/>
        <v>421066.85461538465</v>
      </c>
      <c r="R6" s="496"/>
      <c r="S6" s="491"/>
      <c r="T6" s="491"/>
      <c r="U6" s="491"/>
      <c r="V6" s="895">
        <f>SUM(V5:V5)</f>
        <v>421066.85461538465</v>
      </c>
      <c r="AB6" s="837"/>
      <c r="AC6" s="837"/>
      <c r="AD6" s="837"/>
      <c r="AE6" s="837"/>
      <c r="AF6" s="837"/>
      <c r="AG6" s="837"/>
      <c r="AH6" s="837"/>
      <c r="AI6" s="837"/>
      <c r="AJ6" s="837"/>
      <c r="AK6" s="837"/>
      <c r="AL6" s="837"/>
      <c r="AN6" s="837"/>
      <c r="AO6"/>
      <c r="AP6"/>
      <c r="AQ6"/>
      <c r="AR6"/>
    </row>
    <row r="7" spans="1:44">
      <c r="B7" s="487"/>
      <c r="C7" s="487"/>
      <c r="D7" s="1796"/>
      <c r="E7" s="1796"/>
      <c r="F7" s="1796"/>
      <c r="G7" s="1796"/>
      <c r="H7" s="1796"/>
      <c r="I7" s="1796"/>
      <c r="J7" s="1796"/>
      <c r="K7" s="1796"/>
      <c r="L7" s="1796"/>
      <c r="M7" s="1796"/>
      <c r="N7" s="1796"/>
      <c r="O7" s="1796"/>
      <c r="P7" s="1797"/>
      <c r="Q7" s="494"/>
      <c r="R7" s="485"/>
      <c r="S7" s="183"/>
      <c r="V7" s="483"/>
      <c r="AB7" s="837"/>
      <c r="AC7" s="837"/>
      <c r="AD7" s="837"/>
      <c r="AE7" s="837"/>
      <c r="AF7" s="837"/>
      <c r="AG7" s="837"/>
      <c r="AH7" s="837"/>
      <c r="AI7" s="837"/>
      <c r="AJ7" s="837"/>
      <c r="AK7" s="837"/>
      <c r="AL7" s="837"/>
      <c r="AM7" s="837"/>
      <c r="AN7" s="837"/>
      <c r="AO7"/>
      <c r="AP7"/>
      <c r="AQ7"/>
      <c r="AR7"/>
    </row>
    <row r="8" spans="1:44">
      <c r="B8" s="487"/>
      <c r="C8" s="487"/>
      <c r="D8" s="1796"/>
      <c r="E8" s="1796"/>
      <c r="F8" s="1796"/>
      <c r="G8" s="1796"/>
      <c r="H8" s="1796"/>
      <c r="I8" s="1796"/>
      <c r="J8" s="1796"/>
      <c r="K8" s="1796"/>
      <c r="L8" s="1796"/>
      <c r="M8" s="1796"/>
      <c r="N8" s="1796"/>
      <c r="O8" s="1796"/>
      <c r="P8" s="1797"/>
      <c r="Q8" s="494"/>
      <c r="AB8" s="837"/>
      <c r="AC8" s="837"/>
      <c r="AD8" s="837"/>
      <c r="AF8" s="837"/>
      <c r="AG8" s="837"/>
      <c r="AH8" s="837"/>
      <c r="AI8" s="837"/>
      <c r="AJ8" s="837"/>
      <c r="AK8" s="837"/>
      <c r="AL8" s="837"/>
      <c r="AM8" s="837"/>
      <c r="AN8" s="837"/>
      <c r="AO8"/>
      <c r="AP8"/>
      <c r="AQ8"/>
      <c r="AR8"/>
    </row>
    <row r="9" spans="1:44">
      <c r="B9" s="488" t="s">
        <v>213</v>
      </c>
      <c r="C9" s="487"/>
      <c r="D9" s="1796"/>
      <c r="E9" s="1796"/>
      <c r="F9" s="1796"/>
      <c r="G9" s="1796"/>
      <c r="H9" s="1796"/>
      <c r="I9" s="1796"/>
      <c r="J9" s="1796"/>
      <c r="K9" s="1796"/>
      <c r="L9" s="1796"/>
      <c r="M9" s="1796"/>
      <c r="N9" s="1796"/>
      <c r="O9" s="1796"/>
      <c r="P9" s="1797"/>
      <c r="Q9" s="494"/>
      <c r="R9" s="494"/>
      <c r="AB9" s="837"/>
      <c r="AC9" s="837"/>
      <c r="AD9" s="837"/>
      <c r="AE9" s="837"/>
      <c r="AF9" s="837"/>
      <c r="AG9" s="837"/>
      <c r="AH9" s="837"/>
      <c r="AI9" s="837"/>
      <c r="AJ9" s="837"/>
      <c r="AK9" s="837"/>
      <c r="AL9" s="837"/>
      <c r="AN9" s="837"/>
      <c r="AO9"/>
      <c r="AP9"/>
      <c r="AQ9"/>
      <c r="AR9"/>
    </row>
    <row r="10" spans="1:44">
      <c r="A10" s="498" t="s">
        <v>129</v>
      </c>
      <c r="B10" t="s">
        <v>1067</v>
      </c>
      <c r="C10" t="s">
        <v>832</v>
      </c>
      <c r="D10" s="1753">
        <v>586830.54</v>
      </c>
      <c r="E10" s="1753">
        <v>73562.5</v>
      </c>
      <c r="F10" s="1753">
        <v>365569.45</v>
      </c>
      <c r="G10" s="1753">
        <v>464929.18</v>
      </c>
      <c r="H10" s="1753">
        <v>8868.06</v>
      </c>
      <c r="I10" s="1753">
        <v>0</v>
      </c>
      <c r="J10" s="1753">
        <v>0</v>
      </c>
      <c r="K10" s="1753">
        <v>0</v>
      </c>
      <c r="L10" s="1753">
        <v>0</v>
      </c>
      <c r="M10" s="1753">
        <v>0</v>
      </c>
      <c r="N10" s="1753">
        <v>0</v>
      </c>
      <c r="O10" s="1753">
        <v>0</v>
      </c>
      <c r="P10" s="1753">
        <v>571721.66</v>
      </c>
      <c r="Q10" s="665">
        <f t="shared" ref="Q10:Q11" si="2">AVERAGE(D10:P10)</f>
        <v>159344.72230769231</v>
      </c>
      <c r="R10" s="482"/>
      <c r="S10" s="183" t="s">
        <v>414</v>
      </c>
      <c r="W10" s="483">
        <f t="shared" ref="W10" si="3">+Q10</f>
        <v>159344.72230769231</v>
      </c>
      <c r="AB10" s="837"/>
      <c r="AC10" s="837"/>
      <c r="AD10" s="837"/>
      <c r="AE10" s="837"/>
      <c r="AJ10" s="837"/>
      <c r="AK10" s="837"/>
      <c r="AL10" s="837"/>
      <c r="AM10" s="837"/>
      <c r="AN10" s="837"/>
      <c r="AO10"/>
      <c r="AP10"/>
      <c r="AQ10"/>
      <c r="AR10"/>
    </row>
    <row r="11" spans="1:44">
      <c r="A11" s="498" t="s">
        <v>129</v>
      </c>
      <c r="B11" t="s">
        <v>1068</v>
      </c>
      <c r="C11" t="s">
        <v>1213</v>
      </c>
      <c r="D11" s="1753">
        <v>34010.94</v>
      </c>
      <c r="E11" s="1753">
        <v>32260.94</v>
      </c>
      <c r="F11" s="1753">
        <v>32260.94</v>
      </c>
      <c r="G11" s="1753">
        <v>31760.94</v>
      </c>
      <c r="H11" s="1753">
        <v>31760.94</v>
      </c>
      <c r="I11" s="1753">
        <v>31760.94</v>
      </c>
      <c r="J11" s="1753">
        <v>31510.94</v>
      </c>
      <c r="K11" s="1753">
        <v>31510.94</v>
      </c>
      <c r="L11" s="1753">
        <v>31260.94</v>
      </c>
      <c r="M11" s="1753">
        <v>31260.94</v>
      </c>
      <c r="N11" s="1753">
        <v>31260.94</v>
      </c>
      <c r="O11" s="1753">
        <v>31260.94</v>
      </c>
      <c r="P11" s="1753">
        <v>31260.94</v>
      </c>
      <c r="Q11" s="665">
        <f t="shared" si="2"/>
        <v>31780.170769230772</v>
      </c>
      <c r="R11" s="485"/>
      <c r="S11" s="183" t="s">
        <v>414</v>
      </c>
      <c r="T11" s="500"/>
      <c r="U11" s="2"/>
      <c r="V11" s="2"/>
      <c r="W11" s="483">
        <f t="shared" ref="W11:W15" si="4">+Q11</f>
        <v>31780.170769230772</v>
      </c>
      <c r="AB11" s="837"/>
      <c r="AC11" s="837"/>
      <c r="AD11" s="837"/>
      <c r="AE11" s="837"/>
      <c r="AJ11" s="837"/>
      <c r="AK11" s="837"/>
      <c r="AL11" s="837"/>
      <c r="AM11" s="837"/>
      <c r="AN11" s="837"/>
      <c r="AO11"/>
      <c r="AP11"/>
      <c r="AQ11"/>
      <c r="AR11"/>
    </row>
    <row r="12" spans="1:44" s="2" customFormat="1">
      <c r="A12" s="498" t="s">
        <v>129</v>
      </c>
      <c r="B12" t="s">
        <v>1223</v>
      </c>
      <c r="C12" t="s">
        <v>1224</v>
      </c>
      <c r="D12" s="1753">
        <v>11136133.23</v>
      </c>
      <c r="E12" s="1753">
        <v>9755821.8800000008</v>
      </c>
      <c r="F12" s="1753">
        <v>8375510.5300000003</v>
      </c>
      <c r="G12" s="1753">
        <v>6995199.1799999997</v>
      </c>
      <c r="H12" s="1753">
        <v>11204202.77</v>
      </c>
      <c r="I12" s="1753">
        <v>11205717.68</v>
      </c>
      <c r="J12" s="1753">
        <v>9752812.9900000002</v>
      </c>
      <c r="K12" s="1753">
        <v>8299908.2999999998</v>
      </c>
      <c r="L12" s="1753">
        <v>6847003.6100000003</v>
      </c>
      <c r="M12" s="1753">
        <v>5394098.9199999999</v>
      </c>
      <c r="N12" s="1753">
        <v>3941194.23</v>
      </c>
      <c r="O12" s="1753">
        <v>2488289.59</v>
      </c>
      <c r="P12" s="1753">
        <v>20134123.789999999</v>
      </c>
      <c r="Q12" s="665">
        <f t="shared" ref="Q12:Q20" si="5">AVERAGE(D12:P12)</f>
        <v>8886924.3615384623</v>
      </c>
      <c r="R12" s="485"/>
      <c r="S12" s="183" t="s">
        <v>415</v>
      </c>
      <c r="T12" s="483"/>
      <c r="U12" s="176"/>
      <c r="V12" s="176"/>
      <c r="W12" s="483">
        <f t="shared" si="4"/>
        <v>8886924.3615384623</v>
      </c>
      <c r="AB12" s="837"/>
      <c r="AC12" s="837"/>
      <c r="AD12" s="837"/>
      <c r="AE12" s="837"/>
      <c r="AJ12" s="837"/>
      <c r="AK12" s="837"/>
      <c r="AL12" s="837"/>
      <c r="AM12" s="837"/>
      <c r="AN12" s="837"/>
    </row>
    <row r="13" spans="1:44">
      <c r="A13" s="498" t="s">
        <v>129</v>
      </c>
      <c r="B13" t="s">
        <v>1225</v>
      </c>
      <c r="C13" t="s">
        <v>1226</v>
      </c>
      <c r="D13" s="1753">
        <v>2110956.23</v>
      </c>
      <c r="E13" s="1753">
        <v>2709201.73</v>
      </c>
      <c r="F13" s="1753">
        <v>2448152.7400000002</v>
      </c>
      <c r="G13" s="1753">
        <v>2187103.75</v>
      </c>
      <c r="H13" s="1753">
        <v>2148199.86</v>
      </c>
      <c r="I13" s="1753">
        <v>1851937.22</v>
      </c>
      <c r="J13" s="1753">
        <v>1590245.98</v>
      </c>
      <c r="K13" s="1753">
        <v>1308505.44</v>
      </c>
      <c r="L13" s="1753">
        <v>1154297.3999999999</v>
      </c>
      <c r="M13" s="1753">
        <v>1260591.6100000001</v>
      </c>
      <c r="N13" s="1753">
        <v>966097.82</v>
      </c>
      <c r="O13" s="1753">
        <v>1202125.03</v>
      </c>
      <c r="P13" s="1753">
        <v>907631.24</v>
      </c>
      <c r="Q13" s="665">
        <f t="shared" si="5"/>
        <v>1680388.1576923074</v>
      </c>
      <c r="R13" s="485"/>
      <c r="S13" s="183" t="s">
        <v>415</v>
      </c>
      <c r="T13" s="483"/>
      <c r="U13" s="176"/>
      <c r="V13" s="176"/>
      <c r="W13" s="483">
        <f t="shared" si="4"/>
        <v>1680388.1576923074</v>
      </c>
      <c r="AB13" s="837"/>
      <c r="AC13" s="837"/>
      <c r="AD13" s="837"/>
      <c r="AE13" s="837"/>
      <c r="AF13" s="837"/>
      <c r="AG13" s="837"/>
      <c r="AH13" s="837"/>
      <c r="AI13" s="837"/>
      <c r="AJ13" s="837"/>
      <c r="AK13" s="837"/>
      <c r="AL13" s="837"/>
      <c r="AM13" s="837"/>
      <c r="AN13" s="837"/>
    </row>
    <row r="14" spans="1:44">
      <c r="A14" s="498" t="s">
        <v>129</v>
      </c>
      <c r="B14" t="s">
        <v>1227</v>
      </c>
      <c r="C14" t="s">
        <v>1228</v>
      </c>
      <c r="D14" s="1753">
        <v>427434.19</v>
      </c>
      <c r="E14" s="1753">
        <v>230510.81</v>
      </c>
      <c r="F14" s="1753">
        <v>58882.26</v>
      </c>
      <c r="G14" s="1753">
        <v>1500000</v>
      </c>
      <c r="H14" s="1753">
        <v>1500000.01</v>
      </c>
      <c r="I14" s="1753">
        <v>1334439.21</v>
      </c>
      <c r="J14" s="1753">
        <v>1186034.06</v>
      </c>
      <c r="K14" s="1753">
        <v>1037717.26</v>
      </c>
      <c r="L14" s="1753">
        <v>882836.98</v>
      </c>
      <c r="M14" s="1753">
        <v>722556.96</v>
      </c>
      <c r="N14" s="1753">
        <v>550909.99</v>
      </c>
      <c r="O14" s="1753">
        <v>390192.92</v>
      </c>
      <c r="P14" s="1753">
        <v>214194.13</v>
      </c>
      <c r="Q14" s="665">
        <f t="shared" si="5"/>
        <v>771977.59846153844</v>
      </c>
      <c r="R14" s="485"/>
      <c r="S14" s="183" t="s">
        <v>414</v>
      </c>
      <c r="T14" s="483"/>
      <c r="U14" s="176"/>
      <c r="V14" s="176"/>
      <c r="W14" s="483">
        <f t="shared" si="4"/>
        <v>771977.59846153844</v>
      </c>
      <c r="AB14" s="837"/>
      <c r="AC14" s="837"/>
      <c r="AD14" s="837"/>
      <c r="AE14" s="837"/>
      <c r="AF14" s="837"/>
      <c r="AG14" s="837"/>
      <c r="AH14" s="837"/>
      <c r="AI14" s="837"/>
      <c r="AJ14" s="837"/>
      <c r="AK14" s="837"/>
      <c r="AL14" s="837"/>
      <c r="AM14" s="837"/>
      <c r="AN14" s="837"/>
    </row>
    <row r="15" spans="1:44">
      <c r="A15" s="498" t="s">
        <v>129</v>
      </c>
      <c r="B15" t="s">
        <v>1229</v>
      </c>
      <c r="C15" t="s">
        <v>1230</v>
      </c>
      <c r="D15" s="1753">
        <v>10963780.880000001</v>
      </c>
      <c r="E15" s="1753">
        <v>12905011.48</v>
      </c>
      <c r="F15" s="1753">
        <v>11791880.26</v>
      </c>
      <c r="G15" s="1753">
        <v>12192129.66</v>
      </c>
      <c r="H15" s="1753">
        <v>12509603.689999999</v>
      </c>
      <c r="I15" s="1753">
        <v>12804097.01</v>
      </c>
      <c r="J15" s="1753">
        <v>13469422.93</v>
      </c>
      <c r="K15" s="1753">
        <v>12646881.27</v>
      </c>
      <c r="L15" s="1753">
        <v>10738457.33</v>
      </c>
      <c r="M15" s="1753">
        <v>11535119.550000001</v>
      </c>
      <c r="N15" s="1753">
        <v>12808393.449999999</v>
      </c>
      <c r="O15" s="1753">
        <v>13066021.390000001</v>
      </c>
      <c r="P15" s="1753">
        <v>10068722.220000001</v>
      </c>
      <c r="Q15" s="665">
        <f t="shared" si="5"/>
        <v>12115347.778461536</v>
      </c>
      <c r="R15" s="485"/>
      <c r="S15" s="183" t="s">
        <v>414</v>
      </c>
      <c r="T15" s="483"/>
      <c r="U15" s="176"/>
      <c r="V15" s="176"/>
      <c r="W15" s="483">
        <f t="shared" si="4"/>
        <v>12115347.778461536</v>
      </c>
      <c r="AB15" s="837"/>
      <c r="AC15" s="837"/>
      <c r="AD15" s="837"/>
      <c r="AE15" s="837"/>
      <c r="AF15" s="837"/>
      <c r="AG15" s="837"/>
      <c r="AH15" s="837"/>
      <c r="AI15" s="837"/>
      <c r="AJ15" s="837"/>
      <c r="AK15" s="837"/>
      <c r="AL15" s="837"/>
      <c r="AM15" s="837"/>
      <c r="AN15" s="837"/>
    </row>
    <row r="16" spans="1:44">
      <c r="A16" s="498" t="s">
        <v>129</v>
      </c>
      <c r="B16" t="s">
        <v>1231</v>
      </c>
      <c r="C16" t="s">
        <v>1232</v>
      </c>
      <c r="D16" s="1753">
        <v>2888596.17</v>
      </c>
      <c r="E16" s="1753">
        <v>2707527.03</v>
      </c>
      <c r="F16" s="1753">
        <v>2995437.28</v>
      </c>
      <c r="G16" s="1753">
        <v>3202413.22</v>
      </c>
      <c r="H16" s="1753">
        <v>2988070.09</v>
      </c>
      <c r="I16" s="1753">
        <v>3054607.1</v>
      </c>
      <c r="J16" s="1753">
        <v>2949387.04</v>
      </c>
      <c r="K16" s="1753">
        <v>2685655.58</v>
      </c>
      <c r="L16" s="1753">
        <v>2663646.9</v>
      </c>
      <c r="M16" s="1753">
        <v>2482289.46</v>
      </c>
      <c r="N16" s="1753">
        <v>2236681.9700000002</v>
      </c>
      <c r="O16" s="1753">
        <v>2333041.5099999998</v>
      </c>
      <c r="P16" s="1753">
        <v>2122548.85</v>
      </c>
      <c r="Q16" s="665">
        <f t="shared" si="5"/>
        <v>2716146.3230769229</v>
      </c>
      <c r="R16" s="485"/>
      <c r="S16" s="183" t="s">
        <v>414</v>
      </c>
      <c r="T16" s="483"/>
      <c r="U16" s="176"/>
      <c r="V16" s="176"/>
      <c r="W16" s="483">
        <f t="shared" ref="W16:W20" si="6">+Q16</f>
        <v>2716146.3230769229</v>
      </c>
      <c r="AB16" s="837"/>
      <c r="AC16" s="837"/>
      <c r="AD16" s="837"/>
      <c r="AE16" s="837"/>
      <c r="AF16" s="837"/>
      <c r="AG16" s="837"/>
      <c r="AH16" s="837"/>
      <c r="AI16" s="837"/>
      <c r="AJ16" s="837"/>
      <c r="AK16" s="837"/>
      <c r="AL16" s="837"/>
      <c r="AM16" s="837"/>
      <c r="AN16" s="837"/>
    </row>
    <row r="17" spans="1:44">
      <c r="A17" s="498" t="s">
        <v>129</v>
      </c>
      <c r="B17" t="s">
        <v>1233</v>
      </c>
      <c r="C17" t="s">
        <v>1234</v>
      </c>
      <c r="D17" s="1753">
        <v>849787.96</v>
      </c>
      <c r="E17" s="1753">
        <v>778972.29</v>
      </c>
      <c r="F17" s="1753">
        <v>708156.62</v>
      </c>
      <c r="G17" s="1753">
        <v>637340.94999999995</v>
      </c>
      <c r="H17" s="1753">
        <v>566525.28</v>
      </c>
      <c r="I17" s="1753">
        <v>495709.61</v>
      </c>
      <c r="J17" s="1753">
        <v>424893.94</v>
      </c>
      <c r="K17" s="1753">
        <v>354078.27</v>
      </c>
      <c r="L17" s="1753">
        <v>283262.59999999998</v>
      </c>
      <c r="M17" s="1753">
        <v>212446.93</v>
      </c>
      <c r="N17" s="1753">
        <v>141631.26</v>
      </c>
      <c r="O17" s="1753">
        <v>964742.59</v>
      </c>
      <c r="P17" s="1753">
        <v>893926.96</v>
      </c>
      <c r="Q17" s="665">
        <f t="shared" si="5"/>
        <v>562421.17384615378</v>
      </c>
      <c r="R17" s="485"/>
      <c r="S17" s="183" t="s">
        <v>414</v>
      </c>
      <c r="T17" s="483"/>
      <c r="U17" s="176"/>
      <c r="V17" s="176"/>
      <c r="W17" s="483">
        <f t="shared" si="6"/>
        <v>562421.17384615378</v>
      </c>
      <c r="AB17" s="837"/>
      <c r="AC17" s="837"/>
      <c r="AD17" s="837"/>
      <c r="AE17" s="837"/>
      <c r="AF17" s="837"/>
      <c r="AG17" s="837"/>
      <c r="AH17" s="837"/>
      <c r="AI17" s="837"/>
      <c r="AJ17" s="837"/>
      <c r="AK17" s="837"/>
      <c r="AL17" s="837"/>
      <c r="AM17" s="837"/>
      <c r="AN17" s="837"/>
    </row>
    <row r="18" spans="1:44">
      <c r="A18" s="498" t="s">
        <v>129</v>
      </c>
      <c r="B18" t="s">
        <v>1287</v>
      </c>
      <c r="C18" s="183" t="s">
        <v>1289</v>
      </c>
      <c r="D18" s="1753">
        <v>4613462.6399999997</v>
      </c>
      <c r="E18" s="1753">
        <v>4287997.87</v>
      </c>
      <c r="F18" s="1753">
        <v>4052661.96</v>
      </c>
      <c r="G18" s="1753">
        <v>4621697.71</v>
      </c>
      <c r="H18" s="1753">
        <v>4264603.51</v>
      </c>
      <c r="I18" s="1753">
        <v>3884194.29</v>
      </c>
      <c r="J18" s="1753">
        <v>3523490.46</v>
      </c>
      <c r="K18" s="1753">
        <v>3153351.15</v>
      </c>
      <c r="L18" s="1753">
        <v>4154921.37</v>
      </c>
      <c r="M18" s="1753">
        <v>4475351.63</v>
      </c>
      <c r="N18" s="1753">
        <v>4107814.28</v>
      </c>
      <c r="O18" s="1753">
        <v>3749630.38</v>
      </c>
      <c r="P18" s="1753">
        <v>3385902.16</v>
      </c>
      <c r="Q18" s="665">
        <f t="shared" si="5"/>
        <v>4021159.9546153843</v>
      </c>
      <c r="R18" s="485"/>
      <c r="S18" s="183" t="s">
        <v>414</v>
      </c>
      <c r="T18" s="483"/>
      <c r="U18" s="176"/>
      <c r="V18" s="176"/>
      <c r="W18" s="483">
        <f t="shared" si="6"/>
        <v>4021159.9546153843</v>
      </c>
      <c r="AB18" s="837"/>
      <c r="AC18" s="837"/>
      <c r="AD18" s="837"/>
      <c r="AE18" s="837"/>
      <c r="AF18" s="837"/>
      <c r="AG18" s="837"/>
      <c r="AH18" s="837"/>
      <c r="AI18" s="837"/>
      <c r="AJ18" s="837"/>
      <c r="AK18" s="837"/>
      <c r="AL18" s="837"/>
      <c r="AM18" s="837"/>
      <c r="AN18" s="837"/>
    </row>
    <row r="19" spans="1:44">
      <c r="A19" s="498" t="s">
        <v>129</v>
      </c>
      <c r="B19" t="s">
        <v>1288</v>
      </c>
      <c r="C19" s="183" t="s">
        <v>1232</v>
      </c>
      <c r="D19" s="1753">
        <v>2110330.2799999998</v>
      </c>
      <c r="E19" s="1753">
        <v>2014071.63</v>
      </c>
      <c r="F19" s="1753">
        <v>1917812.98</v>
      </c>
      <c r="G19" s="1753">
        <v>1821554.32</v>
      </c>
      <c r="H19" s="1753">
        <v>1725295.66</v>
      </c>
      <c r="I19" s="1753">
        <v>1629037</v>
      </c>
      <c r="J19" s="1753">
        <v>1532778.34</v>
      </c>
      <c r="K19" s="1753">
        <v>1436519.68</v>
      </c>
      <c r="L19" s="1753">
        <v>1340261.02</v>
      </c>
      <c r="M19" s="1753">
        <v>1244002.3600000001</v>
      </c>
      <c r="N19" s="1753">
        <v>1147743.71</v>
      </c>
      <c r="O19" s="1753">
        <v>1051485.06</v>
      </c>
      <c r="P19" s="1753">
        <v>955226.4</v>
      </c>
      <c r="Q19" s="665">
        <f t="shared" si="5"/>
        <v>1532778.3415384612</v>
      </c>
      <c r="R19" s="485"/>
      <c r="S19" s="183" t="s">
        <v>203</v>
      </c>
      <c r="T19" s="483"/>
      <c r="U19" s="176"/>
      <c r="V19" s="176"/>
      <c r="W19" s="483">
        <f t="shared" si="6"/>
        <v>1532778.3415384612</v>
      </c>
      <c r="AB19" s="837"/>
      <c r="AC19" s="837"/>
      <c r="AD19" s="837"/>
      <c r="AE19" s="837"/>
      <c r="AF19" s="837"/>
      <c r="AG19" s="837"/>
      <c r="AH19" s="837"/>
      <c r="AI19" s="837"/>
      <c r="AJ19" s="837"/>
      <c r="AK19" s="837"/>
      <c r="AL19" s="837"/>
      <c r="AM19" s="837"/>
      <c r="AN19" s="837"/>
    </row>
    <row r="20" spans="1:44">
      <c r="A20" s="498" t="s">
        <v>129</v>
      </c>
      <c r="B20" s="183" t="s">
        <v>1324</v>
      </c>
      <c r="C20" s="183" t="s">
        <v>1325</v>
      </c>
      <c r="D20" s="1753">
        <v>9485310.1400000006</v>
      </c>
      <c r="E20" s="1753">
        <v>15320397.98</v>
      </c>
      <c r="F20" s="1753">
        <v>14503754.280000001</v>
      </c>
      <c r="G20" s="1753">
        <v>11074440.209999999</v>
      </c>
      <c r="H20" s="1753">
        <v>12731792.109999999</v>
      </c>
      <c r="I20" s="1753">
        <v>10554733.07</v>
      </c>
      <c r="J20" s="1753">
        <v>9847395.9399999995</v>
      </c>
      <c r="K20" s="1753">
        <v>10191239.810000001</v>
      </c>
      <c r="L20" s="1753">
        <v>9127371.120000001</v>
      </c>
      <c r="M20" s="1753">
        <v>8361461.1900000004</v>
      </c>
      <c r="N20" s="1753">
        <v>7207851.3799999999</v>
      </c>
      <c r="O20" s="1753">
        <v>6035191.5999999996</v>
      </c>
      <c r="P20" s="1753">
        <v>8793485.8600000013</v>
      </c>
      <c r="Q20" s="665">
        <f t="shared" si="5"/>
        <v>10248801.899230769</v>
      </c>
      <c r="R20" s="485"/>
      <c r="S20" s="183" t="s">
        <v>414</v>
      </c>
      <c r="T20" s="483"/>
      <c r="U20" s="176"/>
      <c r="V20" s="176"/>
      <c r="W20" s="483">
        <f t="shared" si="6"/>
        <v>10248801.899230769</v>
      </c>
      <c r="AB20" s="837"/>
      <c r="AC20" s="837"/>
      <c r="AD20" s="837"/>
      <c r="AE20" s="837"/>
      <c r="AF20" s="837"/>
      <c r="AG20" s="837"/>
      <c r="AH20" s="837"/>
      <c r="AI20" s="837"/>
      <c r="AJ20" s="837"/>
      <c r="AK20" s="837"/>
      <c r="AL20" s="837"/>
      <c r="AM20" s="837"/>
      <c r="AN20" s="837"/>
    </row>
    <row r="21" spans="1:44">
      <c r="A21" s="498"/>
      <c r="B21" s="183"/>
      <c r="C21" s="176"/>
      <c r="D21" s="1753"/>
      <c r="E21" s="1753"/>
      <c r="F21" s="1753"/>
      <c r="G21" s="1753"/>
      <c r="H21" s="1753"/>
      <c r="I21" s="1753"/>
      <c r="J21" s="1753"/>
      <c r="K21" s="1753"/>
      <c r="L21" s="1753"/>
      <c r="M21" s="1753"/>
      <c r="N21" s="1753"/>
      <c r="O21" s="1753"/>
      <c r="P21" s="1753"/>
      <c r="Q21" s="665"/>
      <c r="R21" s="485"/>
      <c r="S21" s="183"/>
      <c r="T21" s="483"/>
      <c r="U21" s="176"/>
      <c r="V21" s="176"/>
      <c r="W21" s="483"/>
      <c r="AB21" s="837"/>
      <c r="AC21" s="837"/>
      <c r="AD21" s="837"/>
      <c r="AE21" s="837"/>
      <c r="AF21" s="837"/>
      <c r="AG21" s="837"/>
      <c r="AH21" s="837"/>
      <c r="AI21" s="837"/>
      <c r="AJ21" s="837"/>
      <c r="AK21" s="837"/>
      <c r="AL21" s="837"/>
      <c r="AM21" s="837"/>
      <c r="AN21" s="837"/>
    </row>
    <row r="22" spans="1:44">
      <c r="A22" s="499"/>
      <c r="B22" s="489" t="s">
        <v>132</v>
      </c>
      <c r="C22" s="489"/>
      <c r="D22" s="495">
        <f t="shared" ref="D22:Q22" si="7">SUM(D10:D21)</f>
        <v>45206633.200000003</v>
      </c>
      <c r="E22" s="495">
        <f t="shared" si="7"/>
        <v>50815336.140000001</v>
      </c>
      <c r="F22" s="495">
        <f t="shared" si="7"/>
        <v>47250079.300000004</v>
      </c>
      <c r="G22" s="495">
        <f t="shared" si="7"/>
        <v>44728569.119999997</v>
      </c>
      <c r="H22" s="495">
        <f t="shared" si="7"/>
        <v>49678921.979999997</v>
      </c>
      <c r="I22" s="495">
        <f t="shared" si="7"/>
        <v>46846233.130000003</v>
      </c>
      <c r="J22" s="495">
        <f t="shared" si="7"/>
        <v>44307972.619999997</v>
      </c>
      <c r="K22" s="495">
        <f t="shared" si="7"/>
        <v>41145367.699999996</v>
      </c>
      <c r="L22" s="495">
        <f t="shared" si="7"/>
        <v>37223319.270000003</v>
      </c>
      <c r="M22" s="495">
        <f t="shared" si="7"/>
        <v>35719179.549999997</v>
      </c>
      <c r="N22" s="495">
        <f t="shared" si="7"/>
        <v>33139579.030000001</v>
      </c>
      <c r="O22" s="495">
        <f t="shared" si="7"/>
        <v>31311981.009999998</v>
      </c>
      <c r="P22" s="495">
        <f t="shared" si="7"/>
        <v>48078744.210000001</v>
      </c>
      <c r="Q22" s="495">
        <f t="shared" si="7"/>
        <v>42727070.48153846</v>
      </c>
      <c r="R22" s="485"/>
      <c r="S22" s="176"/>
      <c r="T22" s="483"/>
      <c r="U22" s="2"/>
      <c r="V22" s="2"/>
      <c r="W22" s="495">
        <f>SUM(W10:W21)</f>
        <v>42727070.48153846</v>
      </c>
      <c r="AB22" s="837"/>
      <c r="AC22" s="837"/>
      <c r="AD22" s="837"/>
      <c r="AE22" s="837"/>
      <c r="AF22" s="837"/>
      <c r="AG22" s="837"/>
      <c r="AH22" s="837"/>
      <c r="AI22" s="837"/>
      <c r="AJ22" s="837"/>
      <c r="AK22" s="837"/>
      <c r="AL22" s="837"/>
      <c r="AM22" s="837"/>
      <c r="AN22" s="837"/>
    </row>
    <row r="23" spans="1:44">
      <c r="A23" s="499"/>
      <c r="B23" s="1794"/>
      <c r="C23" s="176"/>
      <c r="D23" s="1709"/>
      <c r="E23" s="1709"/>
      <c r="F23" s="1709"/>
      <c r="G23" s="1709"/>
      <c r="H23" s="1709"/>
      <c r="I23" s="1709"/>
      <c r="J23" s="1709"/>
      <c r="K23" s="1709"/>
      <c r="L23" s="1709"/>
      <c r="M23" s="1709"/>
      <c r="N23" s="1709"/>
      <c r="O23" s="1709"/>
      <c r="P23" s="1709"/>
      <c r="Q23" s="665"/>
      <c r="R23" s="485"/>
      <c r="S23" s="176"/>
      <c r="T23" s="483"/>
      <c r="U23" s="2"/>
      <c r="V23" s="2"/>
      <c r="W23" s="2"/>
      <c r="AC23" s="837"/>
      <c r="AD23" s="837"/>
      <c r="AI23" s="837"/>
      <c r="AJ23" s="837"/>
      <c r="AM23" s="837"/>
      <c r="AN23" s="837"/>
    </row>
    <row r="24" spans="1:44">
      <c r="A24" s="499"/>
      <c r="B24" s="1794"/>
      <c r="C24" s="176"/>
      <c r="D24" s="1709"/>
      <c r="E24" s="1709"/>
      <c r="F24" s="1709"/>
      <c r="G24" s="1709"/>
      <c r="H24" s="1709"/>
      <c r="I24" s="1709"/>
      <c r="J24" s="1709"/>
      <c r="K24" s="1709"/>
      <c r="L24" s="1709"/>
      <c r="M24" s="1709"/>
      <c r="N24" s="1709"/>
      <c r="O24" s="1709"/>
      <c r="P24" s="1709"/>
      <c r="Q24" s="665"/>
      <c r="R24" s="485"/>
      <c r="S24" s="176"/>
      <c r="T24" s="483"/>
      <c r="U24" s="2"/>
      <c r="V24" s="2"/>
      <c r="W24" s="2"/>
      <c r="AC24" s="837"/>
      <c r="AD24" s="837"/>
      <c r="AI24" s="837"/>
      <c r="AJ24" s="837"/>
      <c r="AM24" s="837"/>
      <c r="AN24" s="837"/>
    </row>
    <row r="25" spans="1:44">
      <c r="B25" s="488" t="s">
        <v>218</v>
      </c>
      <c r="C25" s="176"/>
      <c r="D25" s="1709"/>
      <c r="E25" s="1709"/>
      <c r="F25" s="1709"/>
      <c r="G25" s="1709"/>
      <c r="H25" s="1709"/>
      <c r="I25" s="1709"/>
      <c r="J25" s="1709"/>
      <c r="K25" s="1709"/>
      <c r="L25" s="1709"/>
      <c r="M25" s="1709"/>
      <c r="N25" s="1709"/>
      <c r="O25" s="1709"/>
      <c r="P25" s="1709"/>
      <c r="Q25" s="665"/>
      <c r="R25" s="485"/>
      <c r="S25" s="176"/>
      <c r="T25" s="483"/>
      <c r="U25" s="2"/>
      <c r="V25" s="2"/>
      <c r="W25" s="2"/>
      <c r="AC25" s="837"/>
      <c r="AD25" s="837"/>
      <c r="AI25" s="837"/>
      <c r="AJ25" s="837"/>
      <c r="AM25" s="837"/>
      <c r="AN25" s="837"/>
    </row>
    <row r="26" spans="1:44">
      <c r="A26" s="176"/>
      <c r="B26" s="497"/>
      <c r="C26" s="176"/>
      <c r="D26" s="1709"/>
      <c r="E26" s="1709"/>
      <c r="F26" s="1709"/>
      <c r="G26" s="1709"/>
      <c r="H26" s="1709"/>
      <c r="I26" s="1709"/>
      <c r="J26" s="1709"/>
      <c r="K26" s="1709"/>
      <c r="L26" s="1709"/>
      <c r="M26" s="1709"/>
      <c r="N26" s="1753"/>
      <c r="O26" s="1753"/>
      <c r="P26" s="1753"/>
      <c r="Q26" s="665"/>
      <c r="R26" s="485"/>
      <c r="S26" s="176"/>
      <c r="T26" s="483"/>
      <c r="U26" s="125">
        <f>Q26</f>
        <v>0</v>
      </c>
      <c r="V26" s="2"/>
      <c r="W26" s="2"/>
      <c r="AC26" s="837"/>
      <c r="AD26" s="837"/>
      <c r="AI26" s="837"/>
      <c r="AJ26" s="837"/>
      <c r="AM26" s="837"/>
      <c r="AN26" s="837"/>
    </row>
    <row r="27" spans="1:44" s="176" customFormat="1">
      <c r="A27" s="499"/>
      <c r="B27" s="489" t="s">
        <v>214</v>
      </c>
      <c r="C27" s="489"/>
      <c r="D27" s="495">
        <f t="shared" ref="D27:Q27" si="8">SUM(D26:D26)</f>
        <v>0</v>
      </c>
      <c r="E27" s="495">
        <f t="shared" si="8"/>
        <v>0</v>
      </c>
      <c r="F27" s="495">
        <f t="shared" si="8"/>
        <v>0</v>
      </c>
      <c r="G27" s="495">
        <f t="shared" si="8"/>
        <v>0</v>
      </c>
      <c r="H27" s="495">
        <f t="shared" si="8"/>
        <v>0</v>
      </c>
      <c r="I27" s="495">
        <f t="shared" si="8"/>
        <v>0</v>
      </c>
      <c r="J27" s="495">
        <f t="shared" si="8"/>
        <v>0</v>
      </c>
      <c r="K27" s="495">
        <f t="shared" si="8"/>
        <v>0</v>
      </c>
      <c r="L27" s="495">
        <f t="shared" si="8"/>
        <v>0</v>
      </c>
      <c r="M27" s="495">
        <f t="shared" si="8"/>
        <v>0</v>
      </c>
      <c r="N27" s="495">
        <f t="shared" si="8"/>
        <v>0</v>
      </c>
      <c r="O27" s="495">
        <f t="shared" si="8"/>
        <v>0</v>
      </c>
      <c r="P27" s="495">
        <f t="shared" si="8"/>
        <v>0</v>
      </c>
      <c r="Q27" s="495">
        <f t="shared" si="8"/>
        <v>0</v>
      </c>
      <c r="R27" s="485"/>
      <c r="T27" s="483"/>
      <c r="U27" s="495">
        <f>SUM(U26:U26)</f>
        <v>0</v>
      </c>
      <c r="V27" s="2"/>
      <c r="W27" s="2"/>
      <c r="Y27" s="2"/>
      <c r="Z27" s="2"/>
      <c r="AA27" s="2"/>
      <c r="AB27" s="837"/>
      <c r="AC27" s="837"/>
      <c r="AD27" s="837"/>
      <c r="AE27" s="2"/>
      <c r="AF27" s="837"/>
      <c r="AG27" s="837"/>
      <c r="AH27" s="837"/>
      <c r="AI27" s="837"/>
      <c r="AJ27" s="837"/>
      <c r="AM27" s="2"/>
      <c r="AN27" s="837"/>
      <c r="AO27" s="500"/>
    </row>
    <row r="28" spans="1:44" s="176" customFormat="1">
      <c r="A28" s="499"/>
      <c r="B28" s="1749"/>
      <c r="D28" s="1709"/>
      <c r="E28" s="1709"/>
      <c r="F28" s="1709"/>
      <c r="G28" s="1709"/>
      <c r="H28" s="1709"/>
      <c r="I28" s="1709"/>
      <c r="J28" s="1709"/>
      <c r="K28" s="1709"/>
      <c r="L28" s="1709"/>
      <c r="M28" s="1709"/>
      <c r="N28" s="1709"/>
      <c r="O28" s="1709"/>
      <c r="P28" s="1709"/>
      <c r="Q28" s="665"/>
      <c r="R28" s="485"/>
      <c r="T28" s="1799"/>
      <c r="U28" s="2"/>
      <c r="V28" s="2"/>
      <c r="W28" s="2"/>
      <c r="Y28" s="2"/>
      <c r="Z28" s="2"/>
      <c r="AA28" s="2"/>
      <c r="AB28" s="837"/>
      <c r="AC28" s="837"/>
      <c r="AD28" s="837"/>
      <c r="AE28" s="2"/>
      <c r="AF28" s="837"/>
      <c r="AG28" s="837"/>
      <c r="AH28" s="837"/>
      <c r="AI28" s="837"/>
      <c r="AJ28" s="837"/>
      <c r="AM28" s="2"/>
      <c r="AN28" s="837"/>
      <c r="AO28" s="500"/>
    </row>
    <row r="29" spans="1:44" s="176" customFormat="1">
      <c r="A29" s="499"/>
      <c r="B29" s="1783"/>
      <c r="D29" s="1709"/>
      <c r="E29" s="1709"/>
      <c r="F29" s="1709"/>
      <c r="G29" s="1709"/>
      <c r="H29" s="1709"/>
      <c r="I29" s="1709"/>
      <c r="J29" s="1709"/>
      <c r="K29" s="1709"/>
      <c r="L29" s="1709"/>
      <c r="M29" s="1709"/>
      <c r="N29" s="1709"/>
      <c r="O29" s="1709"/>
      <c r="P29" s="1709"/>
      <c r="Q29" s="665"/>
      <c r="R29" s="485"/>
      <c r="T29" s="1799"/>
      <c r="U29" s="2"/>
      <c r="V29" s="2"/>
      <c r="W29" s="2"/>
      <c r="Y29" s="2"/>
      <c r="Z29" s="2"/>
      <c r="AA29" s="2"/>
      <c r="AB29" s="837"/>
      <c r="AC29" s="837"/>
      <c r="AD29" s="837"/>
      <c r="AE29" s="2"/>
      <c r="AF29" s="837"/>
      <c r="AG29" s="837"/>
      <c r="AH29" s="837"/>
      <c r="AI29" s="837"/>
      <c r="AJ29" s="837"/>
      <c r="AM29" s="2"/>
      <c r="AN29" s="837"/>
      <c r="AO29" s="500"/>
    </row>
    <row r="30" spans="1:44" s="176" customFormat="1">
      <c r="A30" s="499"/>
      <c r="B30" s="488" t="s">
        <v>216</v>
      </c>
      <c r="D30" s="1709"/>
      <c r="E30" s="1709"/>
      <c r="F30" s="1709"/>
      <c r="G30" s="1709"/>
      <c r="H30" s="1709"/>
      <c r="I30" s="1709"/>
      <c r="J30" s="1709"/>
      <c r="K30" s="1709"/>
      <c r="L30" s="1709"/>
      <c r="M30" s="1709"/>
      <c r="N30" s="1709"/>
      <c r="O30" s="1709"/>
      <c r="P30" s="1709"/>
      <c r="Q30" s="665"/>
      <c r="R30" s="485"/>
      <c r="T30" s="1799"/>
      <c r="U30" s="2"/>
      <c r="V30" s="2"/>
      <c r="W30" s="2"/>
      <c r="Y30" s="2"/>
      <c r="Z30" s="2"/>
      <c r="AA30" s="2"/>
      <c r="AB30" s="837"/>
      <c r="AC30" s="837"/>
      <c r="AD30" s="837"/>
      <c r="AE30" s="2"/>
      <c r="AF30" s="837"/>
      <c r="AG30" s="837"/>
      <c r="AH30" s="837"/>
      <c r="AI30" s="837"/>
      <c r="AJ30" s="837"/>
      <c r="AM30" s="2"/>
      <c r="AN30" s="837"/>
      <c r="AO30" s="500"/>
    </row>
    <row r="31" spans="1:44" s="176" customFormat="1">
      <c r="A31" s="498" t="s">
        <v>272</v>
      </c>
      <c r="B31" t="s">
        <v>1161</v>
      </c>
      <c r="C31" s="183" t="s">
        <v>1326</v>
      </c>
      <c r="D31" s="1753">
        <v>2162260.88</v>
      </c>
      <c r="E31" s="1753">
        <v>2740512.92</v>
      </c>
      <c r="F31" s="1753">
        <v>2740512.92</v>
      </c>
      <c r="G31" s="1753">
        <v>2740512.92</v>
      </c>
      <c r="H31" s="1753">
        <v>3549878.31</v>
      </c>
      <c r="I31" s="1753">
        <v>3549878.31</v>
      </c>
      <c r="J31" s="1753">
        <v>3549878.31</v>
      </c>
      <c r="K31" s="1753">
        <v>4100576.68</v>
      </c>
      <c r="L31" s="1753">
        <v>4100576.68</v>
      </c>
      <c r="M31" s="1753">
        <v>4100576.68</v>
      </c>
      <c r="N31" s="1753">
        <v>4898200.84</v>
      </c>
      <c r="O31" s="1753">
        <v>4898200.84</v>
      </c>
      <c r="P31" s="1753">
        <v>4898200.84</v>
      </c>
      <c r="Q31" s="665">
        <f t="shared" ref="Q31:Q39" si="9">AVERAGE(D31:P31)</f>
        <v>3694597.4715384622</v>
      </c>
      <c r="R31" s="485"/>
      <c r="T31" s="1799">
        <f t="shared" ref="T31:T39" si="10">Q31</f>
        <v>3694597.4715384622</v>
      </c>
      <c r="U31" s="2"/>
      <c r="V31" s="2"/>
      <c r="W31" s="2"/>
      <c r="Y31" s="2"/>
      <c r="Z31" s="2"/>
      <c r="AA31" s="2"/>
      <c r="AB31" s="837"/>
      <c r="AC31" s="837"/>
      <c r="AD31" s="837"/>
      <c r="AE31" s="2"/>
      <c r="AF31" s="837"/>
      <c r="AG31" s="837"/>
      <c r="AH31" s="837"/>
      <c r="AI31" s="837"/>
      <c r="AJ31" s="837"/>
      <c r="AM31" s="2"/>
      <c r="AN31" s="837"/>
      <c r="AO31" s="500"/>
    </row>
    <row r="32" spans="1:44">
      <c r="A32" s="498" t="s">
        <v>272</v>
      </c>
      <c r="B32" t="s">
        <v>1162</v>
      </c>
      <c r="C32" t="s">
        <v>211</v>
      </c>
      <c r="D32" s="1753">
        <v>1520644.6600000001</v>
      </c>
      <c r="E32" s="1753">
        <v>2246485.62</v>
      </c>
      <c r="F32" s="1753">
        <v>2246485.62</v>
      </c>
      <c r="G32" s="1753">
        <v>2246485.62</v>
      </c>
      <c r="H32" s="1753">
        <v>2246485.62</v>
      </c>
      <c r="I32" s="1753">
        <v>3060649.65</v>
      </c>
      <c r="J32" s="1753">
        <v>3060649.65</v>
      </c>
      <c r="K32" s="1753">
        <v>3404354.9799999995</v>
      </c>
      <c r="L32" s="1753">
        <v>3404354.9799999995</v>
      </c>
      <c r="M32" s="1753">
        <v>3404354.9799999995</v>
      </c>
      <c r="N32" s="1753">
        <v>4070782.8099999996</v>
      </c>
      <c r="O32" s="1753">
        <v>4070782.8099999996</v>
      </c>
      <c r="P32" s="1753">
        <v>4070782.8099999996</v>
      </c>
      <c r="Q32" s="665">
        <f t="shared" si="9"/>
        <v>3004099.9853846156</v>
      </c>
      <c r="T32" s="1799">
        <f t="shared" si="10"/>
        <v>3004099.9853846156</v>
      </c>
      <c r="AM32" s="837"/>
      <c r="AN32" s="837"/>
      <c r="AP32"/>
      <c r="AQ32"/>
      <c r="AR32"/>
    </row>
    <row r="33" spans="1:20">
      <c r="A33" s="498" t="s">
        <v>272</v>
      </c>
      <c r="B33" t="s">
        <v>1163</v>
      </c>
      <c r="C33" t="s">
        <v>1070</v>
      </c>
      <c r="D33" s="1753">
        <v>45300</v>
      </c>
      <c r="E33" s="1753">
        <v>0</v>
      </c>
      <c r="F33" s="1753">
        <v>30200</v>
      </c>
      <c r="G33" s="1753">
        <v>15100</v>
      </c>
      <c r="H33" s="1753">
        <v>0</v>
      </c>
      <c r="I33" s="1753">
        <v>0</v>
      </c>
      <c r="J33" s="1753">
        <v>0</v>
      </c>
      <c r="K33" s="1753">
        <v>0</v>
      </c>
      <c r="L33" s="1753">
        <v>0</v>
      </c>
      <c r="M33" s="1753">
        <v>0</v>
      </c>
      <c r="N33" s="1753">
        <v>0</v>
      </c>
      <c r="O33" s="1753">
        <v>0</v>
      </c>
      <c r="P33" s="1753">
        <v>0</v>
      </c>
      <c r="Q33" s="665">
        <f t="shared" si="9"/>
        <v>6969.2307692307695</v>
      </c>
      <c r="T33" s="1799">
        <f t="shared" si="10"/>
        <v>6969.2307692307695</v>
      </c>
    </row>
    <row r="34" spans="1:20">
      <c r="A34" s="498" t="s">
        <v>272</v>
      </c>
      <c r="B34" t="s">
        <v>1144</v>
      </c>
      <c r="C34" t="s">
        <v>1145</v>
      </c>
      <c r="D34" s="1753">
        <v>33006</v>
      </c>
      <c r="E34" s="1753">
        <v>33006</v>
      </c>
      <c r="F34" s="1753">
        <v>33006</v>
      </c>
      <c r="G34" s="1753">
        <v>33006</v>
      </c>
      <c r="H34" s="1753">
        <v>33006</v>
      </c>
      <c r="I34" s="1753">
        <v>33006</v>
      </c>
      <c r="J34" s="1753">
        <v>33006</v>
      </c>
      <c r="K34" s="1753">
        <v>33006</v>
      </c>
      <c r="L34" s="1753">
        <v>33006</v>
      </c>
      <c r="M34" s="1753">
        <v>33006</v>
      </c>
      <c r="N34" s="1753">
        <v>33006</v>
      </c>
      <c r="O34" s="1753">
        <v>33006</v>
      </c>
      <c r="P34" s="1753">
        <v>33006</v>
      </c>
      <c r="Q34" s="665">
        <f t="shared" si="9"/>
        <v>33006</v>
      </c>
      <c r="T34" s="1799">
        <f t="shared" si="10"/>
        <v>33006</v>
      </c>
    </row>
    <row r="35" spans="1:20">
      <c r="A35" s="498" t="s">
        <v>272</v>
      </c>
      <c r="B35" t="s">
        <v>1122</v>
      </c>
      <c r="C35" s="183" t="s">
        <v>1345</v>
      </c>
      <c r="D35" s="1753">
        <v>359860.13</v>
      </c>
      <c r="E35" s="1753">
        <v>287841.13</v>
      </c>
      <c r="F35" s="1753">
        <v>215823.13</v>
      </c>
      <c r="G35" s="1753">
        <v>143803.13</v>
      </c>
      <c r="H35" s="1753">
        <v>71783.12999999999</v>
      </c>
      <c r="I35" s="1753">
        <v>-236.9</v>
      </c>
      <c r="J35" s="1753">
        <v>-237.96</v>
      </c>
      <c r="K35" s="1753">
        <v>826254.15</v>
      </c>
      <c r="L35" s="1753">
        <v>743604.82</v>
      </c>
      <c r="M35" s="1753">
        <v>660956.81999999995</v>
      </c>
      <c r="N35" s="1753">
        <v>578308.81999999995</v>
      </c>
      <c r="O35" s="1753">
        <v>495660.81999999995</v>
      </c>
      <c r="P35" s="1753">
        <v>413012.81999999995</v>
      </c>
      <c r="Q35" s="665">
        <f t="shared" si="9"/>
        <v>368956.46461538464</v>
      </c>
      <c r="T35" s="1799">
        <f t="shared" si="10"/>
        <v>368956.46461538464</v>
      </c>
    </row>
    <row r="36" spans="1:20">
      <c r="A36" s="498" t="s">
        <v>272</v>
      </c>
      <c r="B36" s="428" t="s">
        <v>1235</v>
      </c>
      <c r="C36" t="s">
        <v>1236</v>
      </c>
      <c r="D36" s="1753">
        <v>0</v>
      </c>
      <c r="E36" s="1753">
        <v>45300</v>
      </c>
      <c r="F36" s="1753">
        <v>45300</v>
      </c>
      <c r="G36" s="1753">
        <v>0</v>
      </c>
      <c r="H36" s="1753">
        <v>0</v>
      </c>
      <c r="I36" s="1753">
        <v>0</v>
      </c>
      <c r="J36" s="1753">
        <v>0</v>
      </c>
      <c r="K36" s="1753">
        <v>0</v>
      </c>
      <c r="L36" s="1753">
        <v>0</v>
      </c>
      <c r="M36" s="1753">
        <v>0</v>
      </c>
      <c r="N36" s="1753">
        <v>0</v>
      </c>
      <c r="O36" s="1753">
        <v>0</v>
      </c>
      <c r="P36" s="1753">
        <v>0</v>
      </c>
      <c r="Q36" s="665">
        <f t="shared" si="9"/>
        <v>6969.2307692307695</v>
      </c>
      <c r="T36" s="1799">
        <f t="shared" si="10"/>
        <v>6969.2307692307695</v>
      </c>
    </row>
    <row r="37" spans="1:20">
      <c r="A37" s="498" t="s">
        <v>272</v>
      </c>
      <c r="B37" s="1805" t="s">
        <v>1237</v>
      </c>
      <c r="C37" t="s">
        <v>1238</v>
      </c>
      <c r="D37" s="1753">
        <v>1777100</v>
      </c>
      <c r="E37" s="1753">
        <v>1777100</v>
      </c>
      <c r="F37" s="1753">
        <v>1777100</v>
      </c>
      <c r="G37" s="1753">
        <v>1777100</v>
      </c>
      <c r="H37" s="1753">
        <v>1777100</v>
      </c>
      <c r="I37" s="1753">
        <v>1777100</v>
      </c>
      <c r="J37" s="1753">
        <v>1777100</v>
      </c>
      <c r="K37" s="1753">
        <v>1777100</v>
      </c>
      <c r="L37" s="1753">
        <v>1777100</v>
      </c>
      <c r="M37" s="1753">
        <v>1777100</v>
      </c>
      <c r="N37" s="1753">
        <v>1777100</v>
      </c>
      <c r="O37" s="1753">
        <v>1777100</v>
      </c>
      <c r="P37" s="1753">
        <v>769392</v>
      </c>
      <c r="Q37" s="665">
        <f t="shared" si="9"/>
        <v>1699584</v>
      </c>
      <c r="T37" s="1799">
        <f t="shared" si="10"/>
        <v>1699584</v>
      </c>
    </row>
    <row r="38" spans="1:20">
      <c r="A38" s="498" t="s">
        <v>272</v>
      </c>
      <c r="B38" t="s">
        <v>1313</v>
      </c>
      <c r="C38" s="183" t="s">
        <v>1346</v>
      </c>
      <c r="D38" s="1753">
        <v>0</v>
      </c>
      <c r="E38" s="1753">
        <v>26420800</v>
      </c>
      <c r="F38" s="1753">
        <v>600</v>
      </c>
      <c r="G38" s="1753">
        <v>29251600</v>
      </c>
      <c r="H38" s="1753">
        <v>0</v>
      </c>
      <c r="I38" s="1753">
        <v>12558000</v>
      </c>
      <c r="J38" s="1753">
        <v>12976600</v>
      </c>
      <c r="K38" s="1753">
        <v>0</v>
      </c>
      <c r="L38" s="1753">
        <v>12558000</v>
      </c>
      <c r="M38" s="1753">
        <v>0</v>
      </c>
      <c r="N38" s="1753">
        <v>28308000</v>
      </c>
      <c r="O38" s="1753">
        <v>29251600</v>
      </c>
      <c r="P38" s="1753">
        <v>29251600</v>
      </c>
      <c r="Q38" s="665">
        <f t="shared" si="9"/>
        <v>13890523.076923076</v>
      </c>
      <c r="T38" s="1799">
        <f t="shared" si="10"/>
        <v>13890523.076923076</v>
      </c>
    </row>
    <row r="39" spans="1:20">
      <c r="A39" s="498" t="s">
        <v>272</v>
      </c>
      <c r="B39" s="665" t="s">
        <v>1069</v>
      </c>
      <c r="C39" s="183" t="s">
        <v>1347</v>
      </c>
      <c r="D39" s="1753">
        <v>0</v>
      </c>
      <c r="E39" s="1753">
        <v>0</v>
      </c>
      <c r="F39" s="1753"/>
      <c r="G39" s="1753"/>
      <c r="H39" s="1753"/>
      <c r="I39" s="1753">
        <v>3452.33</v>
      </c>
      <c r="J39" s="1753">
        <v>0</v>
      </c>
      <c r="K39" s="1753">
        <v>0</v>
      </c>
      <c r="L39" s="1753">
        <v>0</v>
      </c>
      <c r="M39" s="1753">
        <v>0</v>
      </c>
      <c r="N39" s="1753">
        <v>0</v>
      </c>
      <c r="O39" s="1753">
        <v>0</v>
      </c>
      <c r="P39" s="1753">
        <v>0</v>
      </c>
      <c r="Q39" s="665">
        <f t="shared" si="9"/>
        <v>345.233</v>
      </c>
      <c r="T39" s="1799">
        <f t="shared" si="10"/>
        <v>345.233</v>
      </c>
    </row>
    <row r="40" spans="1:20">
      <c r="A40" s="498"/>
      <c r="B40" s="1798"/>
      <c r="D40" s="428"/>
      <c r="E40" s="428"/>
      <c r="F40" s="428"/>
      <c r="G40" s="428"/>
      <c r="H40" s="428"/>
      <c r="I40" s="428"/>
      <c r="J40" s="428"/>
      <c r="K40" s="428"/>
      <c r="L40" s="428"/>
      <c r="M40" s="428"/>
      <c r="N40" s="428"/>
      <c r="O40" s="428"/>
      <c r="P40" s="428"/>
      <c r="Q40" s="665"/>
      <c r="T40" s="1799"/>
    </row>
    <row r="41" spans="1:20">
      <c r="B41" s="489" t="s">
        <v>217</v>
      </c>
      <c r="C41" s="489"/>
      <c r="D41" s="495">
        <f t="shared" ref="D41:Q41" si="11">SUM(D31:D40)</f>
        <v>5898171.6699999999</v>
      </c>
      <c r="E41" s="495">
        <f t="shared" si="11"/>
        <v>33551045.670000002</v>
      </c>
      <c r="F41" s="495">
        <f t="shared" si="11"/>
        <v>7089027.6699999999</v>
      </c>
      <c r="G41" s="495">
        <f t="shared" si="11"/>
        <v>36207607.670000002</v>
      </c>
      <c r="H41" s="495">
        <f t="shared" si="11"/>
        <v>7678253.0599999996</v>
      </c>
      <c r="I41" s="495">
        <f t="shared" si="11"/>
        <v>20981849.389999997</v>
      </c>
      <c r="J41" s="495">
        <f t="shared" si="11"/>
        <v>21396996</v>
      </c>
      <c r="K41" s="495">
        <f t="shared" si="11"/>
        <v>10141291.810000001</v>
      </c>
      <c r="L41" s="495">
        <f t="shared" si="11"/>
        <v>22616642.48</v>
      </c>
      <c r="M41" s="495">
        <f t="shared" si="11"/>
        <v>9975994.4800000004</v>
      </c>
      <c r="N41" s="495">
        <f t="shared" si="11"/>
        <v>39665398.469999999</v>
      </c>
      <c r="O41" s="495">
        <f t="shared" si="11"/>
        <v>40526350.469999999</v>
      </c>
      <c r="P41" s="495">
        <f t="shared" si="11"/>
        <v>39435994.469999999</v>
      </c>
      <c r="Q41" s="495">
        <f t="shared" si="11"/>
        <v>22705050.693</v>
      </c>
      <c r="T41" s="495">
        <f>SUM(T31:T39)</f>
        <v>22705050.693</v>
      </c>
    </row>
    <row r="44" spans="1:20">
      <c r="D44" s="428">
        <f>D41+D27+D22+D6</f>
        <v>51382582.010000005</v>
      </c>
      <c r="P44" s="428">
        <f>P41+P27+P22+P6</f>
        <v>87769351.88000001</v>
      </c>
    </row>
  </sheetData>
  <phoneticPr fontId="49" type="noConversion"/>
  <pageMargins left="0.17" right="0.17" top="0.17" bottom="0.16" header="0.3" footer="0.3"/>
  <pageSetup paperSize="5" scale="48" fitToHeight="2" orientation="landscape" r:id="rId1"/>
  <colBreaks count="1" manualBreakCount="1">
    <brk id="2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6"/>
  <sheetViews>
    <sheetView zoomScale="75" zoomScaleNormal="75" workbookViewId="0">
      <pane ySplit="2" topLeftCell="A36" activePane="bottomLeft" state="frozen"/>
      <selection activeCell="C309" sqref="C309"/>
      <selection pane="bottomLeft" activeCell="E95" sqref="E95"/>
    </sheetView>
  </sheetViews>
  <sheetFormatPr defaultColWidth="9.140625" defaultRowHeight="12.75"/>
  <cols>
    <col min="1" max="1" width="9.140625" style="629"/>
    <col min="2" max="2" width="70.42578125" style="97" bestFit="1" customWidth="1"/>
    <col min="3" max="3" width="20.7109375" style="630" customWidth="1"/>
    <col min="4" max="4" width="20.7109375" style="631" customWidth="1"/>
    <col min="5" max="5" width="20.42578125" style="631" customWidth="1"/>
    <col min="6" max="16384" width="9.140625" style="97"/>
  </cols>
  <sheetData>
    <row r="1" spans="1:5" ht="26.25" customHeight="1">
      <c r="A1" s="47" t="s">
        <v>546</v>
      </c>
      <c r="B1" s="47"/>
      <c r="C1" s="643"/>
      <c r="D1" s="644"/>
      <c r="E1" s="644"/>
    </row>
    <row r="2" spans="1:5" ht="38.25">
      <c r="A2" s="487" t="s">
        <v>141</v>
      </c>
      <c r="B2" s="487" t="s">
        <v>142</v>
      </c>
      <c r="C2" s="627" t="s">
        <v>1339</v>
      </c>
      <c r="D2" s="628" t="s">
        <v>1340</v>
      </c>
      <c r="E2" s="628" t="s">
        <v>1341</v>
      </c>
    </row>
    <row r="3" spans="1:5">
      <c r="A3" s="629">
        <v>1</v>
      </c>
      <c r="B3" t="s">
        <v>1168</v>
      </c>
      <c r="C3" s="184">
        <v>3515000</v>
      </c>
      <c r="D3" s="184">
        <v>3202000</v>
      </c>
      <c r="E3" s="1817">
        <f>C3-D3</f>
        <v>313000</v>
      </c>
    </row>
    <row r="4" spans="1:5">
      <c r="A4" s="629">
        <f t="shared" ref="A4:A79" si="0">+A3+1</f>
        <v>2</v>
      </c>
      <c r="B4" t="s">
        <v>1169</v>
      </c>
      <c r="C4" s="184">
        <v>89000</v>
      </c>
      <c r="D4" s="184">
        <v>70000</v>
      </c>
      <c r="E4" s="1817">
        <f>C4-D4</f>
        <v>19000</v>
      </c>
    </row>
    <row r="5" spans="1:5">
      <c r="A5" s="629">
        <f>+A4+1</f>
        <v>3</v>
      </c>
      <c r="B5" t="s">
        <v>1170</v>
      </c>
      <c r="C5" s="184">
        <v>269000</v>
      </c>
      <c r="D5" s="184">
        <v>217000</v>
      </c>
      <c r="E5" s="1817">
        <f>C5-D5</f>
        <v>52000</v>
      </c>
    </row>
    <row r="6" spans="1:5">
      <c r="A6" s="629">
        <f>+A5+1</f>
        <v>4</v>
      </c>
    </row>
    <row r="7" spans="1:5">
      <c r="A7" s="629">
        <f>+A6+1</f>
        <v>5</v>
      </c>
      <c r="C7" s="1665"/>
      <c r="D7" s="1665"/>
      <c r="E7" s="1817"/>
    </row>
    <row r="8" spans="1:5">
      <c r="A8" s="629">
        <f t="shared" si="0"/>
        <v>6</v>
      </c>
      <c r="B8" s="632" t="s">
        <v>143</v>
      </c>
      <c r="C8" s="1818">
        <f>SUM(C3:C5)</f>
        <v>3873000</v>
      </c>
      <c r="D8" s="1818">
        <f>SUM(D3:D5)</f>
        <v>3489000</v>
      </c>
      <c r="E8" s="1818">
        <f>SUM(E3:E5)</f>
        <v>384000</v>
      </c>
    </row>
    <row r="9" spans="1:5">
      <c r="A9" s="629">
        <f t="shared" si="0"/>
        <v>7</v>
      </c>
      <c r="C9" s="1819"/>
      <c r="D9" s="1820"/>
      <c r="E9" s="1820"/>
    </row>
    <row r="10" spans="1:5">
      <c r="A10" s="629">
        <f t="shared" si="0"/>
        <v>8</v>
      </c>
      <c r="B10" t="s">
        <v>1034</v>
      </c>
      <c r="C10" s="184">
        <v>2000</v>
      </c>
      <c r="D10" s="97"/>
      <c r="E10" s="1817">
        <f t="shared" ref="E10:E31" si="1">C10-D10</f>
        <v>2000</v>
      </c>
    </row>
    <row r="11" spans="1:5">
      <c r="A11" s="629">
        <f t="shared" si="0"/>
        <v>9</v>
      </c>
      <c r="B11" t="s">
        <v>1035</v>
      </c>
      <c r="C11" s="184">
        <v>29000</v>
      </c>
      <c r="D11" s="1807">
        <v>10000</v>
      </c>
      <c r="E11" s="1817">
        <f t="shared" si="1"/>
        <v>19000</v>
      </c>
    </row>
    <row r="12" spans="1:5">
      <c r="A12" s="629">
        <f t="shared" si="0"/>
        <v>10</v>
      </c>
      <c r="B12" t="s">
        <v>1036</v>
      </c>
      <c r="C12" s="184">
        <v>132000</v>
      </c>
      <c r="D12" s="1807">
        <v>40000</v>
      </c>
      <c r="E12" s="1817">
        <f t="shared" si="1"/>
        <v>92000</v>
      </c>
    </row>
    <row r="13" spans="1:5">
      <c r="A13" s="629">
        <f t="shared" si="0"/>
        <v>11</v>
      </c>
      <c r="B13" t="s">
        <v>1037</v>
      </c>
      <c r="C13" s="184">
        <v>1000</v>
      </c>
      <c r="D13" s="1807">
        <v>1000</v>
      </c>
      <c r="E13" s="1817">
        <f t="shared" si="1"/>
        <v>0</v>
      </c>
    </row>
    <row r="14" spans="1:5">
      <c r="A14" s="629">
        <f t="shared" si="0"/>
        <v>12</v>
      </c>
      <c r="B14" t="s">
        <v>1038</v>
      </c>
      <c r="C14" s="665">
        <v>7000</v>
      </c>
      <c r="D14" s="1807">
        <v>1000</v>
      </c>
      <c r="E14" s="1817">
        <f t="shared" si="1"/>
        <v>6000</v>
      </c>
    </row>
    <row r="15" spans="1:5">
      <c r="A15" s="629">
        <f t="shared" si="0"/>
        <v>13</v>
      </c>
      <c r="B15" t="s">
        <v>1124</v>
      </c>
      <c r="C15" s="665">
        <v>40000</v>
      </c>
      <c r="D15" s="1807">
        <v>31000</v>
      </c>
      <c r="E15" s="1817">
        <f t="shared" si="1"/>
        <v>9000</v>
      </c>
    </row>
    <row r="16" spans="1:5">
      <c r="A16" s="629">
        <f t="shared" si="0"/>
        <v>14</v>
      </c>
      <c r="B16" t="s">
        <v>1077</v>
      </c>
      <c r="C16" s="665">
        <v>1684000</v>
      </c>
      <c r="D16" s="1807">
        <v>421000</v>
      </c>
      <c r="E16" s="1817">
        <f t="shared" si="1"/>
        <v>1263000</v>
      </c>
    </row>
    <row r="17" spans="1:5">
      <c r="A17" s="629">
        <f t="shared" si="0"/>
        <v>15</v>
      </c>
      <c r="B17" t="s">
        <v>1039</v>
      </c>
      <c r="C17" s="665">
        <v>153000</v>
      </c>
      <c r="D17" s="1807">
        <v>48000</v>
      </c>
      <c r="E17" s="1817">
        <f t="shared" si="1"/>
        <v>105000</v>
      </c>
    </row>
    <row r="18" spans="1:5">
      <c r="A18" s="629">
        <f t="shared" si="0"/>
        <v>16</v>
      </c>
      <c r="B18" t="s">
        <v>1040</v>
      </c>
      <c r="C18" s="184">
        <v>79000</v>
      </c>
      <c r="D18" s="1807">
        <v>70000</v>
      </c>
      <c r="E18" s="1817">
        <f t="shared" si="1"/>
        <v>9000</v>
      </c>
    </row>
    <row r="19" spans="1:5">
      <c r="A19" s="629">
        <f t="shared" si="0"/>
        <v>17</v>
      </c>
      <c r="B19" t="s">
        <v>1041</v>
      </c>
      <c r="C19" s="184">
        <v>405000</v>
      </c>
      <c r="D19" s="1807">
        <v>264000</v>
      </c>
      <c r="E19" s="1817">
        <f t="shared" si="1"/>
        <v>141000</v>
      </c>
    </row>
    <row r="20" spans="1:5">
      <c r="A20" s="629">
        <f t="shared" si="0"/>
        <v>18</v>
      </c>
      <c r="B20" t="s">
        <v>1042</v>
      </c>
      <c r="C20" s="184">
        <v>144000</v>
      </c>
      <c r="D20" s="1807">
        <v>100000</v>
      </c>
      <c r="E20" s="1817">
        <f t="shared" si="1"/>
        <v>44000</v>
      </c>
    </row>
    <row r="21" spans="1:5">
      <c r="A21" s="629">
        <f t="shared" si="0"/>
        <v>19</v>
      </c>
      <c r="B21" t="s">
        <v>1043</v>
      </c>
      <c r="C21" s="184">
        <v>134000</v>
      </c>
      <c r="D21" s="1807">
        <v>93000</v>
      </c>
      <c r="E21" s="1817">
        <f t="shared" si="1"/>
        <v>41000</v>
      </c>
    </row>
    <row r="22" spans="1:5">
      <c r="A22" s="629">
        <f t="shared" si="0"/>
        <v>20</v>
      </c>
      <c r="B22" t="s">
        <v>1044</v>
      </c>
      <c r="C22" s="184">
        <v>112000</v>
      </c>
      <c r="D22" s="1807">
        <v>88000</v>
      </c>
      <c r="E22" s="1817">
        <f t="shared" si="1"/>
        <v>24000</v>
      </c>
    </row>
    <row r="23" spans="1:5">
      <c r="A23" s="629">
        <f t="shared" si="0"/>
        <v>21</v>
      </c>
      <c r="B23" t="s">
        <v>1045</v>
      </c>
      <c r="C23" s="184">
        <v>5413000</v>
      </c>
      <c r="D23" s="1807">
        <v>5327000</v>
      </c>
      <c r="E23" s="1817">
        <f t="shared" si="1"/>
        <v>86000</v>
      </c>
    </row>
    <row r="24" spans="1:5">
      <c r="A24" s="629">
        <f t="shared" si="0"/>
        <v>22</v>
      </c>
      <c r="B24" t="s">
        <v>1063</v>
      </c>
      <c r="C24" s="184">
        <v>5619000</v>
      </c>
      <c r="D24" s="1807">
        <v>4389000</v>
      </c>
      <c r="E24" s="1817">
        <f t="shared" si="1"/>
        <v>1230000</v>
      </c>
    </row>
    <row r="25" spans="1:5">
      <c r="A25" s="629">
        <f t="shared" si="0"/>
        <v>23</v>
      </c>
      <c r="B25" t="s">
        <v>1165</v>
      </c>
      <c r="C25" s="184">
        <v>5035000</v>
      </c>
      <c r="D25" s="1807">
        <v>2045000</v>
      </c>
      <c r="E25" s="1817">
        <f t="shared" si="1"/>
        <v>2990000</v>
      </c>
    </row>
    <row r="26" spans="1:5">
      <c r="A26" s="629">
        <f t="shared" si="0"/>
        <v>24</v>
      </c>
      <c r="B26" t="s">
        <v>1046</v>
      </c>
      <c r="C26" s="184">
        <v>3189000</v>
      </c>
      <c r="D26" s="1807">
        <v>844000</v>
      </c>
      <c r="E26" s="1817">
        <f t="shared" si="1"/>
        <v>2345000</v>
      </c>
    </row>
    <row r="27" spans="1:5">
      <c r="A27" s="629">
        <f t="shared" si="0"/>
        <v>25</v>
      </c>
      <c r="B27" t="s">
        <v>1047</v>
      </c>
      <c r="C27" s="184">
        <v>3815000</v>
      </c>
      <c r="D27" s="1807">
        <v>1810000</v>
      </c>
      <c r="E27" s="1817">
        <f t="shared" si="1"/>
        <v>2005000</v>
      </c>
    </row>
    <row r="28" spans="1:5">
      <c r="A28" s="629">
        <f t="shared" si="0"/>
        <v>26</v>
      </c>
      <c r="B28" t="s">
        <v>1048</v>
      </c>
      <c r="C28" s="184">
        <v>1732000</v>
      </c>
      <c r="D28" s="1807">
        <v>779000</v>
      </c>
      <c r="E28" s="1817">
        <f t="shared" si="1"/>
        <v>953000</v>
      </c>
    </row>
    <row r="29" spans="1:5">
      <c r="A29" s="629">
        <f t="shared" si="0"/>
        <v>27</v>
      </c>
      <c r="B29" t="s">
        <v>1049</v>
      </c>
      <c r="C29" s="184">
        <v>411000</v>
      </c>
      <c r="D29" s="1807">
        <v>131000</v>
      </c>
      <c r="E29" s="1817">
        <f t="shared" si="1"/>
        <v>280000</v>
      </c>
    </row>
    <row r="30" spans="1:5">
      <c r="A30" s="629">
        <f t="shared" si="0"/>
        <v>28</v>
      </c>
      <c r="B30" t="s">
        <v>1050</v>
      </c>
      <c r="C30" s="184">
        <v>8919000</v>
      </c>
      <c r="D30" s="1807">
        <v>2863000</v>
      </c>
      <c r="E30" s="1817">
        <f t="shared" si="1"/>
        <v>6056000</v>
      </c>
    </row>
    <row r="31" spans="1:5">
      <c r="A31" s="629">
        <f t="shared" si="0"/>
        <v>29</v>
      </c>
      <c r="B31" t="s">
        <v>1051</v>
      </c>
      <c r="C31" s="184">
        <v>9381000</v>
      </c>
      <c r="D31" s="1807">
        <v>3537000</v>
      </c>
      <c r="E31" s="1817">
        <f t="shared" si="1"/>
        <v>5844000</v>
      </c>
    </row>
    <row r="32" spans="1:5">
      <c r="A32" s="629">
        <f t="shared" si="0"/>
        <v>30</v>
      </c>
      <c r="B32" t="s">
        <v>1052</v>
      </c>
      <c r="C32" s="184">
        <v>2700000</v>
      </c>
      <c r="D32" s="1807">
        <v>872000</v>
      </c>
      <c r="E32" s="1817">
        <f t="shared" ref="E32:E72" si="2">C32-D32</f>
        <v>1828000</v>
      </c>
    </row>
    <row r="33" spans="1:5">
      <c r="A33" s="629">
        <f t="shared" si="0"/>
        <v>31</v>
      </c>
      <c r="B33" t="s">
        <v>1078</v>
      </c>
      <c r="C33" s="184">
        <v>24186000</v>
      </c>
      <c r="D33" s="1807">
        <v>10157000</v>
      </c>
      <c r="E33" s="1817">
        <f t="shared" si="2"/>
        <v>14029000</v>
      </c>
    </row>
    <row r="34" spans="1:5">
      <c r="A34" s="629">
        <f t="shared" si="0"/>
        <v>32</v>
      </c>
      <c r="B34" t="s">
        <v>1053</v>
      </c>
      <c r="C34" s="184">
        <v>1780000</v>
      </c>
      <c r="D34" s="1807">
        <v>608000</v>
      </c>
      <c r="E34" s="1817">
        <f t="shared" si="2"/>
        <v>1172000</v>
      </c>
    </row>
    <row r="35" spans="1:5">
      <c r="A35" s="629">
        <f t="shared" si="0"/>
        <v>33</v>
      </c>
      <c r="B35" t="s">
        <v>1054</v>
      </c>
      <c r="C35" s="184">
        <v>31000</v>
      </c>
      <c r="D35" s="1807">
        <v>12000</v>
      </c>
      <c r="E35" s="1817">
        <f t="shared" si="2"/>
        <v>19000</v>
      </c>
    </row>
    <row r="36" spans="1:5">
      <c r="A36" s="629">
        <f t="shared" si="0"/>
        <v>34</v>
      </c>
      <c r="B36" t="s">
        <v>1055</v>
      </c>
      <c r="C36" s="184">
        <v>206000</v>
      </c>
      <c r="D36" s="1807">
        <v>49000</v>
      </c>
      <c r="E36" s="1817">
        <f t="shared" si="2"/>
        <v>157000</v>
      </c>
    </row>
    <row r="37" spans="1:5">
      <c r="A37" s="629">
        <f t="shared" si="0"/>
        <v>35</v>
      </c>
      <c r="B37" t="s">
        <v>1056</v>
      </c>
      <c r="C37" s="184">
        <v>127000</v>
      </c>
      <c r="D37" s="1807">
        <v>45000</v>
      </c>
      <c r="E37" s="1817">
        <f t="shared" si="2"/>
        <v>82000</v>
      </c>
    </row>
    <row r="38" spans="1:5">
      <c r="A38" s="629">
        <f t="shared" si="0"/>
        <v>36</v>
      </c>
      <c r="B38" t="s">
        <v>1064</v>
      </c>
      <c r="C38" s="184">
        <v>4059000</v>
      </c>
      <c r="D38" s="1807">
        <v>1064000</v>
      </c>
      <c r="E38" s="1817">
        <f t="shared" si="2"/>
        <v>2995000</v>
      </c>
    </row>
    <row r="39" spans="1:5">
      <c r="A39" s="629">
        <f t="shared" si="0"/>
        <v>37</v>
      </c>
      <c r="B39" t="s">
        <v>1065</v>
      </c>
      <c r="C39" s="184">
        <v>4730000</v>
      </c>
      <c r="D39" s="1807">
        <v>1104000</v>
      </c>
      <c r="E39" s="1817">
        <f t="shared" si="2"/>
        <v>3626000</v>
      </c>
    </row>
    <row r="40" spans="1:5">
      <c r="A40" s="629">
        <f t="shared" si="0"/>
        <v>38</v>
      </c>
      <c r="B40" t="s">
        <v>1057</v>
      </c>
      <c r="C40" s="184">
        <v>209000</v>
      </c>
      <c r="D40" s="1807">
        <v>161000</v>
      </c>
      <c r="E40" s="1817">
        <f t="shared" si="2"/>
        <v>48000</v>
      </c>
    </row>
    <row r="41" spans="1:5">
      <c r="A41" s="629">
        <f t="shared" si="0"/>
        <v>39</v>
      </c>
      <c r="B41" t="s">
        <v>1058</v>
      </c>
      <c r="C41" s="184">
        <v>92000</v>
      </c>
      <c r="D41" s="1807">
        <v>-34000</v>
      </c>
      <c r="E41" s="1817">
        <f t="shared" si="2"/>
        <v>126000</v>
      </c>
    </row>
    <row r="42" spans="1:5">
      <c r="A42" s="629">
        <f t="shared" si="0"/>
        <v>40</v>
      </c>
      <c r="B42" t="s">
        <v>1059</v>
      </c>
      <c r="C42" s="184">
        <v>26000</v>
      </c>
      <c r="D42" s="1807">
        <v>14000</v>
      </c>
      <c r="E42" s="1817">
        <f t="shared" si="2"/>
        <v>12000</v>
      </c>
    </row>
    <row r="43" spans="1:5">
      <c r="A43" s="629">
        <f t="shared" si="0"/>
        <v>41</v>
      </c>
      <c r="B43" t="s">
        <v>1079</v>
      </c>
      <c r="C43" s="184">
        <v>2835000</v>
      </c>
      <c r="D43" s="1807">
        <v>629000</v>
      </c>
      <c r="E43" s="1817">
        <f t="shared" si="2"/>
        <v>2206000</v>
      </c>
    </row>
    <row r="44" spans="1:5">
      <c r="A44" s="629">
        <f t="shared" si="0"/>
        <v>42</v>
      </c>
      <c r="B44" t="s">
        <v>1060</v>
      </c>
      <c r="C44" s="184">
        <v>3525000</v>
      </c>
      <c r="D44" s="1807">
        <v>3666000</v>
      </c>
      <c r="E44" s="1817">
        <f t="shared" si="2"/>
        <v>-141000</v>
      </c>
    </row>
    <row r="45" spans="1:5">
      <c r="A45" s="629">
        <f t="shared" si="0"/>
        <v>43</v>
      </c>
      <c r="B45" t="s">
        <v>1061</v>
      </c>
      <c r="C45" s="184">
        <v>137000</v>
      </c>
      <c r="D45" s="1807">
        <v>84000</v>
      </c>
      <c r="E45" s="1817">
        <f t="shared" si="2"/>
        <v>53000</v>
      </c>
    </row>
    <row r="46" spans="1:5">
      <c r="A46" s="629">
        <f t="shared" si="0"/>
        <v>44</v>
      </c>
      <c r="B46" t="s">
        <v>1062</v>
      </c>
      <c r="C46" s="184">
        <v>13000</v>
      </c>
      <c r="D46" s="1807">
        <v>9000</v>
      </c>
      <c r="E46" s="1817">
        <f t="shared" si="2"/>
        <v>4000</v>
      </c>
    </row>
    <row r="47" spans="1:5">
      <c r="A47" s="629">
        <f t="shared" si="0"/>
        <v>45</v>
      </c>
      <c r="B47" t="s">
        <v>0</v>
      </c>
      <c r="C47" s="184">
        <v>2706000</v>
      </c>
      <c r="D47" s="1807">
        <v>886000</v>
      </c>
      <c r="E47" s="1817">
        <f t="shared" si="2"/>
        <v>1820000</v>
      </c>
    </row>
    <row r="48" spans="1:5">
      <c r="A48" s="629">
        <f t="shared" si="0"/>
        <v>46</v>
      </c>
      <c r="B48" t="s">
        <v>1</v>
      </c>
      <c r="C48" s="184">
        <v>2885000</v>
      </c>
      <c r="D48" s="1807">
        <v>802000</v>
      </c>
      <c r="E48" s="1817">
        <f t="shared" si="2"/>
        <v>2083000</v>
      </c>
    </row>
    <row r="49" spans="1:5">
      <c r="A49" s="629">
        <f t="shared" si="0"/>
        <v>47</v>
      </c>
      <c r="B49" t="s">
        <v>2</v>
      </c>
      <c r="C49" s="184">
        <v>2050000</v>
      </c>
      <c r="D49" s="1807">
        <v>1690000</v>
      </c>
      <c r="E49" s="1817">
        <f t="shared" si="2"/>
        <v>360000</v>
      </c>
    </row>
    <row r="50" spans="1:5">
      <c r="A50" s="629">
        <f t="shared" si="0"/>
        <v>48</v>
      </c>
      <c r="B50" t="s">
        <v>3</v>
      </c>
      <c r="C50" s="184">
        <v>10815000</v>
      </c>
      <c r="D50" s="1807">
        <v>3978000</v>
      </c>
      <c r="E50" s="1817">
        <f t="shared" si="2"/>
        <v>6837000</v>
      </c>
    </row>
    <row r="51" spans="1:5">
      <c r="A51" s="629">
        <f t="shared" si="0"/>
        <v>49</v>
      </c>
      <c r="B51" t="s">
        <v>1159</v>
      </c>
      <c r="C51" s="184">
        <v>9688000</v>
      </c>
      <c r="D51" s="1807">
        <v>3438000</v>
      </c>
      <c r="E51" s="1817">
        <f t="shared" si="2"/>
        <v>6250000</v>
      </c>
    </row>
    <row r="52" spans="1:5">
      <c r="A52" s="629">
        <f t="shared" si="0"/>
        <v>50</v>
      </c>
      <c r="B52" t="s">
        <v>4</v>
      </c>
      <c r="C52" s="184">
        <v>8292000</v>
      </c>
      <c r="D52" s="1807">
        <v>2288000</v>
      </c>
      <c r="E52" s="1817">
        <f t="shared" si="2"/>
        <v>6004000</v>
      </c>
    </row>
    <row r="53" spans="1:5">
      <c r="A53" s="629">
        <f t="shared" si="0"/>
        <v>51</v>
      </c>
      <c r="B53" t="s">
        <v>5</v>
      </c>
      <c r="C53" s="184">
        <v>152000</v>
      </c>
      <c r="D53" s="1807">
        <v>55000</v>
      </c>
      <c r="E53" s="1817">
        <f t="shared" si="2"/>
        <v>97000</v>
      </c>
    </row>
    <row r="54" spans="1:5">
      <c r="A54" s="629">
        <f t="shared" si="0"/>
        <v>52</v>
      </c>
      <c r="B54" t="s">
        <v>6</v>
      </c>
      <c r="C54" s="184">
        <v>159000</v>
      </c>
      <c r="D54" s="1807">
        <v>56000</v>
      </c>
      <c r="E54" s="1817">
        <f t="shared" si="2"/>
        <v>103000</v>
      </c>
    </row>
    <row r="55" spans="1:5">
      <c r="A55" s="629">
        <f t="shared" si="0"/>
        <v>53</v>
      </c>
      <c r="B55" t="s">
        <v>1066</v>
      </c>
      <c r="C55" s="184">
        <v>45000</v>
      </c>
      <c r="D55" s="1807">
        <v>33000</v>
      </c>
      <c r="E55" s="1817">
        <f t="shared" si="2"/>
        <v>12000</v>
      </c>
    </row>
    <row r="56" spans="1:5">
      <c r="A56" s="629">
        <f t="shared" si="0"/>
        <v>54</v>
      </c>
      <c r="B56" t="s">
        <v>7</v>
      </c>
      <c r="C56" s="184">
        <v>1545000</v>
      </c>
      <c r="D56" s="1807">
        <v>776000</v>
      </c>
      <c r="E56" s="1817">
        <f t="shared" si="2"/>
        <v>769000</v>
      </c>
    </row>
    <row r="57" spans="1:5">
      <c r="A57" s="629">
        <f t="shared" si="0"/>
        <v>55</v>
      </c>
      <c r="B57" t="s">
        <v>8</v>
      </c>
      <c r="C57" s="184">
        <v>11000</v>
      </c>
      <c r="D57" s="1807">
        <v>13000</v>
      </c>
      <c r="E57" s="1817">
        <f t="shared" si="2"/>
        <v>-2000</v>
      </c>
    </row>
    <row r="58" spans="1:5">
      <c r="A58" s="629">
        <f t="shared" si="0"/>
        <v>56</v>
      </c>
      <c r="B58" t="s">
        <v>9</v>
      </c>
      <c r="C58" s="184">
        <v>935000</v>
      </c>
      <c r="D58" s="1807">
        <v>379000</v>
      </c>
      <c r="E58" s="1817">
        <f t="shared" si="2"/>
        <v>556000</v>
      </c>
    </row>
    <row r="59" spans="1:5">
      <c r="A59" s="629">
        <f t="shared" si="0"/>
        <v>57</v>
      </c>
      <c r="B59" t="s">
        <v>10</v>
      </c>
      <c r="C59" s="184">
        <v>19000</v>
      </c>
      <c r="D59" s="1807">
        <v>13000</v>
      </c>
      <c r="E59" s="1817">
        <f t="shared" si="2"/>
        <v>6000</v>
      </c>
    </row>
    <row r="60" spans="1:5">
      <c r="A60" s="629">
        <f t="shared" si="0"/>
        <v>58</v>
      </c>
      <c r="B60" t="s">
        <v>11</v>
      </c>
      <c r="C60" s="184">
        <v>194000</v>
      </c>
      <c r="D60" s="1807">
        <v>77000</v>
      </c>
      <c r="E60" s="1817">
        <f t="shared" si="2"/>
        <v>117000</v>
      </c>
    </row>
    <row r="61" spans="1:5">
      <c r="A61" s="629">
        <f t="shared" si="0"/>
        <v>59</v>
      </c>
      <c r="B61" t="s">
        <v>12</v>
      </c>
      <c r="C61" s="184">
        <v>63000</v>
      </c>
      <c r="D61" s="1807">
        <v>74000</v>
      </c>
      <c r="E61" s="1817">
        <f t="shared" si="2"/>
        <v>-11000</v>
      </c>
    </row>
    <row r="62" spans="1:5">
      <c r="A62" s="629">
        <f t="shared" si="0"/>
        <v>60</v>
      </c>
      <c r="B62" t="s">
        <v>1125</v>
      </c>
      <c r="C62" s="184">
        <v>89000</v>
      </c>
      <c r="D62" s="1807">
        <v>47000</v>
      </c>
      <c r="E62" s="1817">
        <f t="shared" si="2"/>
        <v>42000</v>
      </c>
    </row>
    <row r="63" spans="1:5">
      <c r="A63" s="629">
        <f t="shared" si="0"/>
        <v>61</v>
      </c>
      <c r="B63" t="s">
        <v>13</v>
      </c>
      <c r="C63" s="184">
        <v>152000</v>
      </c>
      <c r="D63" s="1807">
        <v>155000</v>
      </c>
      <c r="E63" s="1817">
        <f t="shared" si="2"/>
        <v>-3000</v>
      </c>
    </row>
    <row r="64" spans="1:5">
      <c r="A64" s="629">
        <f t="shared" si="0"/>
        <v>62</v>
      </c>
      <c r="B64" t="s">
        <v>14</v>
      </c>
      <c r="C64" s="184">
        <v>1175000</v>
      </c>
      <c r="D64" s="1807">
        <v>551000</v>
      </c>
      <c r="E64" s="1817">
        <f t="shared" si="2"/>
        <v>624000</v>
      </c>
    </row>
    <row r="65" spans="1:5">
      <c r="A65" s="629">
        <f t="shared" si="0"/>
        <v>63</v>
      </c>
      <c r="B65" t="s">
        <v>1080</v>
      </c>
      <c r="C65" s="184">
        <v>4534000</v>
      </c>
      <c r="D65" s="1807">
        <v>1828000</v>
      </c>
      <c r="E65" s="1817">
        <f t="shared" si="2"/>
        <v>2706000</v>
      </c>
    </row>
    <row r="66" spans="1:5">
      <c r="A66" s="629">
        <f t="shared" si="0"/>
        <v>64</v>
      </c>
      <c r="B66" t="s">
        <v>15</v>
      </c>
      <c r="C66" s="184">
        <v>1665000</v>
      </c>
      <c r="D66" s="1807">
        <v>753000</v>
      </c>
      <c r="E66" s="1817">
        <f t="shared" si="2"/>
        <v>912000</v>
      </c>
    </row>
    <row r="67" spans="1:5">
      <c r="A67" s="629">
        <f t="shared" si="0"/>
        <v>65</v>
      </c>
      <c r="B67" t="s">
        <v>1166</v>
      </c>
      <c r="C67" s="184">
        <v>3000</v>
      </c>
      <c r="D67" s="1807">
        <v>5000</v>
      </c>
      <c r="E67" s="1817">
        <f t="shared" si="2"/>
        <v>-2000</v>
      </c>
    </row>
    <row r="68" spans="1:5">
      <c r="A68" s="629">
        <f t="shared" si="0"/>
        <v>66</v>
      </c>
      <c r="B68" t="s">
        <v>16</v>
      </c>
      <c r="C68" s="184">
        <v>252000</v>
      </c>
      <c r="D68" s="1807">
        <v>85000</v>
      </c>
      <c r="E68" s="1817">
        <f t="shared" si="2"/>
        <v>167000</v>
      </c>
    </row>
    <row r="69" spans="1:5">
      <c r="A69" s="629">
        <f t="shared" si="0"/>
        <v>67</v>
      </c>
      <c r="B69" t="s">
        <v>17</v>
      </c>
      <c r="C69" s="184">
        <v>9000</v>
      </c>
      <c r="D69" s="1807">
        <v>6000</v>
      </c>
      <c r="E69" s="1817">
        <f t="shared" si="2"/>
        <v>3000</v>
      </c>
    </row>
    <row r="70" spans="1:5">
      <c r="A70" s="629">
        <f t="shared" si="0"/>
        <v>68</v>
      </c>
      <c r="B70" t="s">
        <v>18</v>
      </c>
      <c r="C70" s="184">
        <v>164000</v>
      </c>
      <c r="D70" s="1807">
        <v>31000</v>
      </c>
      <c r="E70" s="1817">
        <f t="shared" si="2"/>
        <v>133000</v>
      </c>
    </row>
    <row r="71" spans="1:5">
      <c r="A71" s="629">
        <f t="shared" si="0"/>
        <v>69</v>
      </c>
      <c r="B71" t="s">
        <v>19</v>
      </c>
      <c r="C71" s="184">
        <v>103000</v>
      </c>
      <c r="D71" s="1807">
        <v>72000</v>
      </c>
      <c r="E71" s="1817">
        <f t="shared" si="2"/>
        <v>31000</v>
      </c>
    </row>
    <row r="72" spans="1:5">
      <c r="A72" s="629">
        <f t="shared" si="0"/>
        <v>70</v>
      </c>
      <c r="B72" t="s">
        <v>20</v>
      </c>
      <c r="C72" s="184">
        <v>63000</v>
      </c>
      <c r="D72" s="1807">
        <v>65000</v>
      </c>
      <c r="E72" s="1817">
        <f t="shared" si="2"/>
        <v>-2000</v>
      </c>
    </row>
    <row r="73" spans="1:5">
      <c r="A73" s="629">
        <f t="shared" si="0"/>
        <v>71</v>
      </c>
      <c r="B73" t="s">
        <v>1126</v>
      </c>
      <c r="C73" s="184">
        <v>68000</v>
      </c>
      <c r="D73" s="1807">
        <v>16000</v>
      </c>
      <c r="E73" s="1817">
        <f t="shared" ref="E73:E81" si="3">C73-D73</f>
        <v>52000</v>
      </c>
    </row>
    <row r="74" spans="1:5">
      <c r="A74" s="629">
        <f t="shared" si="0"/>
        <v>72</v>
      </c>
      <c r="B74" t="s">
        <v>21</v>
      </c>
      <c r="C74" s="184">
        <v>59000</v>
      </c>
      <c r="D74" s="1807">
        <v>54000</v>
      </c>
      <c r="E74" s="1817">
        <f t="shared" si="3"/>
        <v>5000</v>
      </c>
    </row>
    <row r="75" spans="1:5">
      <c r="A75" s="629">
        <f t="shared" si="0"/>
        <v>73</v>
      </c>
      <c r="B75" t="s">
        <v>22</v>
      </c>
      <c r="C75" s="184">
        <v>378000</v>
      </c>
      <c r="D75" s="1807">
        <v>126000</v>
      </c>
      <c r="E75" s="1817">
        <f t="shared" si="3"/>
        <v>252000</v>
      </c>
    </row>
    <row r="76" spans="1:5">
      <c r="A76" s="629">
        <f t="shared" si="0"/>
        <v>74</v>
      </c>
      <c r="B76" t="s">
        <v>1081</v>
      </c>
      <c r="C76" s="184">
        <v>3023000</v>
      </c>
      <c r="D76" s="1807">
        <v>834000</v>
      </c>
      <c r="E76" s="1817">
        <f t="shared" si="3"/>
        <v>2189000</v>
      </c>
    </row>
    <row r="77" spans="1:5">
      <c r="A77" s="629">
        <f t="shared" si="0"/>
        <v>75</v>
      </c>
      <c r="B77" t="s">
        <v>1127</v>
      </c>
      <c r="C77" s="184">
        <v>510000</v>
      </c>
      <c r="D77" s="1807">
        <v>182000</v>
      </c>
      <c r="E77" s="1817">
        <f t="shared" si="3"/>
        <v>328000</v>
      </c>
    </row>
    <row r="78" spans="1:5">
      <c r="A78" s="629">
        <f t="shared" si="0"/>
        <v>76</v>
      </c>
      <c r="B78" t="s">
        <v>1167</v>
      </c>
      <c r="C78" s="184">
        <v>3475000</v>
      </c>
      <c r="D78" s="1807">
        <v>1439000</v>
      </c>
      <c r="E78" s="1817">
        <f t="shared" si="3"/>
        <v>2036000</v>
      </c>
    </row>
    <row r="79" spans="1:5">
      <c r="A79" s="629">
        <f t="shared" si="0"/>
        <v>77</v>
      </c>
      <c r="B79" t="s">
        <v>1082</v>
      </c>
      <c r="C79" s="184">
        <v>22546000</v>
      </c>
      <c r="D79" s="1807">
        <v>8010000</v>
      </c>
      <c r="E79" s="1817">
        <f t="shared" si="3"/>
        <v>14536000</v>
      </c>
    </row>
    <row r="80" spans="1:5">
      <c r="A80" s="629">
        <f t="shared" ref="A80:A87" si="4">+A79+1</f>
        <v>78</v>
      </c>
      <c r="B80" s="97" t="s">
        <v>1128</v>
      </c>
      <c r="C80" s="184">
        <v>3837000</v>
      </c>
      <c r="D80" s="1807">
        <v>1937000</v>
      </c>
      <c r="E80" s="1817">
        <f t="shared" si="3"/>
        <v>1900000</v>
      </c>
    </row>
    <row r="81" spans="1:5">
      <c r="A81" s="629">
        <f t="shared" si="4"/>
        <v>79</v>
      </c>
      <c r="B81" s="97" t="s">
        <v>1129</v>
      </c>
      <c r="C81" s="184">
        <v>1080000</v>
      </c>
      <c r="D81" s="1807">
        <v>475000</v>
      </c>
      <c r="E81" s="1817">
        <f t="shared" si="3"/>
        <v>605000</v>
      </c>
    </row>
    <row r="82" spans="1:5">
      <c r="A82" s="629">
        <f t="shared" si="4"/>
        <v>80</v>
      </c>
      <c r="B82" s="97" t="s">
        <v>1130</v>
      </c>
      <c r="C82" s="184">
        <v>3086000</v>
      </c>
      <c r="D82" s="1807">
        <v>1065000</v>
      </c>
      <c r="E82" s="1817">
        <f>C80-D80</f>
        <v>1900000</v>
      </c>
    </row>
    <row r="83" spans="1:5">
      <c r="A83" s="629">
        <f t="shared" si="4"/>
        <v>81</v>
      </c>
      <c r="B83" s="97" t="s">
        <v>23</v>
      </c>
      <c r="C83" s="184">
        <v>8000</v>
      </c>
      <c r="D83" s="1807">
        <v>4000</v>
      </c>
      <c r="E83" s="1817">
        <f>C81-D81</f>
        <v>605000</v>
      </c>
    </row>
    <row r="84" spans="1:5">
      <c r="A84" s="629">
        <f t="shared" si="4"/>
        <v>82</v>
      </c>
      <c r="B84" s="184"/>
      <c r="E84" s="1817"/>
    </row>
    <row r="85" spans="1:5">
      <c r="A85" s="629">
        <f t="shared" si="4"/>
        <v>83</v>
      </c>
      <c r="B85" s="184"/>
      <c r="C85" s="1813">
        <f>SUM(C10:C83)</f>
        <v>176930000</v>
      </c>
      <c r="D85" s="1813">
        <f>SUM(D10:D83)</f>
        <v>73630000</v>
      </c>
      <c r="E85" s="1813">
        <f>SUM(E10:E83)</f>
        <v>103780000</v>
      </c>
    </row>
    <row r="86" spans="1:5">
      <c r="A86" s="629">
        <f t="shared" si="4"/>
        <v>84</v>
      </c>
      <c r="B86" s="184"/>
      <c r="C86" s="1814"/>
      <c r="D86" s="1815"/>
      <c r="E86" s="1815"/>
    </row>
    <row r="87" spans="1:5">
      <c r="A87" s="629">
        <f t="shared" si="4"/>
        <v>85</v>
      </c>
      <c r="B87" s="184"/>
      <c r="C87" s="1813">
        <f>+C85+C8</f>
        <v>180803000</v>
      </c>
      <c r="D87" s="1816">
        <f>+D85+D8</f>
        <v>77119000</v>
      </c>
      <c r="E87" s="1816">
        <f>+E85+E8</f>
        <v>104164000</v>
      </c>
    </row>
    <row r="88" spans="1:5">
      <c r="B88" s="184"/>
    </row>
    <row r="89" spans="1:5">
      <c r="B89" s="184"/>
    </row>
    <row r="90" spans="1:5">
      <c r="B90" s="184"/>
    </row>
    <row r="91" spans="1:5">
      <c r="B91" s="184"/>
    </row>
    <row r="92" spans="1:5">
      <c r="B92" s="184"/>
    </row>
    <row r="93" spans="1:5">
      <c r="B93" s="184"/>
    </row>
    <row r="94" spans="1:5">
      <c r="B94" s="184"/>
    </row>
    <row r="95" spans="1:5">
      <c r="B95" s="184"/>
    </row>
    <row r="96" spans="1:5">
      <c r="B96" s="184"/>
    </row>
    <row r="97" spans="2:2">
      <c r="B97" s="184"/>
    </row>
    <row r="98" spans="2:2">
      <c r="B98" s="184"/>
    </row>
    <row r="99" spans="2:2">
      <c r="B99" s="184"/>
    </row>
    <row r="100" spans="2:2">
      <c r="B100" s="184"/>
    </row>
    <row r="101" spans="2:2">
      <c r="B101" s="184"/>
    </row>
    <row r="102" spans="2:2">
      <c r="B102" s="184"/>
    </row>
    <row r="103" spans="2:2">
      <c r="B103" s="184"/>
    </row>
    <row r="104" spans="2:2">
      <c r="B104" s="184"/>
    </row>
    <row r="105" spans="2:2">
      <c r="B105" s="184"/>
    </row>
    <row r="106" spans="2:2">
      <c r="B106" s="184"/>
    </row>
    <row r="107" spans="2:2">
      <c r="B107" s="184"/>
    </row>
    <row r="108" spans="2:2">
      <c r="B108" s="184"/>
    </row>
    <row r="109" spans="2:2">
      <c r="B109" s="184"/>
    </row>
    <row r="110" spans="2:2">
      <c r="B110" s="184"/>
    </row>
    <row r="111" spans="2:2">
      <c r="B111" s="184"/>
    </row>
    <row r="112" spans="2:2">
      <c r="B112" s="184"/>
    </row>
    <row r="113" spans="2:2">
      <c r="B113" s="184"/>
    </row>
    <row r="114" spans="2:2">
      <c r="B114" s="184"/>
    </row>
    <row r="115" spans="2:2">
      <c r="B115" s="184"/>
    </row>
    <row r="116" spans="2:2">
      <c r="B116" s="184"/>
    </row>
    <row r="117" spans="2:2">
      <c r="B117" s="184"/>
    </row>
    <row r="118" spans="2:2">
      <c r="B118" s="184"/>
    </row>
    <row r="119" spans="2:2">
      <c r="B119" s="184"/>
    </row>
    <row r="120" spans="2:2">
      <c r="B120" s="184"/>
    </row>
    <row r="121" spans="2:2">
      <c r="B121" s="184"/>
    </row>
    <row r="122" spans="2:2">
      <c r="B122" s="184"/>
    </row>
    <row r="123" spans="2:2">
      <c r="B123" s="184"/>
    </row>
    <row r="124" spans="2:2">
      <c r="B124" s="184"/>
    </row>
    <row r="125" spans="2:2">
      <c r="B125" s="184"/>
    </row>
    <row r="126" spans="2:2">
      <c r="B126" s="184"/>
    </row>
    <row r="127" spans="2:2">
      <c r="B127" s="184"/>
    </row>
    <row r="128" spans="2:2">
      <c r="B128" s="184"/>
    </row>
    <row r="129" spans="2:2">
      <c r="B129" s="184"/>
    </row>
    <row r="130" spans="2:2">
      <c r="B130" s="184"/>
    </row>
    <row r="131" spans="2:2">
      <c r="B131" s="184"/>
    </row>
    <row r="132" spans="2:2">
      <c r="B132" s="184"/>
    </row>
    <row r="133" spans="2:2">
      <c r="B133" s="184"/>
    </row>
    <row r="134" spans="2:2">
      <c r="B134" s="184"/>
    </row>
    <row r="135" spans="2:2">
      <c r="B135" s="184"/>
    </row>
    <row r="136" spans="2:2">
      <c r="B136" s="184"/>
    </row>
    <row r="137" spans="2:2">
      <c r="B137" s="184"/>
    </row>
    <row r="138" spans="2:2">
      <c r="B138" s="184"/>
    </row>
    <row r="139" spans="2:2">
      <c r="B139" s="184"/>
    </row>
    <row r="140" spans="2:2">
      <c r="B140" s="184"/>
    </row>
    <row r="141" spans="2:2">
      <c r="B141" s="184"/>
    </row>
    <row r="142" spans="2:2">
      <c r="B142" s="184"/>
    </row>
    <row r="143" spans="2:2">
      <c r="B143" s="184"/>
    </row>
    <row r="144" spans="2:2">
      <c r="B144" s="184"/>
    </row>
    <row r="145" spans="2:2">
      <c r="B145" s="184"/>
    </row>
    <row r="146" spans="2:2">
      <c r="B146" s="184"/>
    </row>
    <row r="147" spans="2:2">
      <c r="B147" s="184"/>
    </row>
    <row r="148" spans="2:2">
      <c r="B148" s="184"/>
    </row>
    <row r="149" spans="2:2">
      <c r="B149" s="184"/>
    </row>
    <row r="150" spans="2:2">
      <c r="B150" s="184"/>
    </row>
    <row r="151" spans="2:2">
      <c r="B151" s="184"/>
    </row>
    <row r="152" spans="2:2">
      <c r="B152" s="184"/>
    </row>
    <row r="153" spans="2:2">
      <c r="B153" s="184"/>
    </row>
    <row r="154" spans="2:2">
      <c r="B154" s="184"/>
    </row>
    <row r="155" spans="2:2">
      <c r="B155" s="184"/>
    </row>
    <row r="156" spans="2:2">
      <c r="B156" s="184"/>
    </row>
  </sheetData>
  <phoneticPr fontId="73" type="noConversion"/>
  <pageMargins left="0.75" right="0.75" top="0.17" bottom="0.16" header="0.5" footer="0.21"/>
  <pageSetup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3"/>
  <sheetViews>
    <sheetView topLeftCell="A43" zoomScaleNormal="100" workbookViewId="0">
      <selection activeCell="M48" sqref="M48"/>
    </sheetView>
  </sheetViews>
  <sheetFormatPr defaultRowHeight="12.75"/>
  <cols>
    <col min="1" max="1" width="7.5703125" customWidth="1"/>
    <col min="2" max="2" width="20.28515625" customWidth="1"/>
    <col min="3" max="3" width="16.85546875" customWidth="1"/>
    <col min="4" max="5" width="9.42578125" bestFit="1" customWidth="1"/>
    <col min="6" max="6" width="11.85546875" bestFit="1" customWidth="1"/>
    <col min="7" max="7" width="10.42578125" bestFit="1" customWidth="1"/>
    <col min="8" max="8" width="15.42578125" customWidth="1"/>
    <col min="9" max="9" width="10.42578125" bestFit="1" customWidth="1"/>
    <col min="10" max="10" width="15" customWidth="1"/>
    <col min="11" max="11" width="9.42578125" bestFit="1" customWidth="1"/>
    <col min="12" max="12" width="15.42578125" bestFit="1" customWidth="1"/>
    <col min="13" max="13" width="12.28515625" customWidth="1"/>
    <col min="14" max="14" width="12" customWidth="1"/>
    <col min="15" max="15" width="11.85546875" bestFit="1" customWidth="1"/>
    <col min="16" max="16" width="9.85546875" bestFit="1" customWidth="1"/>
    <col min="17" max="17" width="11.5703125" customWidth="1"/>
    <col min="18" max="18" width="10.42578125" bestFit="1" customWidth="1"/>
    <col min="19" max="19" width="12.140625" customWidth="1"/>
    <col min="21" max="21" width="18.28515625" customWidth="1"/>
    <col min="22" max="22" width="14.85546875" customWidth="1"/>
  </cols>
  <sheetData>
    <row r="1" spans="1:26" ht="15.75">
      <c r="A1" s="1" t="s">
        <v>547</v>
      </c>
    </row>
    <row r="4" spans="1:26">
      <c r="A4" s="774" t="s">
        <v>99</v>
      </c>
      <c r="U4" s="797"/>
      <c r="V4" s="97"/>
      <c r="W4" s="97"/>
      <c r="X4" s="97"/>
      <c r="Y4" s="97"/>
      <c r="Z4" s="97"/>
    </row>
    <row r="5" spans="1:26">
      <c r="A5" s="774" t="s">
        <v>1021</v>
      </c>
      <c r="E5" s="2"/>
      <c r="F5" s="2"/>
      <c r="G5" s="2"/>
      <c r="H5" s="775"/>
      <c r="I5" s="2"/>
      <c r="N5" s="2"/>
      <c r="O5" s="2"/>
      <c r="P5" s="2"/>
      <c r="Q5" s="775"/>
      <c r="R5" s="2"/>
      <c r="U5" s="97"/>
      <c r="V5" s="97"/>
      <c r="W5" s="97"/>
      <c r="X5" s="97"/>
      <c r="Y5" s="97"/>
      <c r="Z5" s="97"/>
    </row>
    <row r="6" spans="1:26">
      <c r="A6" s="774" t="s">
        <v>65</v>
      </c>
      <c r="E6" s="2"/>
      <c r="F6" s="2"/>
      <c r="G6" s="2"/>
      <c r="H6" s="2"/>
      <c r="I6" s="2"/>
      <c r="N6" s="2"/>
      <c r="O6" s="2"/>
      <c r="P6" s="2"/>
      <c r="Q6" s="2"/>
      <c r="R6" s="2"/>
      <c r="U6" s="97"/>
      <c r="V6" s="97"/>
      <c r="W6" s="97"/>
      <c r="X6" s="97"/>
      <c r="Y6" s="97"/>
      <c r="Z6" s="97"/>
    </row>
    <row r="7" spans="1:26" ht="63.75">
      <c r="A7" s="776" t="s">
        <v>141</v>
      </c>
      <c r="B7" s="129" t="s">
        <v>1025</v>
      </c>
      <c r="C7" s="777" t="s">
        <v>1024</v>
      </c>
      <c r="D7" s="777" t="s">
        <v>1026</v>
      </c>
      <c r="E7" s="777" t="s">
        <v>1027</v>
      </c>
      <c r="F7" s="777" t="s">
        <v>1028</v>
      </c>
      <c r="G7" s="777" t="s">
        <v>1029</v>
      </c>
      <c r="H7" s="777" t="s">
        <v>1030</v>
      </c>
      <c r="I7" s="778" t="s">
        <v>1031</v>
      </c>
      <c r="J7" s="778" t="s">
        <v>1032</v>
      </c>
      <c r="K7" s="778" t="s">
        <v>55</v>
      </c>
      <c r="L7" s="794"/>
      <c r="M7" s="794"/>
      <c r="N7" s="794"/>
      <c r="O7" s="794"/>
    </row>
    <row r="8" spans="1:26">
      <c r="A8" s="129"/>
      <c r="B8" s="129"/>
      <c r="C8" s="129"/>
      <c r="D8" s="129"/>
      <c r="E8" s="129"/>
      <c r="F8" s="129"/>
      <c r="G8" s="129"/>
      <c r="H8" s="129"/>
      <c r="I8" s="779"/>
      <c r="J8" s="790"/>
      <c r="K8" s="790"/>
      <c r="L8" s="97"/>
      <c r="M8" s="97"/>
      <c r="N8" s="97"/>
      <c r="O8" s="97"/>
    </row>
    <row r="9" spans="1:26">
      <c r="A9" s="129">
        <v>1</v>
      </c>
      <c r="B9" s="129" t="s">
        <v>475</v>
      </c>
      <c r="C9" s="1705">
        <v>5150.7940253164597</v>
      </c>
      <c r="D9" s="1705">
        <v>30</v>
      </c>
      <c r="E9" s="1782">
        <v>900</v>
      </c>
      <c r="F9" s="1705">
        <v>4201.7940253164597</v>
      </c>
      <c r="G9" s="1705">
        <v>354</v>
      </c>
      <c r="H9" s="1705">
        <v>581</v>
      </c>
      <c r="I9" s="1705">
        <v>14</v>
      </c>
      <c r="J9" s="1705">
        <v>3541</v>
      </c>
      <c r="K9" s="1703">
        <v>205</v>
      </c>
      <c r="L9" s="97"/>
      <c r="M9" s="97"/>
      <c r="N9" s="97"/>
      <c r="O9" s="97"/>
    </row>
    <row r="10" spans="1:26">
      <c r="A10" s="129">
        <v>2</v>
      </c>
      <c r="B10" s="129" t="s">
        <v>476</v>
      </c>
      <c r="C10" s="1705">
        <v>5133.45753846154</v>
      </c>
      <c r="D10" s="1705">
        <v>24</v>
      </c>
      <c r="E10" s="1782">
        <v>800</v>
      </c>
      <c r="F10" s="1705">
        <v>4176.45753846154</v>
      </c>
      <c r="G10" s="1705">
        <v>361</v>
      </c>
      <c r="H10" s="1705">
        <v>581</v>
      </c>
      <c r="I10" s="1705">
        <v>15</v>
      </c>
      <c r="J10" s="1705">
        <v>3945</v>
      </c>
      <c r="K10" s="1705">
        <v>132</v>
      </c>
      <c r="L10" s="97"/>
      <c r="M10" s="97"/>
      <c r="N10" s="97"/>
      <c r="O10" s="97"/>
    </row>
    <row r="11" spans="1:26">
      <c r="A11" s="129">
        <v>3</v>
      </c>
      <c r="B11" s="129" t="s">
        <v>477</v>
      </c>
      <c r="C11" s="1705">
        <v>4737.2120555014599</v>
      </c>
      <c r="D11" s="1705">
        <v>1</v>
      </c>
      <c r="E11" s="1782">
        <v>800</v>
      </c>
      <c r="F11" s="1705">
        <v>3810.2120555014599</v>
      </c>
      <c r="G11" s="1705">
        <v>333</v>
      </c>
      <c r="H11" s="1705">
        <v>581</v>
      </c>
      <c r="I11" s="1705">
        <v>13</v>
      </c>
      <c r="J11" s="1705">
        <v>1855</v>
      </c>
      <c r="K11" s="1705">
        <v>228</v>
      </c>
      <c r="L11" s="97"/>
      <c r="M11" s="97"/>
      <c r="N11" s="97"/>
      <c r="O11" s="97"/>
    </row>
    <row r="12" spans="1:26">
      <c r="A12" s="781">
        <v>4</v>
      </c>
      <c r="B12" s="658" t="s">
        <v>62</v>
      </c>
      <c r="C12" s="788">
        <f>SUM(C9:C11)</f>
        <v>15021.463619279461</v>
      </c>
      <c r="D12" s="782"/>
      <c r="E12" s="782"/>
      <c r="F12" s="788">
        <f t="shared" ref="F12:K12" si="0">SUM(F9:F11)</f>
        <v>12188.463619279461</v>
      </c>
      <c r="G12" s="788">
        <f t="shared" si="0"/>
        <v>1048</v>
      </c>
      <c r="H12" s="788">
        <f t="shared" si="0"/>
        <v>1743</v>
      </c>
      <c r="I12" s="788">
        <f t="shared" si="0"/>
        <v>42</v>
      </c>
      <c r="J12" s="788">
        <f t="shared" si="0"/>
        <v>9341</v>
      </c>
      <c r="K12" s="788">
        <f t="shared" si="0"/>
        <v>565</v>
      </c>
      <c r="L12" s="1117"/>
      <c r="M12" s="1117"/>
      <c r="N12" s="1117"/>
      <c r="O12" s="1117"/>
    </row>
    <row r="13" spans="1:26">
      <c r="A13" s="129">
        <v>5</v>
      </c>
      <c r="B13" s="658" t="s">
        <v>626</v>
      </c>
      <c r="C13" s="780">
        <v>4241</v>
      </c>
      <c r="D13" s="1669">
        <v>3</v>
      </c>
      <c r="E13" s="1670">
        <v>900</v>
      </c>
      <c r="F13" s="1671">
        <v>3349</v>
      </c>
      <c r="G13" s="1671">
        <v>298</v>
      </c>
      <c r="H13" s="1669">
        <v>581</v>
      </c>
      <c r="I13" s="1669">
        <v>13</v>
      </c>
      <c r="J13" s="1671">
        <v>2154</v>
      </c>
      <c r="K13" s="1671">
        <v>480</v>
      </c>
      <c r="L13" s="97"/>
      <c r="M13" s="97"/>
      <c r="N13" s="97"/>
      <c r="O13" s="97"/>
    </row>
    <row r="14" spans="1:26">
      <c r="A14" s="129">
        <v>6</v>
      </c>
      <c r="B14" s="658" t="s">
        <v>627</v>
      </c>
      <c r="C14" s="780">
        <v>4064</v>
      </c>
      <c r="D14" s="1669">
        <v>15</v>
      </c>
      <c r="E14" s="1670">
        <v>1800</v>
      </c>
      <c r="F14" s="1671">
        <v>3197</v>
      </c>
      <c r="G14" s="1671">
        <v>270</v>
      </c>
      <c r="H14" s="1669">
        <v>581</v>
      </c>
      <c r="I14" s="1669">
        <v>16</v>
      </c>
      <c r="J14" s="1671">
        <v>3884</v>
      </c>
      <c r="K14" s="1671">
        <v>361</v>
      </c>
      <c r="L14" s="97"/>
      <c r="M14" s="97"/>
      <c r="N14" s="97"/>
      <c r="O14" s="97"/>
    </row>
    <row r="15" spans="1:26">
      <c r="A15" s="129">
        <v>7</v>
      </c>
      <c r="B15" s="658" t="s">
        <v>628</v>
      </c>
      <c r="C15" s="780">
        <v>3914</v>
      </c>
      <c r="D15" s="1669">
        <v>7</v>
      </c>
      <c r="E15" s="1670">
        <v>1800</v>
      </c>
      <c r="F15" s="1671">
        <v>3007</v>
      </c>
      <c r="G15" s="1671">
        <v>312</v>
      </c>
      <c r="H15" s="1669">
        <v>581</v>
      </c>
      <c r="I15" s="1669">
        <v>14</v>
      </c>
      <c r="J15" s="1671">
        <v>1868</v>
      </c>
      <c r="K15" s="1671">
        <v>489</v>
      </c>
      <c r="L15" s="97"/>
      <c r="M15" s="97"/>
      <c r="N15" s="97"/>
      <c r="O15" s="97"/>
    </row>
    <row r="16" spans="1:26">
      <c r="A16" s="781">
        <v>8</v>
      </c>
      <c r="B16" s="658" t="s">
        <v>62</v>
      </c>
      <c r="C16" s="788">
        <f>SUM(C13:C15)</f>
        <v>12219</v>
      </c>
      <c r="D16" s="782"/>
      <c r="E16" s="782"/>
      <c r="F16" s="788">
        <f t="shared" ref="F16:K16" si="1">SUM(F13:F15)</f>
        <v>9553</v>
      </c>
      <c r="G16" s="788">
        <f t="shared" si="1"/>
        <v>880</v>
      </c>
      <c r="H16" s="788">
        <f t="shared" si="1"/>
        <v>1743</v>
      </c>
      <c r="I16" s="788">
        <f t="shared" si="1"/>
        <v>43</v>
      </c>
      <c r="J16" s="788">
        <f t="shared" si="1"/>
        <v>7906</v>
      </c>
      <c r="K16" s="788">
        <f t="shared" si="1"/>
        <v>1330</v>
      </c>
      <c r="L16" s="1117"/>
      <c r="M16" s="1117"/>
      <c r="N16" s="1117"/>
      <c r="O16" s="1117"/>
    </row>
    <row r="17" spans="1:15">
      <c r="A17" s="129">
        <v>9</v>
      </c>
      <c r="B17" s="658" t="s">
        <v>478</v>
      </c>
      <c r="C17" s="780">
        <v>4191</v>
      </c>
      <c r="D17" s="1672">
        <v>5</v>
      </c>
      <c r="E17" s="1673">
        <v>1800</v>
      </c>
      <c r="F17" s="1674">
        <v>3280</v>
      </c>
      <c r="G17" s="1674">
        <v>315</v>
      </c>
      <c r="H17" s="1672">
        <v>581</v>
      </c>
      <c r="I17" s="1672">
        <v>15</v>
      </c>
      <c r="J17" s="1674">
        <v>3379</v>
      </c>
      <c r="K17" s="1674">
        <v>283</v>
      </c>
      <c r="L17" s="97"/>
      <c r="M17" s="97"/>
      <c r="N17" s="97"/>
      <c r="O17" s="97"/>
    </row>
    <row r="18" spans="1:15">
      <c r="A18" s="129">
        <v>10</v>
      </c>
      <c r="B18" s="658" t="s">
        <v>479</v>
      </c>
      <c r="C18" s="780">
        <v>4660</v>
      </c>
      <c r="D18" s="1672">
        <v>15</v>
      </c>
      <c r="E18" s="1673">
        <v>1800</v>
      </c>
      <c r="F18" s="1674">
        <v>3733</v>
      </c>
      <c r="G18" s="1674">
        <v>330</v>
      </c>
      <c r="H18" s="1672">
        <v>581</v>
      </c>
      <c r="I18" s="1672">
        <v>16</v>
      </c>
      <c r="J18" s="1674">
        <v>2484</v>
      </c>
      <c r="K18" s="1674">
        <v>284</v>
      </c>
      <c r="L18" s="97"/>
      <c r="M18" s="97"/>
      <c r="N18" s="97"/>
      <c r="O18" s="97"/>
    </row>
    <row r="19" spans="1:15">
      <c r="A19" s="129">
        <v>11</v>
      </c>
      <c r="B19" s="658" t="s">
        <v>480</v>
      </c>
      <c r="C19" s="780">
        <v>3652</v>
      </c>
      <c r="D19" s="1672">
        <v>2</v>
      </c>
      <c r="E19" s="1673">
        <v>1800</v>
      </c>
      <c r="F19" s="1674">
        <v>2764</v>
      </c>
      <c r="G19" s="1674">
        <v>295</v>
      </c>
      <c r="H19" s="1672">
        <v>581</v>
      </c>
      <c r="I19" s="1672">
        <v>12</v>
      </c>
      <c r="J19" s="1674">
        <v>2580</v>
      </c>
      <c r="K19" s="1674">
        <v>503</v>
      </c>
      <c r="L19" s="97"/>
      <c r="M19" s="97"/>
      <c r="N19" s="97"/>
      <c r="O19" s="97"/>
    </row>
    <row r="20" spans="1:15">
      <c r="A20" s="781">
        <v>12</v>
      </c>
      <c r="B20" s="658" t="s">
        <v>62</v>
      </c>
      <c r="C20" s="788">
        <f>SUM(C17:C19)</f>
        <v>12503</v>
      </c>
      <c r="D20" s="782"/>
      <c r="E20" s="782"/>
      <c r="F20" s="788">
        <f t="shared" ref="F20:K20" si="2">SUM(F17:F19)</f>
        <v>9777</v>
      </c>
      <c r="G20" s="788">
        <f t="shared" si="2"/>
        <v>940</v>
      </c>
      <c r="H20" s="788">
        <f t="shared" si="2"/>
        <v>1743</v>
      </c>
      <c r="I20" s="788">
        <f t="shared" si="2"/>
        <v>43</v>
      </c>
      <c r="J20" s="788">
        <f t="shared" si="2"/>
        <v>8443</v>
      </c>
      <c r="K20" s="788">
        <f t="shared" si="2"/>
        <v>1070</v>
      </c>
      <c r="L20" s="1117"/>
      <c r="M20" s="1117"/>
      <c r="N20" s="1117"/>
      <c r="O20" s="1117"/>
    </row>
    <row r="21" spans="1:15">
      <c r="A21" s="129">
        <v>13</v>
      </c>
      <c r="B21" s="658" t="s">
        <v>481</v>
      </c>
      <c r="C21" s="780">
        <v>4404</v>
      </c>
      <c r="D21" s="1676">
        <v>30</v>
      </c>
      <c r="E21" s="1677">
        <v>900</v>
      </c>
      <c r="F21" s="1678">
        <v>3492</v>
      </c>
      <c r="G21" s="1678">
        <v>316</v>
      </c>
      <c r="H21" s="1676">
        <v>581</v>
      </c>
      <c r="I21" s="1676">
        <v>15</v>
      </c>
      <c r="J21" s="1678">
        <v>2173</v>
      </c>
      <c r="K21" s="1678">
        <v>128</v>
      </c>
      <c r="L21" s="97"/>
      <c r="M21" s="97"/>
      <c r="N21" s="97"/>
      <c r="O21" s="97"/>
    </row>
    <row r="22" spans="1:15">
      <c r="A22" s="129">
        <v>14</v>
      </c>
      <c r="B22" s="658" t="s">
        <v>482</v>
      </c>
      <c r="C22" s="780">
        <v>4790</v>
      </c>
      <c r="D22" s="1675">
        <v>28</v>
      </c>
      <c r="E22" s="1679">
        <v>900</v>
      </c>
      <c r="F22" s="1680">
        <v>3846</v>
      </c>
      <c r="G22" s="1680">
        <v>349</v>
      </c>
      <c r="H22" s="1675">
        <v>581</v>
      </c>
      <c r="I22" s="1675">
        <v>14</v>
      </c>
      <c r="J22" s="1678">
        <v>1856</v>
      </c>
      <c r="K22" s="1680">
        <v>225</v>
      </c>
      <c r="L22" s="97"/>
      <c r="M22" s="97"/>
      <c r="N22" s="97"/>
      <c r="O22" s="97"/>
    </row>
    <row r="23" spans="1:15">
      <c r="A23" s="129">
        <v>15</v>
      </c>
      <c r="B23" s="658" t="s">
        <v>184</v>
      </c>
      <c r="C23" s="780">
        <v>4501</v>
      </c>
      <c r="D23" s="1675">
        <v>9</v>
      </c>
      <c r="E23" s="1679">
        <v>1700</v>
      </c>
      <c r="F23" s="1680">
        <v>3573</v>
      </c>
      <c r="G23" s="1680">
        <v>334</v>
      </c>
      <c r="H23" s="1675">
        <v>581</v>
      </c>
      <c r="I23" s="1675">
        <v>13</v>
      </c>
      <c r="J23" s="1678">
        <v>1869</v>
      </c>
      <c r="K23" s="1680">
        <v>245</v>
      </c>
      <c r="L23" s="97"/>
      <c r="M23" s="97"/>
      <c r="N23" s="97"/>
      <c r="O23" s="97"/>
    </row>
    <row r="24" spans="1:15">
      <c r="A24" s="781">
        <v>16</v>
      </c>
      <c r="B24" s="658" t="s">
        <v>62</v>
      </c>
      <c r="C24" s="788">
        <f>SUM(C21:C23)</f>
        <v>13695</v>
      </c>
      <c r="D24" s="783"/>
      <c r="E24" s="782"/>
      <c r="F24" s="788">
        <f t="shared" ref="F24:K24" si="3">SUM(F21:F23)</f>
        <v>10911</v>
      </c>
      <c r="G24" s="788">
        <f t="shared" si="3"/>
        <v>999</v>
      </c>
      <c r="H24" s="788">
        <f t="shared" si="3"/>
        <v>1743</v>
      </c>
      <c r="I24" s="788">
        <f t="shared" si="3"/>
        <v>42</v>
      </c>
      <c r="J24" s="788">
        <f t="shared" si="3"/>
        <v>5898</v>
      </c>
      <c r="K24" s="788">
        <f t="shared" si="3"/>
        <v>598</v>
      </c>
      <c r="L24" s="1117"/>
      <c r="M24" s="1117"/>
      <c r="N24" s="1117"/>
      <c r="O24" s="1117"/>
    </row>
    <row r="25" spans="1:15" ht="15">
      <c r="A25" s="784">
        <v>17</v>
      </c>
      <c r="B25" s="784" t="s">
        <v>63</v>
      </c>
      <c r="C25" s="785">
        <f>C24+C20+C16+C12</f>
        <v>53438.463619279457</v>
      </c>
      <c r="D25" s="786"/>
      <c r="E25" s="787"/>
      <c r="F25" s="785">
        <f t="shared" ref="F25:K25" si="4">F24+F20+F16+F12</f>
        <v>42429.463619279457</v>
      </c>
      <c r="G25" s="785">
        <f t="shared" si="4"/>
        <v>3867</v>
      </c>
      <c r="H25" s="785">
        <f>H24+H20+H16+H12</f>
        <v>6972</v>
      </c>
      <c r="I25" s="785">
        <f t="shared" si="4"/>
        <v>170</v>
      </c>
      <c r="J25" s="785">
        <f t="shared" si="4"/>
        <v>31588</v>
      </c>
      <c r="K25" s="785">
        <f t="shared" si="4"/>
        <v>3563</v>
      </c>
      <c r="L25" s="1118"/>
      <c r="M25" s="1118"/>
      <c r="N25" s="1118"/>
      <c r="O25" s="1118"/>
    </row>
    <row r="26" spans="1:15">
      <c r="A26" s="129"/>
      <c r="B26" s="129" t="s">
        <v>433</v>
      </c>
      <c r="C26" s="788">
        <f>(C25*1000)/12</f>
        <v>4453205.3016066216</v>
      </c>
      <c r="D26" s="129"/>
      <c r="E26" s="129"/>
      <c r="F26" s="129"/>
      <c r="G26" s="129"/>
      <c r="H26" s="129"/>
      <c r="I26" s="789"/>
      <c r="J26" s="791"/>
      <c r="K26" s="791"/>
      <c r="L26" s="97"/>
      <c r="M26" s="97"/>
      <c r="N26" s="97"/>
      <c r="O26" s="97"/>
    </row>
    <row r="27" spans="1:15">
      <c r="J27" s="2"/>
      <c r="L27" s="97"/>
      <c r="M27" s="97"/>
      <c r="N27" s="97"/>
      <c r="O27" s="97"/>
    </row>
    <row r="28" spans="1:15">
      <c r="A28" s="852" t="s">
        <v>931</v>
      </c>
      <c r="C28" s="1119">
        <f>C25</f>
        <v>53438.463619279457</v>
      </c>
      <c r="J28" s="2"/>
      <c r="L28" s="97"/>
      <c r="M28" s="97"/>
      <c r="N28" s="97"/>
      <c r="O28" s="97"/>
    </row>
    <row r="29" spans="1:15" ht="24" customHeight="1">
      <c r="A29" s="852" t="s">
        <v>930</v>
      </c>
      <c r="C29" s="1119">
        <f>G25+H25+I25</f>
        <v>11009</v>
      </c>
      <c r="D29" s="2026" t="s">
        <v>101</v>
      </c>
      <c r="E29" s="2026"/>
      <c r="F29" s="2026"/>
      <c r="G29" s="2026"/>
      <c r="H29" s="2026"/>
      <c r="I29" s="2026"/>
      <c r="J29" s="2026"/>
      <c r="K29" s="2026"/>
      <c r="L29" s="97"/>
      <c r="M29" s="97"/>
      <c r="N29" s="97"/>
      <c r="O29" s="97"/>
    </row>
    <row r="30" spans="1:15">
      <c r="A30" s="774"/>
      <c r="J30" s="2"/>
      <c r="L30" s="97"/>
      <c r="M30" s="97"/>
      <c r="N30" s="97"/>
      <c r="O30" s="97"/>
    </row>
    <row r="31" spans="1:15">
      <c r="A31" s="774" t="s">
        <v>64</v>
      </c>
      <c r="F31" s="92"/>
      <c r="J31" s="2"/>
      <c r="L31" s="97"/>
      <c r="M31" s="97"/>
      <c r="N31" s="97"/>
      <c r="O31" s="97"/>
    </row>
    <row r="32" spans="1:15" ht="51">
      <c r="A32" s="776" t="s">
        <v>141</v>
      </c>
      <c r="B32" s="129" t="s">
        <v>622</v>
      </c>
      <c r="C32" s="777" t="s">
        <v>56</v>
      </c>
      <c r="D32" s="777" t="s">
        <v>57</v>
      </c>
      <c r="E32" s="777" t="s">
        <v>58</v>
      </c>
      <c r="F32" s="777" t="s">
        <v>261</v>
      </c>
      <c r="G32" s="777" t="s">
        <v>59</v>
      </c>
      <c r="H32" s="777" t="s">
        <v>60</v>
      </c>
      <c r="I32" s="778" t="s">
        <v>1022</v>
      </c>
      <c r="J32" s="778" t="s">
        <v>61</v>
      </c>
      <c r="K32" s="778" t="s">
        <v>1023</v>
      </c>
      <c r="L32" s="97"/>
      <c r="M32" s="97"/>
      <c r="N32" s="97"/>
      <c r="O32" s="97"/>
    </row>
    <row r="33" spans="1:15">
      <c r="A33" s="129"/>
      <c r="B33" s="129"/>
      <c r="C33" s="129"/>
      <c r="D33" s="129"/>
      <c r="E33" s="129"/>
      <c r="F33" s="129"/>
      <c r="G33" s="129"/>
      <c r="H33" s="129"/>
      <c r="I33" s="779"/>
      <c r="J33" s="790"/>
      <c r="K33" s="779"/>
      <c r="L33" s="97"/>
      <c r="M33" s="97"/>
      <c r="N33" s="97"/>
      <c r="O33" s="97"/>
    </row>
    <row r="34" spans="1:15">
      <c r="A34" s="129">
        <v>1</v>
      </c>
      <c r="B34" s="129" t="s">
        <v>475</v>
      </c>
      <c r="C34" s="780">
        <v>700</v>
      </c>
      <c r="D34" s="1683">
        <v>0</v>
      </c>
      <c r="E34" s="1684"/>
      <c r="F34" s="1681">
        <v>0</v>
      </c>
      <c r="G34" s="1681">
        <v>0</v>
      </c>
      <c r="H34" s="1683">
        <v>400</v>
      </c>
      <c r="I34" s="1683">
        <v>300</v>
      </c>
      <c r="J34" s="1682">
        <v>6</v>
      </c>
      <c r="K34" s="1683">
        <v>0</v>
      </c>
      <c r="L34" s="97"/>
      <c r="M34" s="97"/>
      <c r="N34" s="97"/>
      <c r="O34" s="97"/>
    </row>
    <row r="35" spans="1:15">
      <c r="A35" s="129">
        <v>2</v>
      </c>
      <c r="B35" s="129" t="s">
        <v>476</v>
      </c>
      <c r="C35" s="780">
        <v>700</v>
      </c>
      <c r="D35" s="1683">
        <v>0</v>
      </c>
      <c r="E35" s="1684"/>
      <c r="F35" s="1681">
        <v>0</v>
      </c>
      <c r="G35" s="1681">
        <v>0</v>
      </c>
      <c r="H35" s="1693">
        <v>400</v>
      </c>
      <c r="I35" s="1683">
        <v>300</v>
      </c>
      <c r="J35" s="1682">
        <v>6</v>
      </c>
      <c r="K35" s="1683">
        <v>0</v>
      </c>
      <c r="L35" s="97"/>
      <c r="M35" s="97"/>
      <c r="N35" s="97"/>
      <c r="O35" s="97"/>
    </row>
    <row r="36" spans="1:15">
      <c r="A36" s="129">
        <v>3</v>
      </c>
      <c r="B36" s="129" t="s">
        <v>477</v>
      </c>
      <c r="C36" s="780">
        <v>700</v>
      </c>
      <c r="D36" s="1683">
        <v>0</v>
      </c>
      <c r="E36" s="1684"/>
      <c r="F36" s="1681">
        <v>0</v>
      </c>
      <c r="G36" s="1681">
        <v>0</v>
      </c>
      <c r="H36" s="1693">
        <v>400</v>
      </c>
      <c r="I36" s="1683">
        <v>300</v>
      </c>
      <c r="J36" s="1682">
        <v>6</v>
      </c>
      <c r="K36" s="1683">
        <v>0</v>
      </c>
      <c r="L36" s="97"/>
      <c r="M36" s="97"/>
      <c r="N36" s="97"/>
      <c r="O36" s="97"/>
    </row>
    <row r="37" spans="1:15">
      <c r="A37" s="781">
        <v>4</v>
      </c>
      <c r="B37" s="781" t="s">
        <v>62</v>
      </c>
      <c r="C37" s="788">
        <f>SUM(C34:C36)</f>
        <v>2100</v>
      </c>
      <c r="D37" s="782"/>
      <c r="E37" s="782"/>
      <c r="F37" s="788">
        <f t="shared" ref="F37:K37" si="5">SUM(F34:F36)</f>
        <v>0</v>
      </c>
      <c r="G37" s="788">
        <f t="shared" si="5"/>
        <v>0</v>
      </c>
      <c r="H37" s="788">
        <f t="shared" si="5"/>
        <v>1200</v>
      </c>
      <c r="I37" s="788">
        <f t="shared" si="5"/>
        <v>900</v>
      </c>
      <c r="J37" s="788">
        <f t="shared" si="5"/>
        <v>18</v>
      </c>
      <c r="K37" s="788">
        <f t="shared" si="5"/>
        <v>0</v>
      </c>
      <c r="L37" s="1117"/>
      <c r="M37" s="1117"/>
      <c r="N37" s="1117"/>
      <c r="O37" s="1117"/>
    </row>
    <row r="38" spans="1:15">
      <c r="A38" s="129">
        <v>5</v>
      </c>
      <c r="B38" s="129" t="s">
        <v>626</v>
      </c>
      <c r="C38" s="780">
        <v>700</v>
      </c>
      <c r="D38" s="1687">
        <v>0</v>
      </c>
      <c r="E38" s="1686"/>
      <c r="F38" s="1685">
        <v>0</v>
      </c>
      <c r="G38" s="1685">
        <v>0</v>
      </c>
      <c r="H38" s="1693">
        <v>400</v>
      </c>
      <c r="I38" s="1685">
        <v>300</v>
      </c>
      <c r="J38" s="1685">
        <v>0</v>
      </c>
      <c r="K38" s="1685">
        <v>0</v>
      </c>
      <c r="L38" s="97"/>
      <c r="M38" s="97"/>
      <c r="N38" s="97"/>
      <c r="O38" s="97"/>
    </row>
    <row r="39" spans="1:15">
      <c r="A39" s="129">
        <v>6</v>
      </c>
      <c r="B39" s="129" t="s">
        <v>627</v>
      </c>
      <c r="C39" s="780">
        <v>700</v>
      </c>
      <c r="D39" s="1687">
        <v>0</v>
      </c>
      <c r="E39" s="1686"/>
      <c r="F39" s="1685">
        <v>0</v>
      </c>
      <c r="G39" s="1685">
        <v>0</v>
      </c>
      <c r="H39" s="1693">
        <v>400</v>
      </c>
      <c r="I39" s="1685">
        <v>300</v>
      </c>
      <c r="J39" s="1685">
        <v>6</v>
      </c>
      <c r="K39" s="1685">
        <v>0</v>
      </c>
      <c r="L39" s="97"/>
      <c r="M39" s="97"/>
      <c r="N39" s="97"/>
      <c r="O39" s="97"/>
    </row>
    <row r="40" spans="1:15">
      <c r="A40" s="129">
        <v>7</v>
      </c>
      <c r="B40" s="129" t="s">
        <v>628</v>
      </c>
      <c r="C40" s="780">
        <v>700</v>
      </c>
      <c r="D40" s="1687">
        <v>0</v>
      </c>
      <c r="E40" s="1686"/>
      <c r="F40" s="1685">
        <v>0</v>
      </c>
      <c r="G40" s="1685">
        <v>0</v>
      </c>
      <c r="H40" s="1693">
        <v>400</v>
      </c>
      <c r="I40" s="1685">
        <v>300</v>
      </c>
      <c r="J40" s="1685">
        <v>6</v>
      </c>
      <c r="K40" s="1685">
        <v>0</v>
      </c>
      <c r="L40" s="97"/>
      <c r="M40" s="97"/>
      <c r="N40" s="97"/>
      <c r="O40" s="97"/>
    </row>
    <row r="41" spans="1:15">
      <c r="A41" s="781">
        <v>8</v>
      </c>
      <c r="B41" s="781" t="s">
        <v>62</v>
      </c>
      <c r="C41" s="788">
        <f>SUM(C38:C40)</f>
        <v>2100</v>
      </c>
      <c r="D41" s="782"/>
      <c r="E41" s="782"/>
      <c r="F41" s="788">
        <f t="shared" ref="F41:K41" si="6">SUM(F38:F40)</f>
        <v>0</v>
      </c>
      <c r="G41" s="788">
        <f t="shared" si="6"/>
        <v>0</v>
      </c>
      <c r="H41" s="788">
        <f t="shared" si="6"/>
        <v>1200</v>
      </c>
      <c r="I41" s="788">
        <f t="shared" si="6"/>
        <v>900</v>
      </c>
      <c r="J41" s="788">
        <f t="shared" si="6"/>
        <v>12</v>
      </c>
      <c r="K41" s="788">
        <f t="shared" si="6"/>
        <v>0</v>
      </c>
      <c r="L41" s="1117"/>
      <c r="M41" s="1117"/>
      <c r="N41" s="1117"/>
      <c r="O41" s="1117"/>
    </row>
    <row r="42" spans="1:15">
      <c r="A42" s="129">
        <v>9</v>
      </c>
      <c r="B42" s="129" t="s">
        <v>478</v>
      </c>
      <c r="C42" s="780">
        <v>700</v>
      </c>
      <c r="D42" s="1690">
        <v>0</v>
      </c>
      <c r="E42" s="1689"/>
      <c r="F42" s="1688">
        <v>0</v>
      </c>
      <c r="G42" s="1688">
        <v>0</v>
      </c>
      <c r="H42" s="1693">
        <v>400</v>
      </c>
      <c r="I42" s="1688">
        <v>300</v>
      </c>
      <c r="J42" s="1688">
        <v>0</v>
      </c>
      <c r="K42" s="1688">
        <v>0</v>
      </c>
      <c r="L42" s="97"/>
      <c r="M42" s="97"/>
      <c r="N42" s="97"/>
      <c r="O42" s="97"/>
    </row>
    <row r="43" spans="1:15">
      <c r="A43" s="129">
        <v>10</v>
      </c>
      <c r="B43" s="129" t="s">
        <v>479</v>
      </c>
      <c r="C43" s="780">
        <v>700</v>
      </c>
      <c r="D43" s="1690">
        <v>0</v>
      </c>
      <c r="E43" s="1689"/>
      <c r="F43" s="1691">
        <v>0</v>
      </c>
      <c r="G43" s="1691">
        <v>0</v>
      </c>
      <c r="H43" s="1693">
        <v>400</v>
      </c>
      <c r="I43" s="1688">
        <v>300</v>
      </c>
      <c r="J43" s="1688">
        <v>6</v>
      </c>
      <c r="K43" s="1688">
        <v>0</v>
      </c>
      <c r="L43" s="97"/>
      <c r="M43" s="97"/>
      <c r="N43" s="97"/>
      <c r="O43" s="97"/>
    </row>
    <row r="44" spans="1:15">
      <c r="A44" s="129">
        <v>11</v>
      </c>
      <c r="B44" s="129" t="s">
        <v>480</v>
      </c>
      <c r="C44" s="780">
        <v>700</v>
      </c>
      <c r="D44" s="1690">
        <v>0</v>
      </c>
      <c r="E44" s="1689"/>
      <c r="F44" s="1691">
        <v>0</v>
      </c>
      <c r="G44" s="1691">
        <v>0</v>
      </c>
      <c r="H44" s="1693">
        <v>400</v>
      </c>
      <c r="I44" s="1688">
        <v>300</v>
      </c>
      <c r="J44" s="1688">
        <v>6</v>
      </c>
      <c r="K44" s="1688">
        <v>0</v>
      </c>
      <c r="L44" s="97"/>
      <c r="M44" s="97"/>
      <c r="N44" s="97"/>
      <c r="O44" s="97"/>
    </row>
    <row r="45" spans="1:15">
      <c r="A45" s="781">
        <v>12</v>
      </c>
      <c r="B45" s="781" t="s">
        <v>62</v>
      </c>
      <c r="C45" s="788">
        <f>SUM(C42:C44)</f>
        <v>2100</v>
      </c>
      <c r="D45" s="782"/>
      <c r="E45" s="782"/>
      <c r="F45" s="788">
        <f t="shared" ref="F45:K45" si="7">SUM(F42:F44)</f>
        <v>0</v>
      </c>
      <c r="G45" s="788">
        <f t="shared" si="7"/>
        <v>0</v>
      </c>
      <c r="H45" s="788">
        <f t="shared" si="7"/>
        <v>1200</v>
      </c>
      <c r="I45" s="788">
        <f t="shared" si="7"/>
        <v>900</v>
      </c>
      <c r="J45" s="788">
        <f t="shared" si="7"/>
        <v>12</v>
      </c>
      <c r="K45" s="788">
        <f t="shared" si="7"/>
        <v>0</v>
      </c>
      <c r="L45" s="1117"/>
      <c r="M45" s="1117"/>
      <c r="N45" s="1117"/>
      <c r="O45" s="1117"/>
    </row>
    <row r="46" spans="1:15">
      <c r="A46" s="129">
        <v>13</v>
      </c>
      <c r="B46" s="129" t="s">
        <v>481</v>
      </c>
      <c r="C46" s="780">
        <v>700</v>
      </c>
      <c r="D46" s="1693">
        <v>0</v>
      </c>
      <c r="E46" s="1692"/>
      <c r="F46" s="1691">
        <v>0</v>
      </c>
      <c r="G46" s="1691">
        <v>0</v>
      </c>
      <c r="H46" s="1693">
        <v>400</v>
      </c>
      <c r="I46" s="1691">
        <v>300</v>
      </c>
      <c r="J46" s="1691">
        <v>6</v>
      </c>
      <c r="K46" s="1691">
        <v>0</v>
      </c>
      <c r="L46" s="97"/>
      <c r="M46" s="97"/>
      <c r="N46" s="97"/>
      <c r="O46" s="97"/>
    </row>
    <row r="47" spans="1:15">
      <c r="A47" s="129">
        <v>14</v>
      </c>
      <c r="B47" s="129" t="s">
        <v>482</v>
      </c>
      <c r="C47" s="780">
        <v>700</v>
      </c>
      <c r="D47" s="1693">
        <v>0</v>
      </c>
      <c r="E47" s="1692"/>
      <c r="F47" s="1691">
        <v>0</v>
      </c>
      <c r="G47" s="1691">
        <v>0</v>
      </c>
      <c r="H47" s="1693">
        <v>400</v>
      </c>
      <c r="I47" s="1691">
        <v>300</v>
      </c>
      <c r="J47" s="1691">
        <v>6</v>
      </c>
      <c r="K47" s="1691">
        <v>0</v>
      </c>
      <c r="L47" s="97"/>
      <c r="M47" s="97"/>
      <c r="N47" s="97"/>
      <c r="O47" s="97"/>
    </row>
    <row r="48" spans="1:15">
      <c r="A48" s="129">
        <v>15</v>
      </c>
      <c r="B48" s="129" t="s">
        <v>184</v>
      </c>
      <c r="C48" s="780">
        <v>700</v>
      </c>
      <c r="D48" s="1693">
        <v>0</v>
      </c>
      <c r="E48" s="1692"/>
      <c r="F48" s="1691">
        <v>0</v>
      </c>
      <c r="G48" s="1691">
        <v>0</v>
      </c>
      <c r="H48" s="1693">
        <v>400</v>
      </c>
      <c r="I48" s="1691">
        <v>300</v>
      </c>
      <c r="J48" s="1691">
        <v>6</v>
      </c>
      <c r="K48" s="1691">
        <v>0</v>
      </c>
      <c r="L48" s="97"/>
      <c r="M48" s="97"/>
      <c r="N48" s="97"/>
      <c r="O48" s="97"/>
    </row>
    <row r="49" spans="1:15">
      <c r="A49" s="781">
        <v>16</v>
      </c>
      <c r="B49" s="781" t="s">
        <v>62</v>
      </c>
      <c r="C49" s="788">
        <f>SUM(C46:C48)</f>
        <v>2100</v>
      </c>
      <c r="D49" s="783"/>
      <c r="E49" s="782"/>
      <c r="F49" s="788">
        <f t="shared" ref="F49:K49" si="8">SUM(F46:F48)</f>
        <v>0</v>
      </c>
      <c r="G49" s="788">
        <f t="shared" si="8"/>
        <v>0</v>
      </c>
      <c r="H49" s="788">
        <f t="shared" si="8"/>
        <v>1200</v>
      </c>
      <c r="I49" s="788">
        <f t="shared" si="8"/>
        <v>900</v>
      </c>
      <c r="J49" s="788">
        <f t="shared" si="8"/>
        <v>18</v>
      </c>
      <c r="K49" s="788">
        <f t="shared" si="8"/>
        <v>0</v>
      </c>
      <c r="L49" s="1117"/>
      <c r="M49" s="1117"/>
      <c r="N49" s="1117"/>
      <c r="O49" s="1117"/>
    </row>
    <row r="50" spans="1:15" ht="15">
      <c r="A50" s="784">
        <v>17</v>
      </c>
      <c r="B50" s="784" t="s">
        <v>63</v>
      </c>
      <c r="C50" s="785">
        <f>C49+C45+C41+C37</f>
        <v>8400</v>
      </c>
      <c r="D50" s="786"/>
      <c r="E50" s="787"/>
      <c r="F50" s="785">
        <f t="shared" ref="F50:K50" si="9">F49+F45+F41+F37</f>
        <v>0</v>
      </c>
      <c r="G50" s="785">
        <f t="shared" si="9"/>
        <v>0</v>
      </c>
      <c r="H50" s="785">
        <f t="shared" si="9"/>
        <v>4800</v>
      </c>
      <c r="I50" s="785">
        <f t="shared" si="9"/>
        <v>3600</v>
      </c>
      <c r="J50" s="785">
        <f t="shared" si="9"/>
        <v>60</v>
      </c>
      <c r="K50" s="785">
        <f t="shared" si="9"/>
        <v>0</v>
      </c>
      <c r="L50" s="1118"/>
      <c r="M50" s="1118"/>
      <c r="N50" s="1118"/>
      <c r="O50" s="1118"/>
    </row>
    <row r="51" spans="1:15">
      <c r="A51" s="129"/>
      <c r="B51" s="129" t="s">
        <v>433</v>
      </c>
      <c r="C51" s="788">
        <f>(C50*1000)/12</f>
        <v>700000</v>
      </c>
      <c r="D51" s="129"/>
      <c r="E51" s="129"/>
      <c r="F51" s="129"/>
      <c r="G51" s="129"/>
      <c r="H51" s="129"/>
      <c r="I51" s="789"/>
      <c r="J51" s="791"/>
      <c r="K51" s="789"/>
      <c r="L51" s="97"/>
      <c r="M51" s="97"/>
      <c r="N51" s="97"/>
      <c r="O51" s="97"/>
    </row>
    <row r="52" spans="1:15">
      <c r="B52" s="792"/>
      <c r="C52" s="445"/>
      <c r="J52" s="2"/>
      <c r="L52" s="97"/>
      <c r="M52" s="97"/>
      <c r="N52" s="97"/>
      <c r="O52" s="97"/>
    </row>
    <row r="53" spans="1:15">
      <c r="A53" s="774"/>
      <c r="J53" s="2"/>
      <c r="L53" s="97"/>
      <c r="M53" s="97"/>
      <c r="N53" s="97"/>
      <c r="O53" s="97"/>
    </row>
    <row r="54" spans="1:15">
      <c r="A54" s="774" t="s">
        <v>100</v>
      </c>
      <c r="E54" s="793"/>
      <c r="L54" s="97"/>
      <c r="M54" s="97"/>
      <c r="N54" s="97"/>
      <c r="O54" s="97"/>
    </row>
    <row r="55" spans="1:15" ht="51">
      <c r="A55" s="776" t="s">
        <v>141</v>
      </c>
      <c r="B55" s="129" t="s">
        <v>622</v>
      </c>
      <c r="C55" s="777" t="s">
        <v>56</v>
      </c>
      <c r="D55" s="777" t="s">
        <v>57</v>
      </c>
      <c r="E55" s="777" t="s">
        <v>58</v>
      </c>
      <c r="F55" s="777" t="s">
        <v>261</v>
      </c>
      <c r="G55" s="777" t="s">
        <v>59</v>
      </c>
      <c r="H55" s="777" t="s">
        <v>60</v>
      </c>
      <c r="I55" s="778" t="s">
        <v>1022</v>
      </c>
      <c r="J55" s="778" t="s">
        <v>61</v>
      </c>
      <c r="K55" s="778" t="s">
        <v>1023</v>
      </c>
      <c r="L55" s="97"/>
      <c r="M55" s="97"/>
      <c r="N55" s="97"/>
      <c r="O55" s="97"/>
    </row>
    <row r="56" spans="1:15">
      <c r="A56" s="129"/>
      <c r="B56" s="129"/>
      <c r="C56" s="129"/>
      <c r="D56" s="129"/>
      <c r="E56" s="129"/>
      <c r="F56" s="129"/>
      <c r="G56" s="129"/>
      <c r="H56" s="129"/>
      <c r="I56" s="779"/>
      <c r="J56" s="779"/>
      <c r="K56" s="779"/>
      <c r="L56" s="97"/>
      <c r="M56" s="97"/>
      <c r="N56" s="97"/>
      <c r="O56" s="97"/>
    </row>
    <row r="57" spans="1:15">
      <c r="A57" s="129">
        <v>1</v>
      </c>
      <c r="B57" s="129" t="s">
        <v>475</v>
      </c>
      <c r="C57" s="780">
        <v>713</v>
      </c>
      <c r="D57" s="1696"/>
      <c r="E57" s="1695"/>
      <c r="F57" s="1694">
        <v>0</v>
      </c>
      <c r="G57" s="1694">
        <v>0</v>
      </c>
      <c r="H57" s="1694">
        <v>713</v>
      </c>
      <c r="I57" s="1694">
        <v>0</v>
      </c>
      <c r="J57" s="1694">
        <v>0</v>
      </c>
      <c r="K57" s="1694">
        <v>0</v>
      </c>
      <c r="L57" s="97"/>
      <c r="M57" s="97"/>
      <c r="N57" s="97"/>
      <c r="O57" s="97"/>
    </row>
    <row r="58" spans="1:15">
      <c r="A58" s="129">
        <v>2</v>
      </c>
      <c r="B58" s="129" t="s">
        <v>476</v>
      </c>
      <c r="C58" s="780">
        <v>713</v>
      </c>
      <c r="D58" s="1696"/>
      <c r="E58" s="1695"/>
      <c r="F58" s="1694">
        <v>0</v>
      </c>
      <c r="G58" s="1694">
        <v>0</v>
      </c>
      <c r="H58" s="1703">
        <v>713</v>
      </c>
      <c r="I58" s="1694">
        <v>0</v>
      </c>
      <c r="J58" s="1694">
        <v>0</v>
      </c>
      <c r="K58" s="1694">
        <v>0</v>
      </c>
      <c r="L58" s="97"/>
      <c r="M58" s="97"/>
      <c r="N58" s="97"/>
      <c r="O58" s="97"/>
    </row>
    <row r="59" spans="1:15">
      <c r="A59" s="129">
        <v>3</v>
      </c>
      <c r="B59" s="129" t="s">
        <v>477</v>
      </c>
      <c r="C59" s="780">
        <v>713</v>
      </c>
      <c r="D59" s="1696"/>
      <c r="E59" s="1695"/>
      <c r="F59" s="1694">
        <v>0</v>
      </c>
      <c r="G59" s="1694">
        <v>0</v>
      </c>
      <c r="H59" s="1703">
        <v>713</v>
      </c>
      <c r="I59" s="1694">
        <v>0</v>
      </c>
      <c r="J59" s="1694">
        <v>0</v>
      </c>
      <c r="K59" s="1694">
        <v>0</v>
      </c>
      <c r="L59" s="97"/>
      <c r="M59" s="97"/>
      <c r="N59" s="97"/>
      <c r="O59" s="97"/>
    </row>
    <row r="60" spans="1:15">
      <c r="A60" s="781">
        <v>4</v>
      </c>
      <c r="B60" s="781" t="s">
        <v>62</v>
      </c>
      <c r="C60" s="788">
        <f>SUM(C57:C59)</f>
        <v>2139</v>
      </c>
      <c r="D60" s="782"/>
      <c r="E60" s="782"/>
      <c r="F60" s="788">
        <f>SUM(F57:F59)</f>
        <v>0</v>
      </c>
      <c r="G60" s="788">
        <f>SUM(G57:G59)</f>
        <v>0</v>
      </c>
      <c r="H60" s="788">
        <f>SUM(H57:H59)</f>
        <v>2139</v>
      </c>
      <c r="I60" s="788">
        <f t="shared" ref="I60:K60" si="10">SUM(I57:I59)</f>
        <v>0</v>
      </c>
      <c r="J60" s="788">
        <f t="shared" si="10"/>
        <v>0</v>
      </c>
      <c r="K60" s="788">
        <f t="shared" si="10"/>
        <v>0</v>
      </c>
      <c r="L60" s="1117"/>
      <c r="M60" s="1117"/>
      <c r="N60" s="1117"/>
      <c r="O60" s="1117"/>
    </row>
    <row r="61" spans="1:15">
      <c r="A61" s="129">
        <v>5</v>
      </c>
      <c r="B61" s="129" t="s">
        <v>626</v>
      </c>
      <c r="C61" s="780">
        <v>713</v>
      </c>
      <c r="D61" s="1699"/>
      <c r="E61" s="1698"/>
      <c r="F61" s="1697">
        <v>0</v>
      </c>
      <c r="G61" s="1697">
        <v>0</v>
      </c>
      <c r="H61" s="1703">
        <v>713</v>
      </c>
      <c r="I61" s="1697">
        <v>0</v>
      </c>
      <c r="J61" s="1697">
        <v>0</v>
      </c>
      <c r="K61" s="1697">
        <v>0</v>
      </c>
      <c r="L61" s="97"/>
      <c r="M61" s="97"/>
      <c r="N61" s="97"/>
      <c r="O61" s="97"/>
    </row>
    <row r="62" spans="1:15">
      <c r="A62" s="129">
        <v>6</v>
      </c>
      <c r="B62" s="129" t="s">
        <v>627</v>
      </c>
      <c r="C62" s="780">
        <v>713</v>
      </c>
      <c r="D62" s="1699"/>
      <c r="E62" s="1698"/>
      <c r="F62" s="1697">
        <v>0</v>
      </c>
      <c r="G62" s="1697">
        <v>0</v>
      </c>
      <c r="H62" s="1703">
        <v>713</v>
      </c>
      <c r="I62" s="1697">
        <v>0</v>
      </c>
      <c r="J62" s="1697">
        <v>0</v>
      </c>
      <c r="K62" s="1697">
        <v>0</v>
      </c>
      <c r="L62" s="97"/>
      <c r="M62" s="97"/>
      <c r="N62" s="97"/>
      <c r="O62" s="97"/>
    </row>
    <row r="63" spans="1:15">
      <c r="A63" s="129">
        <v>7</v>
      </c>
      <c r="B63" s="129" t="s">
        <v>628</v>
      </c>
      <c r="C63" s="780">
        <v>713</v>
      </c>
      <c r="D63" s="1699"/>
      <c r="E63" s="1698"/>
      <c r="F63" s="1697">
        <v>0</v>
      </c>
      <c r="G63" s="1697">
        <v>0</v>
      </c>
      <c r="H63" s="1703">
        <v>713</v>
      </c>
      <c r="I63" s="1697">
        <v>0</v>
      </c>
      <c r="J63" s="1697">
        <v>0</v>
      </c>
      <c r="K63" s="1697">
        <v>0</v>
      </c>
      <c r="L63" s="97"/>
      <c r="M63" s="97"/>
      <c r="N63" s="97"/>
      <c r="O63" s="97"/>
    </row>
    <row r="64" spans="1:15">
      <c r="A64" s="781">
        <v>8</v>
      </c>
      <c r="B64" s="781" t="s">
        <v>62</v>
      </c>
      <c r="C64" s="788">
        <f>SUM(C61:C63)</f>
        <v>2139</v>
      </c>
      <c r="D64" s="782"/>
      <c r="E64" s="782"/>
      <c r="F64" s="788">
        <f>SUM(F61:F63)</f>
        <v>0</v>
      </c>
      <c r="G64" s="788">
        <f>SUM(G61:G63)</f>
        <v>0</v>
      </c>
      <c r="H64" s="788">
        <f>SUM(H61:H63)</f>
        <v>2139</v>
      </c>
      <c r="I64" s="788">
        <f t="shared" ref="I64:K64" si="11">SUM(I61:I63)</f>
        <v>0</v>
      </c>
      <c r="J64" s="788">
        <f t="shared" si="11"/>
        <v>0</v>
      </c>
      <c r="K64" s="788">
        <f t="shared" si="11"/>
        <v>0</v>
      </c>
      <c r="L64" s="1117"/>
      <c r="M64" s="1117"/>
      <c r="N64" s="1117"/>
      <c r="O64" s="1117"/>
    </row>
    <row r="65" spans="1:15">
      <c r="A65" s="129">
        <v>9</v>
      </c>
      <c r="B65" s="129" t="s">
        <v>478</v>
      </c>
      <c r="C65" s="780">
        <v>713</v>
      </c>
      <c r="D65" s="1702"/>
      <c r="E65" s="1701"/>
      <c r="F65" s="1700">
        <v>0</v>
      </c>
      <c r="G65" s="1700">
        <v>0</v>
      </c>
      <c r="H65" s="1703">
        <v>713</v>
      </c>
      <c r="I65" s="1700">
        <v>0</v>
      </c>
      <c r="J65" s="1700">
        <v>0</v>
      </c>
      <c r="K65" s="1700">
        <v>0</v>
      </c>
      <c r="L65" s="97"/>
      <c r="M65" s="97"/>
      <c r="N65" s="97"/>
      <c r="O65" s="97"/>
    </row>
    <row r="66" spans="1:15">
      <c r="A66" s="129">
        <v>10</v>
      </c>
      <c r="B66" s="129" t="s">
        <v>479</v>
      </c>
      <c r="C66" s="780">
        <v>713</v>
      </c>
      <c r="D66" s="1702"/>
      <c r="E66" s="1701"/>
      <c r="F66" s="1700">
        <v>0</v>
      </c>
      <c r="G66" s="1700">
        <v>0</v>
      </c>
      <c r="H66" s="1703">
        <v>713</v>
      </c>
      <c r="I66" s="1700">
        <v>0</v>
      </c>
      <c r="J66" s="1700">
        <v>0</v>
      </c>
      <c r="K66" s="1700">
        <v>0</v>
      </c>
      <c r="L66" s="97"/>
      <c r="M66" s="97"/>
      <c r="N66" s="97"/>
      <c r="O66" s="97"/>
    </row>
    <row r="67" spans="1:15">
      <c r="A67" s="129">
        <v>11</v>
      </c>
      <c r="B67" s="129" t="s">
        <v>480</v>
      </c>
      <c r="C67" s="780">
        <v>713</v>
      </c>
      <c r="D67" s="1702"/>
      <c r="E67" s="1701"/>
      <c r="F67" s="1700">
        <v>0</v>
      </c>
      <c r="G67" s="1700">
        <v>0</v>
      </c>
      <c r="H67" s="1703">
        <v>713</v>
      </c>
      <c r="I67" s="1700">
        <v>0</v>
      </c>
      <c r="J67" s="1700">
        <v>0</v>
      </c>
      <c r="K67" s="1700">
        <v>0</v>
      </c>
      <c r="L67" s="97"/>
      <c r="M67" s="97"/>
      <c r="N67" s="97"/>
      <c r="O67" s="97"/>
    </row>
    <row r="68" spans="1:15">
      <c r="A68" s="781">
        <v>12</v>
      </c>
      <c r="B68" s="781" t="s">
        <v>62</v>
      </c>
      <c r="C68" s="788">
        <f>SUM(C65:C67)</f>
        <v>2139</v>
      </c>
      <c r="D68" s="782"/>
      <c r="E68" s="782"/>
      <c r="F68" s="788">
        <f>SUM(F65:F67)</f>
        <v>0</v>
      </c>
      <c r="G68" s="788">
        <f>SUM(G65:G67)</f>
        <v>0</v>
      </c>
      <c r="H68" s="788">
        <f>SUM(H65:H67)</f>
        <v>2139</v>
      </c>
      <c r="I68" s="788">
        <f t="shared" ref="I68:K68" si="12">SUM(I65:I67)</f>
        <v>0</v>
      </c>
      <c r="J68" s="788">
        <f t="shared" si="12"/>
        <v>0</v>
      </c>
      <c r="K68" s="788">
        <f t="shared" si="12"/>
        <v>0</v>
      </c>
      <c r="L68" s="1117"/>
      <c r="M68" s="1117"/>
      <c r="N68" s="1117"/>
      <c r="O68" s="1117"/>
    </row>
    <row r="69" spans="1:15">
      <c r="A69" s="129">
        <v>13</v>
      </c>
      <c r="B69" s="129" t="s">
        <v>481</v>
      </c>
      <c r="C69" s="780">
        <v>746</v>
      </c>
      <c r="D69" s="1705"/>
      <c r="E69" s="1704"/>
      <c r="F69" s="1703">
        <v>0</v>
      </c>
      <c r="G69" s="1703">
        <v>0</v>
      </c>
      <c r="H69" s="1703">
        <v>746</v>
      </c>
      <c r="I69" s="1703">
        <v>0</v>
      </c>
      <c r="J69" s="1703">
        <v>0</v>
      </c>
      <c r="K69" s="1703">
        <v>0</v>
      </c>
      <c r="L69" s="97"/>
      <c r="M69" s="97"/>
      <c r="N69" s="97"/>
      <c r="O69" s="97"/>
    </row>
    <row r="70" spans="1:15">
      <c r="A70" s="129">
        <v>14</v>
      </c>
      <c r="B70" s="129" t="s">
        <v>482</v>
      </c>
      <c r="C70" s="780">
        <v>746</v>
      </c>
      <c r="D70" s="1705"/>
      <c r="E70" s="1704"/>
      <c r="F70" s="1703">
        <v>0</v>
      </c>
      <c r="G70" s="1703">
        <v>0</v>
      </c>
      <c r="H70" s="1703">
        <v>746</v>
      </c>
      <c r="I70" s="1703">
        <v>0</v>
      </c>
      <c r="J70" s="1703">
        <v>0</v>
      </c>
      <c r="K70" s="1703">
        <v>0</v>
      </c>
      <c r="L70" s="97"/>
      <c r="M70" s="97"/>
      <c r="N70" s="97"/>
      <c r="O70" s="97"/>
    </row>
    <row r="71" spans="1:15">
      <c r="A71" s="129">
        <v>15</v>
      </c>
      <c r="B71" s="129" t="s">
        <v>184</v>
      </c>
      <c r="C71" s="780">
        <v>746</v>
      </c>
      <c r="D71" s="1705"/>
      <c r="E71" s="1704"/>
      <c r="F71" s="1703">
        <v>0</v>
      </c>
      <c r="G71" s="1703">
        <v>0</v>
      </c>
      <c r="H71" s="1703">
        <v>746</v>
      </c>
      <c r="I71" s="1703">
        <v>0</v>
      </c>
      <c r="J71" s="1703">
        <v>0</v>
      </c>
      <c r="K71" s="1703">
        <v>0</v>
      </c>
      <c r="L71" s="97"/>
      <c r="M71" s="97"/>
      <c r="N71" s="97"/>
      <c r="O71" s="97"/>
    </row>
    <row r="72" spans="1:15">
      <c r="A72" s="781">
        <v>16</v>
      </c>
      <c r="B72" s="781" t="s">
        <v>62</v>
      </c>
      <c r="C72" s="788">
        <f>SUM(C69:C71)</f>
        <v>2238</v>
      </c>
      <c r="D72" s="783"/>
      <c r="E72" s="782"/>
      <c r="F72" s="788">
        <f>SUM(F69:F71)</f>
        <v>0</v>
      </c>
      <c r="G72" s="788">
        <f>SUM(G69:G71)</f>
        <v>0</v>
      </c>
      <c r="H72" s="788">
        <f>SUM(H69:H71)</f>
        <v>2238</v>
      </c>
      <c r="I72" s="788">
        <f t="shared" ref="I72:K72" si="13">SUM(I69:I71)</f>
        <v>0</v>
      </c>
      <c r="J72" s="788">
        <f t="shared" si="13"/>
        <v>0</v>
      </c>
      <c r="K72" s="788">
        <f t="shared" si="13"/>
        <v>0</v>
      </c>
      <c r="L72" s="1117"/>
      <c r="M72" s="1117"/>
      <c r="N72" s="1117"/>
      <c r="O72" s="1117"/>
    </row>
    <row r="73" spans="1:15" ht="15">
      <c r="A73" s="784">
        <v>17</v>
      </c>
      <c r="B73" s="784" t="s">
        <v>63</v>
      </c>
      <c r="C73" s="785">
        <f>C72+C68+C64+C60</f>
        <v>8655</v>
      </c>
      <c r="D73" s="786"/>
      <c r="E73" s="787"/>
      <c r="F73" s="785">
        <v>0</v>
      </c>
      <c r="G73" s="785">
        <v>0</v>
      </c>
      <c r="H73" s="785">
        <f>H72+H68+H64+H60</f>
        <v>8655</v>
      </c>
      <c r="I73" s="785">
        <f>I60+I64+I68+I72</f>
        <v>0</v>
      </c>
      <c r="J73" s="785">
        <f>J60+J64+J68+J72</f>
        <v>0</v>
      </c>
      <c r="K73" s="785">
        <v>0</v>
      </c>
      <c r="L73" s="1118"/>
      <c r="M73" s="1118"/>
      <c r="N73" s="1118"/>
      <c r="O73" s="1118"/>
    </row>
    <row r="74" spans="1:15">
      <c r="A74" s="129"/>
      <c r="B74" s="129" t="s">
        <v>433</v>
      </c>
      <c r="C74" s="788">
        <f>(C73*1000)/12</f>
        <v>721250</v>
      </c>
      <c r="D74" s="129"/>
      <c r="E74" s="129"/>
      <c r="F74" s="129"/>
      <c r="G74" s="129"/>
      <c r="H74" s="129"/>
      <c r="I74" s="789"/>
      <c r="J74" s="789"/>
      <c r="K74" s="789"/>
      <c r="L74" s="97"/>
      <c r="M74" s="97"/>
      <c r="N74" s="97"/>
      <c r="O74" s="97"/>
    </row>
    <row r="75" spans="1:15">
      <c r="C75" s="92"/>
    </row>
    <row r="76" spans="1:15">
      <c r="B76" s="104"/>
      <c r="C76" s="795"/>
      <c r="D76" s="97"/>
      <c r="L76" s="445"/>
    </row>
    <row r="77" spans="1:15" ht="14.25">
      <c r="B77" s="796"/>
      <c r="C77" s="796"/>
      <c r="D77" s="97"/>
    </row>
    <row r="78" spans="1:15" ht="14.25">
      <c r="B78" s="796"/>
      <c r="C78" s="796"/>
      <c r="D78" s="97"/>
    </row>
    <row r="79" spans="1:15">
      <c r="B79" s="97"/>
      <c r="C79" s="97"/>
      <c r="D79" s="97"/>
    </row>
    <row r="80" spans="1:15" ht="14.25">
      <c r="B80" s="796"/>
      <c r="C80" s="796"/>
      <c r="D80" s="97"/>
    </row>
    <row r="81" spans="2:4">
      <c r="B81" s="97"/>
      <c r="C81" s="97"/>
      <c r="D81" s="97"/>
    </row>
    <row r="82" spans="2:4">
      <c r="B82" s="97"/>
      <c r="C82" s="97"/>
      <c r="D82" s="97"/>
    </row>
    <row r="83" spans="2:4">
      <c r="B83" s="97"/>
      <c r="C83" s="97"/>
      <c r="D83" s="97"/>
    </row>
  </sheetData>
  <mergeCells count="1">
    <mergeCell ref="D29:K29"/>
  </mergeCells>
  <phoneticPr fontId="73" type="noConversion"/>
  <pageMargins left="0.17" right="0.17" top="0.17" bottom="0.17" header="0.17" footer="0.17"/>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4"/>
  <sheetViews>
    <sheetView topLeftCell="A4" zoomScale="75" zoomScaleNormal="75" zoomScaleSheetLayoutView="75" workbookViewId="0">
      <pane xSplit="1" ySplit="2" topLeftCell="B279" activePane="bottomRight" state="frozen"/>
      <selection activeCell="A4" sqref="A4"/>
      <selection pane="topRight" activeCell="B4" sqref="B4"/>
      <selection pane="bottomLeft" activeCell="A6" sqref="A6"/>
      <selection pane="bottomRight" activeCell="O159" sqref="O159:O161"/>
    </sheetView>
  </sheetViews>
  <sheetFormatPr defaultRowHeight="12.75"/>
  <cols>
    <col min="1" max="1" width="39.28515625" customWidth="1"/>
    <col min="2" max="2" width="18" bestFit="1" customWidth="1"/>
    <col min="3" max="3" width="18.5703125" bestFit="1" customWidth="1"/>
    <col min="4" max="4" width="18.28515625" bestFit="1" customWidth="1"/>
    <col min="5" max="5" width="18.5703125" bestFit="1" customWidth="1"/>
    <col min="6" max="7" width="18.28515625" bestFit="1" customWidth="1"/>
    <col min="8" max="10" width="18.5703125" bestFit="1" customWidth="1"/>
    <col min="11" max="11" width="18.28515625" bestFit="1" customWidth="1"/>
    <col min="12" max="12" width="18" bestFit="1" customWidth="1"/>
    <col min="13" max="13" width="18.5703125" bestFit="1" customWidth="1"/>
    <col min="14" max="14" width="17.85546875" customWidth="1"/>
    <col min="15" max="15" width="19.140625" bestFit="1" customWidth="1"/>
    <col min="16" max="17" width="1.5703125" customWidth="1"/>
    <col min="18" max="18" width="69.5703125" customWidth="1"/>
  </cols>
  <sheetData>
    <row r="1" spans="1:16" ht="15.75">
      <c r="A1" s="1" t="s">
        <v>548</v>
      </c>
    </row>
    <row r="3" spans="1:16">
      <c r="B3" s="816"/>
      <c r="C3" s="816"/>
      <c r="D3" s="816"/>
      <c r="E3" s="816"/>
      <c r="F3" s="816"/>
      <c r="G3" s="816"/>
      <c r="H3" s="816"/>
      <c r="I3" s="816"/>
      <c r="J3" s="816"/>
      <c r="K3" s="816"/>
      <c r="L3" s="816"/>
      <c r="M3" s="816"/>
      <c r="N3" s="816"/>
    </row>
    <row r="4" spans="1:16">
      <c r="A4" s="817" t="s">
        <v>1137</v>
      </c>
      <c r="N4" s="445"/>
    </row>
    <row r="5" spans="1:16" ht="15">
      <c r="A5" s="774"/>
      <c r="B5" s="1431">
        <v>44896</v>
      </c>
      <c r="C5" s="1431">
        <v>44927</v>
      </c>
      <c r="D5" s="1431">
        <v>44958</v>
      </c>
      <c r="E5" s="1431">
        <v>44986</v>
      </c>
      <c r="F5" s="1431">
        <v>45017</v>
      </c>
      <c r="G5" s="1431">
        <v>45047</v>
      </c>
      <c r="H5" s="1431">
        <v>45078</v>
      </c>
      <c r="I5" s="1431">
        <v>45108</v>
      </c>
      <c r="J5" s="1431">
        <v>45139</v>
      </c>
      <c r="K5" s="1431">
        <v>45170</v>
      </c>
      <c r="L5" s="1431">
        <v>45200</v>
      </c>
      <c r="M5" s="1431">
        <v>45231</v>
      </c>
      <c r="N5" s="1431">
        <v>45261</v>
      </c>
      <c r="O5" s="1432" t="s">
        <v>79</v>
      </c>
    </row>
    <row r="6" spans="1:16">
      <c r="A6" s="213" t="s">
        <v>486</v>
      </c>
      <c r="B6" s="1952">
        <v>1395000</v>
      </c>
      <c r="C6" s="1952">
        <v>1395000</v>
      </c>
      <c r="D6" s="1952">
        <v>1395000</v>
      </c>
      <c r="E6" s="1952">
        <v>1395000</v>
      </c>
      <c r="F6" s="1952">
        <v>1395000</v>
      </c>
      <c r="G6" s="1952">
        <v>1395000</v>
      </c>
      <c r="H6" s="1952">
        <v>1395000</v>
      </c>
      <c r="I6" s="1952">
        <v>1395000</v>
      </c>
      <c r="J6" s="1952">
        <v>1395000</v>
      </c>
      <c r="K6" s="1952">
        <v>1395000</v>
      </c>
      <c r="L6" s="1952">
        <v>1395000</v>
      </c>
      <c r="M6" s="1952">
        <v>1395000</v>
      </c>
      <c r="N6" s="1952">
        <v>1395000</v>
      </c>
      <c r="O6" s="1745">
        <f>AVERAGE(B6:N6)</f>
        <v>1395000</v>
      </c>
      <c r="P6" s="97"/>
    </row>
    <row r="7" spans="1:16">
      <c r="A7" s="213" t="s">
        <v>1152</v>
      </c>
      <c r="B7" s="1952">
        <v>31000</v>
      </c>
      <c r="C7" s="1952">
        <v>31000</v>
      </c>
      <c r="D7" s="1952">
        <v>31000</v>
      </c>
      <c r="E7" s="1952">
        <v>31000</v>
      </c>
      <c r="F7" s="1952">
        <v>31000</v>
      </c>
      <c r="G7" s="1952">
        <v>31000</v>
      </c>
      <c r="H7" s="1952">
        <v>31000</v>
      </c>
      <c r="I7" s="1952">
        <v>31000</v>
      </c>
      <c r="J7" s="1952">
        <v>31000</v>
      </c>
      <c r="K7" s="1952">
        <v>31000</v>
      </c>
      <c r="L7" s="1952">
        <v>31000</v>
      </c>
      <c r="M7" s="1952">
        <v>31000</v>
      </c>
      <c r="N7" s="1952">
        <v>31000</v>
      </c>
      <c r="O7" s="1745">
        <f>AVERAGE(B7:N7)</f>
        <v>31000</v>
      </c>
      <c r="P7" s="633"/>
    </row>
    <row r="8" spans="1:16">
      <c r="A8" s="213" t="s">
        <v>1153</v>
      </c>
      <c r="B8" s="1952">
        <v>52000</v>
      </c>
      <c r="C8" s="1952">
        <v>52000</v>
      </c>
      <c r="D8" s="1952">
        <v>52000</v>
      </c>
      <c r="E8" s="1952">
        <v>52000</v>
      </c>
      <c r="F8" s="1952">
        <v>52000</v>
      </c>
      <c r="G8" s="1952">
        <v>52000</v>
      </c>
      <c r="H8" s="1952">
        <v>52000</v>
      </c>
      <c r="I8" s="1952">
        <v>52000</v>
      </c>
      <c r="J8" s="1952">
        <v>52000</v>
      </c>
      <c r="K8" s="1952">
        <v>52000</v>
      </c>
      <c r="L8" s="1952">
        <v>52000</v>
      </c>
      <c r="M8" s="1952">
        <v>52000</v>
      </c>
      <c r="N8" s="1952">
        <v>52000</v>
      </c>
      <c r="O8" s="1745">
        <f t="shared" ref="O8:O49" si="0">AVERAGE(B8:N8)</f>
        <v>52000</v>
      </c>
      <c r="P8" s="97"/>
    </row>
    <row r="9" spans="1:16">
      <c r="A9" s="213" t="s">
        <v>1164</v>
      </c>
      <c r="B9" s="1952">
        <v>17544000</v>
      </c>
      <c r="C9" s="1952">
        <v>17544000</v>
      </c>
      <c r="D9" s="1952">
        <v>17544000</v>
      </c>
      <c r="E9" s="1952">
        <v>17544000</v>
      </c>
      <c r="F9" s="1952">
        <v>17544000</v>
      </c>
      <c r="G9" s="1952">
        <v>17544000</v>
      </c>
      <c r="H9" s="1952">
        <v>17544000</v>
      </c>
      <c r="I9" s="1952">
        <v>17544000</v>
      </c>
      <c r="J9" s="1952">
        <v>17544000</v>
      </c>
      <c r="K9" s="1952">
        <v>17544000</v>
      </c>
      <c r="L9" s="1952">
        <v>17544000</v>
      </c>
      <c r="M9" s="1952">
        <v>17544000</v>
      </c>
      <c r="N9" s="1952">
        <v>17544000</v>
      </c>
      <c r="O9" s="1745">
        <f t="shared" si="0"/>
        <v>17544000</v>
      </c>
      <c r="P9" s="97"/>
    </row>
    <row r="10" spans="1:16">
      <c r="A10" s="213" t="s">
        <v>427</v>
      </c>
      <c r="B10" s="1952">
        <v>9138000</v>
      </c>
      <c r="C10" s="1952">
        <v>9138000</v>
      </c>
      <c r="D10" s="1952">
        <v>9138000</v>
      </c>
      <c r="E10" s="1952">
        <v>9138000</v>
      </c>
      <c r="F10" s="1952">
        <v>9138000</v>
      </c>
      <c r="G10" s="1952">
        <v>9138000</v>
      </c>
      <c r="H10" s="1952">
        <v>9138000</v>
      </c>
      <c r="I10" s="1952">
        <v>9138000</v>
      </c>
      <c r="J10" s="1952">
        <v>9138000</v>
      </c>
      <c r="K10" s="1952">
        <v>9138000</v>
      </c>
      <c r="L10" s="1952">
        <v>9138000</v>
      </c>
      <c r="M10" s="1952">
        <v>9138000</v>
      </c>
      <c r="N10" s="1952">
        <v>9138000</v>
      </c>
      <c r="O10" s="1745">
        <f t="shared" si="0"/>
        <v>9138000</v>
      </c>
      <c r="P10" s="97"/>
    </row>
    <row r="11" spans="1:16">
      <c r="A11" s="213" t="s">
        <v>487</v>
      </c>
      <c r="B11" s="1952">
        <v>20312000</v>
      </c>
      <c r="C11" s="1952">
        <v>20312000</v>
      </c>
      <c r="D11" s="1952">
        <v>20312000</v>
      </c>
      <c r="E11" s="1952">
        <v>20312000</v>
      </c>
      <c r="F11" s="1952">
        <v>20312000</v>
      </c>
      <c r="G11" s="1952">
        <v>20312000</v>
      </c>
      <c r="H11" s="1952">
        <v>20312000</v>
      </c>
      <c r="I11" s="1952">
        <v>20312000</v>
      </c>
      <c r="J11" s="1952">
        <v>20312000</v>
      </c>
      <c r="K11" s="1952">
        <v>20312000</v>
      </c>
      <c r="L11" s="1952">
        <v>20312000</v>
      </c>
      <c r="M11" s="1952">
        <v>20312000</v>
      </c>
      <c r="N11" s="1952">
        <v>20312000</v>
      </c>
      <c r="O11" s="1745">
        <f t="shared" si="0"/>
        <v>20312000</v>
      </c>
      <c r="P11" s="97"/>
    </row>
    <row r="12" spans="1:16">
      <c r="A12" s="213" t="s">
        <v>1113</v>
      </c>
      <c r="B12" s="1952">
        <v>70000</v>
      </c>
      <c r="C12" s="1952">
        <v>70000</v>
      </c>
      <c r="D12" s="1952">
        <v>70000</v>
      </c>
      <c r="E12" s="1952">
        <v>70000</v>
      </c>
      <c r="F12" s="1952">
        <v>70000</v>
      </c>
      <c r="G12" s="1952">
        <v>70000</v>
      </c>
      <c r="H12" s="1952">
        <v>70000</v>
      </c>
      <c r="I12" s="1952">
        <v>70000</v>
      </c>
      <c r="J12" s="1952">
        <v>70000</v>
      </c>
      <c r="K12" s="1952">
        <v>70000</v>
      </c>
      <c r="L12" s="1952">
        <v>70000</v>
      </c>
      <c r="M12" s="1952">
        <v>70000</v>
      </c>
      <c r="N12" s="1952">
        <v>70000</v>
      </c>
      <c r="O12" s="1745">
        <f t="shared" si="0"/>
        <v>70000</v>
      </c>
      <c r="P12" s="97"/>
    </row>
    <row r="13" spans="1:16">
      <c r="A13" s="213" t="s">
        <v>1114</v>
      </c>
      <c r="B13" s="1952">
        <v>57000</v>
      </c>
      <c r="C13" s="1952">
        <v>57000</v>
      </c>
      <c r="D13" s="1952">
        <v>57000</v>
      </c>
      <c r="E13" s="1952">
        <v>57000</v>
      </c>
      <c r="F13" s="1952">
        <v>57000</v>
      </c>
      <c r="G13" s="1952">
        <v>57000</v>
      </c>
      <c r="H13" s="1952">
        <v>57000</v>
      </c>
      <c r="I13" s="1952">
        <v>57000</v>
      </c>
      <c r="J13" s="1952">
        <v>57000</v>
      </c>
      <c r="K13" s="1952">
        <v>57000</v>
      </c>
      <c r="L13" s="1952">
        <v>57000</v>
      </c>
      <c r="M13" s="1952">
        <v>57000</v>
      </c>
      <c r="N13" s="1952">
        <v>57000</v>
      </c>
      <c r="O13" s="1745">
        <f t="shared" si="0"/>
        <v>57000</v>
      </c>
      <c r="P13" s="97"/>
    </row>
    <row r="14" spans="1:16">
      <c r="A14" s="213" t="s">
        <v>1214</v>
      </c>
      <c r="B14" s="1952">
        <v>952000</v>
      </c>
      <c r="C14" s="1952">
        <v>952000</v>
      </c>
      <c r="D14" s="1952">
        <v>952000</v>
      </c>
      <c r="E14" s="1952">
        <v>952000</v>
      </c>
      <c r="F14" s="1952">
        <v>952000</v>
      </c>
      <c r="G14" s="1952">
        <v>952000</v>
      </c>
      <c r="H14" s="1952">
        <v>952000</v>
      </c>
      <c r="I14" s="1952">
        <v>952000</v>
      </c>
      <c r="J14" s="1952">
        <v>952000</v>
      </c>
      <c r="K14" s="1952">
        <v>952000</v>
      </c>
      <c r="L14" s="1952">
        <v>952000</v>
      </c>
      <c r="M14" s="1952">
        <v>952000</v>
      </c>
      <c r="N14" s="1952">
        <v>952000</v>
      </c>
      <c r="O14" s="1745">
        <f t="shared" si="0"/>
        <v>952000</v>
      </c>
      <c r="P14" s="97"/>
    </row>
    <row r="15" spans="1:16">
      <c r="A15" s="213" t="s">
        <v>488</v>
      </c>
      <c r="B15" s="1952">
        <v>11090000</v>
      </c>
      <c r="C15" s="1952">
        <v>11090000</v>
      </c>
      <c r="D15" s="1952">
        <v>11090000</v>
      </c>
      <c r="E15" s="1952">
        <v>11090000</v>
      </c>
      <c r="F15" s="1952">
        <v>11090000</v>
      </c>
      <c r="G15" s="1952">
        <v>11090000</v>
      </c>
      <c r="H15" s="1952">
        <v>11090000</v>
      </c>
      <c r="I15" s="1952">
        <v>11090000</v>
      </c>
      <c r="J15" s="1952">
        <v>11090000</v>
      </c>
      <c r="K15" s="1952">
        <v>11090000</v>
      </c>
      <c r="L15" s="1952">
        <v>11090000</v>
      </c>
      <c r="M15" s="1952">
        <v>11090000</v>
      </c>
      <c r="N15" s="1952">
        <v>11090000</v>
      </c>
      <c r="O15" s="1745">
        <f t="shared" si="0"/>
        <v>11090000</v>
      </c>
      <c r="P15" s="97"/>
    </row>
    <row r="16" spans="1:16">
      <c r="A16" s="213" t="s">
        <v>491</v>
      </c>
      <c r="B16" s="1952">
        <v>4531000</v>
      </c>
      <c r="C16" s="1952">
        <v>4531000</v>
      </c>
      <c r="D16" s="1952">
        <v>4531000</v>
      </c>
      <c r="E16" s="1952">
        <v>4531000</v>
      </c>
      <c r="F16" s="1952">
        <v>4531000</v>
      </c>
      <c r="G16" s="1952">
        <v>4531000</v>
      </c>
      <c r="H16" s="1952">
        <v>4531000</v>
      </c>
      <c r="I16" s="1952">
        <v>4531000</v>
      </c>
      <c r="J16" s="1952">
        <v>4531000</v>
      </c>
      <c r="K16" s="1952">
        <v>4537000</v>
      </c>
      <c r="L16" s="1952">
        <v>4537000</v>
      </c>
      <c r="M16" s="1952">
        <v>4537000</v>
      </c>
      <c r="N16" s="1952">
        <v>4537000</v>
      </c>
      <c r="O16" s="1745">
        <f t="shared" si="0"/>
        <v>4532846.153846154</v>
      </c>
      <c r="P16" s="97"/>
    </row>
    <row r="17" spans="1:16">
      <c r="A17" s="213" t="s">
        <v>428</v>
      </c>
      <c r="B17" s="1952">
        <v>1760000</v>
      </c>
      <c r="C17" s="1952">
        <v>1760000</v>
      </c>
      <c r="D17" s="1952">
        <v>1760000</v>
      </c>
      <c r="E17" s="1952">
        <v>1760000</v>
      </c>
      <c r="F17" s="1952">
        <v>1760000</v>
      </c>
      <c r="G17" s="1952">
        <v>1760000</v>
      </c>
      <c r="H17" s="1952">
        <v>1760000</v>
      </c>
      <c r="I17" s="1952">
        <v>1760000</v>
      </c>
      <c r="J17" s="1952">
        <v>1760000</v>
      </c>
      <c r="K17" s="1952">
        <v>1760000</v>
      </c>
      <c r="L17" s="1952">
        <v>1760000</v>
      </c>
      <c r="M17" s="1952">
        <v>1760000</v>
      </c>
      <c r="N17" s="1952">
        <v>1760000</v>
      </c>
      <c r="O17" s="1745">
        <f t="shared" si="0"/>
        <v>1760000</v>
      </c>
      <c r="P17" s="97"/>
    </row>
    <row r="18" spans="1:16">
      <c r="A18" s="213" t="s">
        <v>492</v>
      </c>
      <c r="B18" s="1952">
        <v>1931000</v>
      </c>
      <c r="C18" s="1952">
        <v>1931000</v>
      </c>
      <c r="D18" s="1952">
        <v>1931000</v>
      </c>
      <c r="E18" s="1952">
        <v>1931000</v>
      </c>
      <c r="F18" s="1952">
        <v>1931000</v>
      </c>
      <c r="G18" s="1952">
        <v>1931000</v>
      </c>
      <c r="H18" s="1952">
        <v>1931000</v>
      </c>
      <c r="I18" s="1952">
        <v>1931000</v>
      </c>
      <c r="J18" s="1952">
        <v>1931000</v>
      </c>
      <c r="K18" s="1952">
        <v>1931000</v>
      </c>
      <c r="L18" s="1952">
        <v>1931000</v>
      </c>
      <c r="M18" s="1952">
        <v>1931000</v>
      </c>
      <c r="N18" s="1952">
        <v>1931000</v>
      </c>
      <c r="O18" s="1745">
        <f t="shared" si="0"/>
        <v>1931000</v>
      </c>
      <c r="P18" s="97"/>
    </row>
    <row r="19" spans="1:16">
      <c r="A19" s="213" t="s">
        <v>1115</v>
      </c>
      <c r="B19" s="1952">
        <v>3427000</v>
      </c>
      <c r="C19" s="1952">
        <v>3427000</v>
      </c>
      <c r="D19" s="1952">
        <v>3427000</v>
      </c>
      <c r="E19" s="1952">
        <v>3427000</v>
      </c>
      <c r="F19" s="1952">
        <v>3427000</v>
      </c>
      <c r="G19" s="1952">
        <v>3427000</v>
      </c>
      <c r="H19" s="1952">
        <v>3427000</v>
      </c>
      <c r="I19" s="1952">
        <v>3427000</v>
      </c>
      <c r="J19" s="1952">
        <v>3427000</v>
      </c>
      <c r="K19" s="1952">
        <v>3427000</v>
      </c>
      <c r="L19" s="1952">
        <v>3427000</v>
      </c>
      <c r="M19" s="1952">
        <v>3427000</v>
      </c>
      <c r="N19" s="1952">
        <v>3427000</v>
      </c>
      <c r="O19" s="1745">
        <f t="shared" si="0"/>
        <v>3427000</v>
      </c>
      <c r="P19" s="97"/>
    </row>
    <row r="20" spans="1:16">
      <c r="A20" s="213" t="s">
        <v>494</v>
      </c>
      <c r="B20" s="1952">
        <v>4273000</v>
      </c>
      <c r="C20" s="1952">
        <v>4273000</v>
      </c>
      <c r="D20" s="1952">
        <v>4273000</v>
      </c>
      <c r="E20" s="1952">
        <v>4273000</v>
      </c>
      <c r="F20" s="1952">
        <v>4273000</v>
      </c>
      <c r="G20" s="1952">
        <v>4273000</v>
      </c>
      <c r="H20" s="1952">
        <v>4273000</v>
      </c>
      <c r="I20" s="1952">
        <v>4273000</v>
      </c>
      <c r="J20" s="1952">
        <v>4273000</v>
      </c>
      <c r="K20" s="1952">
        <v>4273000</v>
      </c>
      <c r="L20" s="1952">
        <v>4273000</v>
      </c>
      <c r="M20" s="1952">
        <v>4273000</v>
      </c>
      <c r="N20" s="1952">
        <v>4273000</v>
      </c>
      <c r="O20" s="1745">
        <f t="shared" si="0"/>
        <v>4273000</v>
      </c>
      <c r="P20" s="97"/>
    </row>
    <row r="21" spans="1:16">
      <c r="A21" s="213" t="s">
        <v>495</v>
      </c>
      <c r="B21" s="1952">
        <v>113358000</v>
      </c>
      <c r="C21" s="1952">
        <v>113358000</v>
      </c>
      <c r="D21" s="1952">
        <v>113358000</v>
      </c>
      <c r="E21" s="1952">
        <v>113358000</v>
      </c>
      <c r="F21" s="1952">
        <v>113358000</v>
      </c>
      <c r="G21" s="1952">
        <v>113358000</v>
      </c>
      <c r="H21" s="1952">
        <v>113358000</v>
      </c>
      <c r="I21" s="1952">
        <v>113099000</v>
      </c>
      <c r="J21" s="1952">
        <v>113099000</v>
      </c>
      <c r="K21" s="1952">
        <v>134888000</v>
      </c>
      <c r="L21" s="1952">
        <v>134944000</v>
      </c>
      <c r="M21" s="1952">
        <v>134978000</v>
      </c>
      <c r="N21" s="1952">
        <v>135287000</v>
      </c>
      <c r="O21" s="1745">
        <f t="shared" si="0"/>
        <v>119984692.3076923</v>
      </c>
      <c r="P21" s="97"/>
    </row>
    <row r="22" spans="1:16">
      <c r="A22" s="213" t="s">
        <v>1073</v>
      </c>
      <c r="B22" s="1952">
        <v>1371000</v>
      </c>
      <c r="C22" s="1952">
        <v>1371000</v>
      </c>
      <c r="D22" s="1952">
        <v>1371000</v>
      </c>
      <c r="E22" s="1952">
        <v>1371000</v>
      </c>
      <c r="F22" s="1952">
        <v>1371000</v>
      </c>
      <c r="G22" s="1952">
        <v>1371000</v>
      </c>
      <c r="H22" s="1952">
        <v>1371000</v>
      </c>
      <c r="I22" s="1952">
        <v>1371000</v>
      </c>
      <c r="J22" s="1952">
        <v>1371000</v>
      </c>
      <c r="K22" s="1952">
        <v>1371000</v>
      </c>
      <c r="L22" s="1952">
        <v>1371000</v>
      </c>
      <c r="M22" s="1952">
        <v>1379000</v>
      </c>
      <c r="N22" s="1952">
        <v>1383000</v>
      </c>
      <c r="O22" s="1745">
        <f t="shared" si="0"/>
        <v>1372538.4615384615</v>
      </c>
      <c r="P22" s="97"/>
    </row>
    <row r="23" spans="1:16">
      <c r="A23" s="213" t="s">
        <v>1181</v>
      </c>
      <c r="B23" s="1952">
        <v>210384000</v>
      </c>
      <c r="C23" s="1952">
        <v>210214000</v>
      </c>
      <c r="D23" s="1952">
        <v>211078000</v>
      </c>
      <c r="E23" s="1952">
        <v>210874000</v>
      </c>
      <c r="F23" s="1952">
        <v>211549000</v>
      </c>
      <c r="G23" s="1952">
        <v>212207000</v>
      </c>
      <c r="H23" s="1952">
        <v>213085000</v>
      </c>
      <c r="I23" s="1952">
        <v>226487000</v>
      </c>
      <c r="J23" s="1952">
        <v>226637000</v>
      </c>
      <c r="K23" s="1952">
        <v>249425000</v>
      </c>
      <c r="L23" s="1952">
        <v>249466000</v>
      </c>
      <c r="M23" s="1952">
        <v>255689000</v>
      </c>
      <c r="N23" s="1952">
        <v>262441000</v>
      </c>
      <c r="O23" s="1745">
        <f t="shared" si="0"/>
        <v>226887384.61538461</v>
      </c>
      <c r="P23" s="97"/>
    </row>
    <row r="24" spans="1:16">
      <c r="A24" s="213" t="s">
        <v>496</v>
      </c>
      <c r="B24" s="1952">
        <v>4275000</v>
      </c>
      <c r="C24" s="1952">
        <v>4275000</v>
      </c>
      <c r="D24" s="1952">
        <v>4275000</v>
      </c>
      <c r="E24" s="1952">
        <v>4275000</v>
      </c>
      <c r="F24" s="1952">
        <v>4275000</v>
      </c>
      <c r="G24" s="1952">
        <v>4275000</v>
      </c>
      <c r="H24" s="1952">
        <v>4275000</v>
      </c>
      <c r="I24" s="1952">
        <v>4275000</v>
      </c>
      <c r="J24" s="1952">
        <v>4275000</v>
      </c>
      <c r="K24" s="1952">
        <v>4275000</v>
      </c>
      <c r="L24" s="1952">
        <v>4275000</v>
      </c>
      <c r="M24" s="1952">
        <v>4275000</v>
      </c>
      <c r="N24" s="1952">
        <v>4275000</v>
      </c>
      <c r="O24" s="1745">
        <f t="shared" si="0"/>
        <v>4275000</v>
      </c>
      <c r="P24" s="97"/>
    </row>
    <row r="25" spans="1:16">
      <c r="A25" s="213" t="s">
        <v>1174</v>
      </c>
      <c r="B25" s="1952">
        <v>663000</v>
      </c>
      <c r="C25" s="1952">
        <v>663000</v>
      </c>
      <c r="D25" s="1952">
        <v>663000</v>
      </c>
      <c r="E25" s="1952">
        <v>663000</v>
      </c>
      <c r="F25" s="1952">
        <v>663000</v>
      </c>
      <c r="G25" s="1952">
        <v>663000</v>
      </c>
      <c r="H25" s="1952">
        <v>663000</v>
      </c>
      <c r="I25" s="1952">
        <v>663000</v>
      </c>
      <c r="J25" s="1952">
        <v>663000</v>
      </c>
      <c r="K25" s="1952">
        <v>663000</v>
      </c>
      <c r="L25" s="1952">
        <v>663000</v>
      </c>
      <c r="M25" s="1952">
        <v>663000</v>
      </c>
      <c r="N25" s="1952">
        <v>663000</v>
      </c>
      <c r="O25" s="1745">
        <f t="shared" si="0"/>
        <v>663000</v>
      </c>
      <c r="P25" s="97"/>
    </row>
    <row r="26" spans="1:16">
      <c r="A26" s="213" t="s">
        <v>497</v>
      </c>
      <c r="B26" s="1952">
        <v>174740000</v>
      </c>
      <c r="C26" s="1952">
        <v>174740000</v>
      </c>
      <c r="D26" s="1952">
        <v>174733000</v>
      </c>
      <c r="E26" s="1952">
        <v>174733000</v>
      </c>
      <c r="F26" s="1952">
        <v>174719000</v>
      </c>
      <c r="G26" s="1952">
        <v>174719000</v>
      </c>
      <c r="H26" s="1952">
        <v>174719000</v>
      </c>
      <c r="I26" s="1952">
        <v>174670000</v>
      </c>
      <c r="J26" s="1952">
        <v>174670000</v>
      </c>
      <c r="K26" s="1952">
        <v>174670000</v>
      </c>
      <c r="L26" s="1952">
        <v>174471000</v>
      </c>
      <c r="M26" s="1952">
        <v>174326000</v>
      </c>
      <c r="N26" s="1952">
        <v>174326000</v>
      </c>
      <c r="O26" s="1745">
        <f t="shared" si="0"/>
        <v>174633538.46153846</v>
      </c>
      <c r="P26" s="97"/>
    </row>
    <row r="27" spans="1:16">
      <c r="A27" s="213" t="s">
        <v>498</v>
      </c>
      <c r="B27" s="1952">
        <v>26963000</v>
      </c>
      <c r="C27" s="1952">
        <v>26963000</v>
      </c>
      <c r="D27" s="1952">
        <v>26963000</v>
      </c>
      <c r="E27" s="1952">
        <v>26963000</v>
      </c>
      <c r="F27" s="1952">
        <v>26963000</v>
      </c>
      <c r="G27" s="1952">
        <v>26963000</v>
      </c>
      <c r="H27" s="1952">
        <v>26963000</v>
      </c>
      <c r="I27" s="1952">
        <v>26963000</v>
      </c>
      <c r="J27" s="1952">
        <v>26963000</v>
      </c>
      <c r="K27" s="1952">
        <v>26963000</v>
      </c>
      <c r="L27" s="1952">
        <v>26963000</v>
      </c>
      <c r="M27" s="1952">
        <v>26954000</v>
      </c>
      <c r="N27" s="1952">
        <v>26954000</v>
      </c>
      <c r="O27" s="1745">
        <f t="shared" si="0"/>
        <v>26961615.384615384</v>
      </c>
      <c r="P27" s="97"/>
    </row>
    <row r="28" spans="1:16">
      <c r="A28" s="213" t="s">
        <v>502</v>
      </c>
      <c r="B28" s="1952">
        <v>5744000</v>
      </c>
      <c r="C28" s="1952">
        <v>5744000</v>
      </c>
      <c r="D28" s="1952">
        <v>5744000</v>
      </c>
      <c r="E28" s="1952">
        <v>5744000</v>
      </c>
      <c r="F28" s="1952">
        <v>5744000</v>
      </c>
      <c r="G28" s="1952">
        <v>5744000</v>
      </c>
      <c r="H28" s="1952">
        <v>5744000</v>
      </c>
      <c r="I28" s="1952">
        <v>5744000</v>
      </c>
      <c r="J28" s="1952">
        <v>5744000</v>
      </c>
      <c r="K28" s="1952">
        <v>5744000</v>
      </c>
      <c r="L28" s="1952">
        <v>5744000</v>
      </c>
      <c r="M28" s="1952">
        <v>5744000</v>
      </c>
      <c r="N28" s="1952">
        <v>5744000</v>
      </c>
      <c r="O28" s="1745">
        <f t="shared" si="0"/>
        <v>5744000</v>
      </c>
      <c r="P28" s="97"/>
    </row>
    <row r="29" spans="1:16">
      <c r="A29" s="213" t="s">
        <v>503</v>
      </c>
      <c r="B29" s="1952">
        <v>1497000</v>
      </c>
      <c r="C29" s="1952">
        <v>1497000</v>
      </c>
      <c r="D29" s="1952">
        <v>1497000</v>
      </c>
      <c r="E29" s="1952">
        <v>1497000</v>
      </c>
      <c r="F29" s="1952">
        <v>1497000</v>
      </c>
      <c r="G29" s="1952">
        <v>1497000</v>
      </c>
      <c r="H29" s="1952">
        <v>1497000</v>
      </c>
      <c r="I29" s="1952">
        <v>1511000</v>
      </c>
      <c r="J29" s="1952">
        <v>1511000</v>
      </c>
      <c r="K29" s="1952">
        <v>1511000</v>
      </c>
      <c r="L29" s="1952">
        <v>1511000</v>
      </c>
      <c r="M29" s="1952">
        <v>1511000</v>
      </c>
      <c r="N29" s="1952">
        <v>1511000</v>
      </c>
      <c r="O29" s="1745">
        <f t="shared" si="0"/>
        <v>1503461.5384615385</v>
      </c>
      <c r="P29" s="97"/>
    </row>
    <row r="30" spans="1:16">
      <c r="A30" s="213" t="s">
        <v>504</v>
      </c>
      <c r="B30" s="1952">
        <v>96570000</v>
      </c>
      <c r="C30" s="1952">
        <v>97887000</v>
      </c>
      <c r="D30" s="1952">
        <v>98804000</v>
      </c>
      <c r="E30" s="1952">
        <v>100283000</v>
      </c>
      <c r="F30" s="1952">
        <v>100657000</v>
      </c>
      <c r="G30" s="1952">
        <v>100664000</v>
      </c>
      <c r="H30" s="1952">
        <v>100685000</v>
      </c>
      <c r="I30" s="1952">
        <v>96046000</v>
      </c>
      <c r="J30" s="1952">
        <v>95762000</v>
      </c>
      <c r="K30" s="1952">
        <v>95778000</v>
      </c>
      <c r="L30" s="1952">
        <v>126606000</v>
      </c>
      <c r="M30" s="1952">
        <v>126647000</v>
      </c>
      <c r="N30" s="1952">
        <v>126938000</v>
      </c>
      <c r="O30" s="1745">
        <f t="shared" si="0"/>
        <v>104871307.6923077</v>
      </c>
      <c r="P30" s="97"/>
    </row>
    <row r="31" spans="1:16">
      <c r="A31" s="213" t="s">
        <v>506</v>
      </c>
      <c r="B31" s="1952">
        <v>3520000</v>
      </c>
      <c r="C31" s="1952">
        <v>3520000</v>
      </c>
      <c r="D31" s="1952">
        <v>3520000</v>
      </c>
      <c r="E31" s="1952">
        <v>3520000</v>
      </c>
      <c r="F31" s="1952">
        <v>3520000</v>
      </c>
      <c r="G31" s="1952">
        <v>3520000</v>
      </c>
      <c r="H31" s="1952">
        <v>3520000</v>
      </c>
      <c r="I31" s="1952">
        <v>3520000</v>
      </c>
      <c r="J31" s="1952">
        <v>3520000</v>
      </c>
      <c r="K31" s="1952">
        <v>3520000</v>
      </c>
      <c r="L31" s="1952">
        <v>3520000</v>
      </c>
      <c r="M31" s="1952">
        <v>3520000</v>
      </c>
      <c r="N31" s="1952">
        <v>3520000</v>
      </c>
      <c r="O31" s="1745">
        <f t="shared" si="0"/>
        <v>3520000</v>
      </c>
      <c r="P31" s="97"/>
    </row>
    <row r="32" spans="1:16">
      <c r="A32" s="213" t="s">
        <v>1116</v>
      </c>
      <c r="B32" s="1952">
        <v>1480000</v>
      </c>
      <c r="C32" s="1952">
        <v>1480000</v>
      </c>
      <c r="D32" s="1952">
        <v>1480000</v>
      </c>
      <c r="E32" s="1952">
        <v>1480000</v>
      </c>
      <c r="F32" s="1952">
        <v>1480000</v>
      </c>
      <c r="G32" s="1952">
        <v>1480000</v>
      </c>
      <c r="H32" s="1952">
        <v>1480000</v>
      </c>
      <c r="I32" s="1952">
        <v>1480000</v>
      </c>
      <c r="J32" s="1952">
        <v>1480000</v>
      </c>
      <c r="K32" s="1952">
        <v>1480000</v>
      </c>
      <c r="L32" s="1952">
        <v>1480000</v>
      </c>
      <c r="M32" s="1952">
        <v>1480000</v>
      </c>
      <c r="N32" s="1952">
        <v>1480000</v>
      </c>
      <c r="O32" s="1745">
        <f t="shared" si="0"/>
        <v>1480000</v>
      </c>
      <c r="P32" s="97"/>
    </row>
    <row r="33" spans="1:16">
      <c r="A33" s="213" t="s">
        <v>507</v>
      </c>
      <c r="B33" s="1952">
        <v>5491000</v>
      </c>
      <c r="C33" s="1952">
        <v>5491000</v>
      </c>
      <c r="D33" s="1952">
        <v>5491000</v>
      </c>
      <c r="E33" s="1952">
        <v>5491000</v>
      </c>
      <c r="F33" s="1952">
        <v>5491000</v>
      </c>
      <c r="G33" s="1952">
        <v>5491000</v>
      </c>
      <c r="H33" s="1952">
        <v>5491000</v>
      </c>
      <c r="I33" s="1952">
        <v>5491000</v>
      </c>
      <c r="J33" s="1952">
        <v>5491000</v>
      </c>
      <c r="K33" s="1952">
        <v>5491000</v>
      </c>
      <c r="L33" s="1952">
        <v>5491000</v>
      </c>
      <c r="M33" s="1952">
        <v>5491000</v>
      </c>
      <c r="N33" s="1952">
        <v>5491000</v>
      </c>
      <c r="O33" s="1745">
        <f t="shared" si="0"/>
        <v>5491000</v>
      </c>
      <c r="P33" s="97"/>
    </row>
    <row r="34" spans="1:16">
      <c r="A34" s="213" t="s">
        <v>1154</v>
      </c>
      <c r="B34" s="1952">
        <v>157471000</v>
      </c>
      <c r="C34" s="1952">
        <v>158351000</v>
      </c>
      <c r="D34" s="1952">
        <v>159436000</v>
      </c>
      <c r="E34" s="1952">
        <v>160957000</v>
      </c>
      <c r="F34" s="1952">
        <v>161086000</v>
      </c>
      <c r="G34" s="1952">
        <v>161291000</v>
      </c>
      <c r="H34" s="1952">
        <v>162474000</v>
      </c>
      <c r="I34" s="1952">
        <v>167196000</v>
      </c>
      <c r="J34" s="1952">
        <v>167924000</v>
      </c>
      <c r="K34" s="1952">
        <v>224434000</v>
      </c>
      <c r="L34" s="1952">
        <v>225578000</v>
      </c>
      <c r="M34" s="1952">
        <v>227077000</v>
      </c>
      <c r="N34" s="1952">
        <v>273473000</v>
      </c>
      <c r="O34" s="1745">
        <f t="shared" si="0"/>
        <v>185134461.53846154</v>
      </c>
      <c r="P34" s="97"/>
    </row>
    <row r="35" spans="1:16">
      <c r="A35" s="213" t="s">
        <v>1155</v>
      </c>
      <c r="B35" s="1952">
        <v>159576000</v>
      </c>
      <c r="C35" s="1952">
        <v>159527000</v>
      </c>
      <c r="D35" s="1952">
        <v>159478000</v>
      </c>
      <c r="E35" s="1952">
        <v>159258000</v>
      </c>
      <c r="F35" s="1952">
        <v>159135000</v>
      </c>
      <c r="G35" s="1952">
        <v>159135000</v>
      </c>
      <c r="H35" s="1952">
        <v>159135000</v>
      </c>
      <c r="I35" s="1952">
        <v>158689000</v>
      </c>
      <c r="J35" s="1952">
        <v>158204000</v>
      </c>
      <c r="K35" s="1952">
        <v>158204000</v>
      </c>
      <c r="L35" s="1952">
        <v>158116000</v>
      </c>
      <c r="M35" s="1952">
        <v>158051000</v>
      </c>
      <c r="N35" s="1952">
        <v>158051000</v>
      </c>
      <c r="O35" s="1745">
        <f t="shared" si="0"/>
        <v>158812230.76923078</v>
      </c>
      <c r="P35" s="97"/>
    </row>
    <row r="36" spans="1:16">
      <c r="A36" s="213" t="s">
        <v>1117</v>
      </c>
      <c r="B36" s="1952">
        <v>7369000</v>
      </c>
      <c r="C36" s="1952">
        <v>7369000</v>
      </c>
      <c r="D36" s="1952">
        <v>7369000</v>
      </c>
      <c r="E36" s="1952">
        <v>7369000</v>
      </c>
      <c r="F36" s="1952">
        <v>7369000</v>
      </c>
      <c r="G36" s="1952">
        <v>7369000</v>
      </c>
      <c r="H36" s="1952">
        <v>7369000</v>
      </c>
      <c r="I36" s="1952">
        <v>7369000</v>
      </c>
      <c r="J36" s="1952">
        <v>7369000</v>
      </c>
      <c r="K36" s="1952">
        <v>7369000</v>
      </c>
      <c r="L36" s="1952">
        <v>7369000</v>
      </c>
      <c r="M36" s="1952">
        <v>7369000</v>
      </c>
      <c r="N36" s="1952">
        <v>7369000</v>
      </c>
      <c r="O36" s="1745">
        <f t="shared" si="0"/>
        <v>7369000</v>
      </c>
      <c r="P36" s="97"/>
    </row>
    <row r="37" spans="1:16">
      <c r="A37" s="213" t="s">
        <v>1118</v>
      </c>
      <c r="B37" s="1952">
        <v>214000</v>
      </c>
      <c r="C37" s="1952">
        <v>214000</v>
      </c>
      <c r="D37" s="1952">
        <v>214000</v>
      </c>
      <c r="E37" s="1952">
        <v>214000</v>
      </c>
      <c r="F37" s="1952">
        <v>214000</v>
      </c>
      <c r="G37" s="1952">
        <v>214000</v>
      </c>
      <c r="H37" s="1952">
        <v>214000</v>
      </c>
      <c r="I37" s="1952">
        <v>214000</v>
      </c>
      <c r="J37" s="1952">
        <v>214000</v>
      </c>
      <c r="K37" s="1952">
        <v>214000</v>
      </c>
      <c r="L37" s="1952">
        <v>214000</v>
      </c>
      <c r="M37" s="1952">
        <v>214000</v>
      </c>
      <c r="N37" s="1952">
        <v>214000</v>
      </c>
      <c r="O37" s="1745">
        <f t="shared" si="0"/>
        <v>214000</v>
      </c>
      <c r="P37" s="97"/>
    </row>
    <row r="38" spans="1:16">
      <c r="A38" s="213" t="s">
        <v>511</v>
      </c>
      <c r="B38" s="1952">
        <v>12701000</v>
      </c>
      <c r="C38" s="1952">
        <v>12701000</v>
      </c>
      <c r="D38" s="1952">
        <v>12701000</v>
      </c>
      <c r="E38" s="1952">
        <v>12701000</v>
      </c>
      <c r="F38" s="1952">
        <v>12701000</v>
      </c>
      <c r="G38" s="1952">
        <v>12701000</v>
      </c>
      <c r="H38" s="1952">
        <v>12701000</v>
      </c>
      <c r="I38" s="1952">
        <v>12701000</v>
      </c>
      <c r="J38" s="1952">
        <v>12701000</v>
      </c>
      <c r="K38" s="1952">
        <v>12701000</v>
      </c>
      <c r="L38" s="1952">
        <v>12701000</v>
      </c>
      <c r="M38" s="1952">
        <v>12701000</v>
      </c>
      <c r="N38" s="1952">
        <v>12701000</v>
      </c>
      <c r="O38" s="1745">
        <f t="shared" si="0"/>
        <v>12701000</v>
      </c>
      <c r="P38" s="97"/>
    </row>
    <row r="39" spans="1:16">
      <c r="A39" s="213" t="s">
        <v>1119</v>
      </c>
      <c r="B39" s="1952">
        <v>536000</v>
      </c>
      <c r="C39" s="1952">
        <v>536000</v>
      </c>
      <c r="D39" s="1952">
        <v>536000</v>
      </c>
      <c r="E39" s="1952">
        <v>536000</v>
      </c>
      <c r="F39" s="1952">
        <v>536000</v>
      </c>
      <c r="G39" s="1952">
        <v>536000</v>
      </c>
      <c r="H39" s="1952">
        <v>536000</v>
      </c>
      <c r="I39" s="1952">
        <v>536000</v>
      </c>
      <c r="J39" s="1952">
        <v>536000</v>
      </c>
      <c r="K39" s="1952">
        <v>536000</v>
      </c>
      <c r="L39" s="1952">
        <v>536000</v>
      </c>
      <c r="M39" s="1952">
        <v>536000</v>
      </c>
      <c r="N39" s="1952">
        <v>536000</v>
      </c>
      <c r="O39" s="1745">
        <f t="shared" si="0"/>
        <v>536000</v>
      </c>
      <c r="P39" s="97"/>
    </row>
    <row r="40" spans="1:16">
      <c r="A40" s="213" t="s">
        <v>512</v>
      </c>
      <c r="B40" s="1952">
        <v>5181000</v>
      </c>
      <c r="C40" s="1952">
        <v>5181000</v>
      </c>
      <c r="D40" s="1952">
        <v>5181000</v>
      </c>
      <c r="E40" s="1952">
        <v>5181000</v>
      </c>
      <c r="F40" s="1952">
        <v>5181000</v>
      </c>
      <c r="G40" s="1952">
        <v>5181000</v>
      </c>
      <c r="H40" s="1952">
        <v>5181000</v>
      </c>
      <c r="I40" s="1952">
        <v>5181000</v>
      </c>
      <c r="J40" s="1952">
        <v>5181000</v>
      </c>
      <c r="K40" s="1952">
        <v>5181000</v>
      </c>
      <c r="L40" s="1952">
        <v>5181000</v>
      </c>
      <c r="M40" s="1952">
        <v>5181000</v>
      </c>
      <c r="N40" s="1952">
        <v>5181000</v>
      </c>
      <c r="O40" s="1745">
        <f t="shared" si="0"/>
        <v>5181000</v>
      </c>
      <c r="P40" s="97"/>
    </row>
    <row r="41" spans="1:16">
      <c r="A41" s="213" t="s">
        <v>513</v>
      </c>
      <c r="B41" s="1952">
        <v>70933000</v>
      </c>
      <c r="C41" s="1952">
        <v>70933000</v>
      </c>
      <c r="D41" s="1952">
        <v>70946000</v>
      </c>
      <c r="E41" s="1952">
        <v>70947000</v>
      </c>
      <c r="F41" s="1952">
        <v>70947000</v>
      </c>
      <c r="G41" s="1952">
        <v>70947000</v>
      </c>
      <c r="H41" s="1952">
        <v>70947000</v>
      </c>
      <c r="I41" s="1952">
        <v>70950000</v>
      </c>
      <c r="J41" s="1952">
        <v>70958000</v>
      </c>
      <c r="K41" s="1952">
        <v>70962000</v>
      </c>
      <c r="L41" s="1952">
        <v>101522000</v>
      </c>
      <c r="M41" s="1952">
        <v>101517000</v>
      </c>
      <c r="N41" s="1952">
        <v>101517000</v>
      </c>
      <c r="O41" s="1745">
        <f t="shared" si="0"/>
        <v>78002000</v>
      </c>
      <c r="P41" s="97"/>
    </row>
    <row r="42" spans="1:16">
      <c r="A42" s="213" t="s">
        <v>429</v>
      </c>
      <c r="B42" s="1952">
        <v>51805000</v>
      </c>
      <c r="C42" s="1952">
        <v>51791000</v>
      </c>
      <c r="D42" s="1952">
        <v>51771000</v>
      </c>
      <c r="E42" s="1952">
        <v>51103000</v>
      </c>
      <c r="F42" s="1952">
        <v>51114000</v>
      </c>
      <c r="G42" s="1952">
        <v>51130000</v>
      </c>
      <c r="H42" s="1952">
        <v>51283000</v>
      </c>
      <c r="I42" s="1952">
        <v>51375000</v>
      </c>
      <c r="J42" s="1952">
        <v>51384000</v>
      </c>
      <c r="K42" s="1952">
        <v>90926000</v>
      </c>
      <c r="L42" s="1952">
        <v>91104000</v>
      </c>
      <c r="M42" s="1952">
        <v>91374000</v>
      </c>
      <c r="N42" s="1952">
        <v>95577000</v>
      </c>
      <c r="O42" s="1745">
        <f t="shared" si="0"/>
        <v>63979769.230769232</v>
      </c>
      <c r="P42" s="97"/>
    </row>
    <row r="43" spans="1:16">
      <c r="A43" s="213" t="s">
        <v>1120</v>
      </c>
      <c r="B43" s="1952">
        <v>6094000</v>
      </c>
      <c r="C43" s="1952">
        <v>6094000</v>
      </c>
      <c r="D43" s="1952">
        <v>6094000</v>
      </c>
      <c r="E43" s="1952">
        <v>6094000</v>
      </c>
      <c r="F43" s="1952">
        <v>6094000</v>
      </c>
      <c r="G43" s="1952">
        <v>6094000</v>
      </c>
      <c r="H43" s="1952">
        <v>6094000</v>
      </c>
      <c r="I43" s="1952">
        <v>6094000</v>
      </c>
      <c r="J43" s="1952">
        <v>6094000</v>
      </c>
      <c r="K43" s="1952">
        <v>6094000</v>
      </c>
      <c r="L43" s="1952">
        <v>6094000</v>
      </c>
      <c r="M43" s="1952">
        <v>6094000</v>
      </c>
      <c r="N43" s="1952">
        <v>6094000</v>
      </c>
      <c r="O43" s="1745">
        <f t="shared" si="0"/>
        <v>6094000</v>
      </c>
      <c r="P43" s="97"/>
    </row>
    <row r="44" spans="1:16">
      <c r="A44" s="213" t="s">
        <v>1121</v>
      </c>
      <c r="B44" s="1952">
        <v>683000</v>
      </c>
      <c r="C44" s="1952">
        <v>683000</v>
      </c>
      <c r="D44" s="1952">
        <v>683000</v>
      </c>
      <c r="E44" s="1952">
        <v>683000</v>
      </c>
      <c r="F44" s="1952">
        <v>683000</v>
      </c>
      <c r="G44" s="1952">
        <v>683000</v>
      </c>
      <c r="H44" s="1952">
        <v>683000</v>
      </c>
      <c r="I44" s="1952">
        <v>683000</v>
      </c>
      <c r="J44" s="1952">
        <v>683000</v>
      </c>
      <c r="K44" s="1952">
        <v>683000</v>
      </c>
      <c r="L44" s="1952">
        <v>683000</v>
      </c>
      <c r="M44" s="1952">
        <v>683000</v>
      </c>
      <c r="N44" s="1952">
        <v>683000</v>
      </c>
      <c r="O44" s="1745">
        <f t="shared" si="0"/>
        <v>683000</v>
      </c>
      <c r="P44" s="97"/>
    </row>
    <row r="45" spans="1:16">
      <c r="A45" s="213" t="s">
        <v>514</v>
      </c>
      <c r="B45" s="1952">
        <v>125704000</v>
      </c>
      <c r="C45" s="1952">
        <v>125704000</v>
      </c>
      <c r="D45" s="1952">
        <v>125699000</v>
      </c>
      <c r="E45" s="1952">
        <v>125699000</v>
      </c>
      <c r="F45" s="1952">
        <v>125700000</v>
      </c>
      <c r="G45" s="1952">
        <v>125700000</v>
      </c>
      <c r="H45" s="1952">
        <v>125700000</v>
      </c>
      <c r="I45" s="1952">
        <v>125681000</v>
      </c>
      <c r="J45" s="1952">
        <v>125681000</v>
      </c>
      <c r="K45" s="1952">
        <v>125681000</v>
      </c>
      <c r="L45" s="1952">
        <v>125606000</v>
      </c>
      <c r="M45" s="1952">
        <v>125606000</v>
      </c>
      <c r="N45" s="1952">
        <v>125606000</v>
      </c>
      <c r="O45" s="1745">
        <f t="shared" si="0"/>
        <v>125674384.61538461</v>
      </c>
      <c r="P45" s="97"/>
    </row>
    <row r="46" spans="1:16">
      <c r="A46" s="213" t="s">
        <v>531</v>
      </c>
      <c r="B46" s="1952">
        <v>701000</v>
      </c>
      <c r="C46" s="1952">
        <v>701000</v>
      </c>
      <c r="D46" s="1952">
        <v>701000</v>
      </c>
      <c r="E46" s="1952">
        <v>701000</v>
      </c>
      <c r="F46" s="1952">
        <v>701000</v>
      </c>
      <c r="G46" s="1952">
        <v>701000</v>
      </c>
      <c r="H46" s="1952">
        <v>701000</v>
      </c>
      <c r="I46" s="1952">
        <v>701000</v>
      </c>
      <c r="J46" s="1952">
        <v>701000</v>
      </c>
      <c r="K46" s="1952">
        <v>701000</v>
      </c>
      <c r="L46" s="1952">
        <v>701000</v>
      </c>
      <c r="M46" s="1952">
        <v>701000</v>
      </c>
      <c r="N46" s="1952">
        <v>701000</v>
      </c>
      <c r="O46" s="1745">
        <f t="shared" si="0"/>
        <v>701000</v>
      </c>
      <c r="P46" s="97"/>
    </row>
    <row r="47" spans="1:16">
      <c r="A47" s="213" t="s">
        <v>532</v>
      </c>
      <c r="B47" s="1952">
        <v>2933000</v>
      </c>
      <c r="C47" s="1952">
        <v>2933000</v>
      </c>
      <c r="D47" s="1952">
        <v>2933000</v>
      </c>
      <c r="E47" s="1952">
        <v>2933000</v>
      </c>
      <c r="F47" s="1952">
        <v>2933000</v>
      </c>
      <c r="G47" s="1952">
        <v>2933000</v>
      </c>
      <c r="H47" s="1952">
        <v>2933000</v>
      </c>
      <c r="I47" s="1952">
        <v>2933000</v>
      </c>
      <c r="J47" s="1952">
        <v>2933000</v>
      </c>
      <c r="K47" s="1952">
        <v>2933000</v>
      </c>
      <c r="L47" s="1952">
        <v>2933000</v>
      </c>
      <c r="M47" s="1952">
        <v>2933000</v>
      </c>
      <c r="N47" s="1952">
        <v>2933000</v>
      </c>
      <c r="O47" s="1745">
        <f t="shared" si="0"/>
        <v>2933000</v>
      </c>
      <c r="P47" s="97"/>
    </row>
    <row r="48" spans="1:16">
      <c r="A48" s="213" t="s">
        <v>533</v>
      </c>
      <c r="B48" s="1952">
        <v>820000</v>
      </c>
      <c r="C48" s="1952">
        <v>820000</v>
      </c>
      <c r="D48" s="1952">
        <v>820000</v>
      </c>
      <c r="E48" s="1952">
        <v>820000</v>
      </c>
      <c r="F48" s="1952">
        <v>820000</v>
      </c>
      <c r="G48" s="1952">
        <v>820000</v>
      </c>
      <c r="H48" s="1952">
        <v>820000</v>
      </c>
      <c r="I48" s="1952">
        <v>820000</v>
      </c>
      <c r="J48" s="1952">
        <v>820000</v>
      </c>
      <c r="K48" s="1952">
        <v>820000</v>
      </c>
      <c r="L48" s="1952">
        <v>820000</v>
      </c>
      <c r="M48" s="1952">
        <v>820000</v>
      </c>
      <c r="N48" s="1952">
        <v>820000</v>
      </c>
      <c r="O48" s="1745">
        <f t="shared" si="0"/>
        <v>820000</v>
      </c>
      <c r="P48" s="97"/>
    </row>
    <row r="49" spans="1:16">
      <c r="A49" s="213" t="s">
        <v>537</v>
      </c>
      <c r="B49" s="1952">
        <v>568000</v>
      </c>
      <c r="C49" s="1952">
        <v>568000</v>
      </c>
      <c r="D49" s="1952">
        <v>568000</v>
      </c>
      <c r="E49" s="1952">
        <v>568000</v>
      </c>
      <c r="F49" s="1952">
        <v>568000</v>
      </c>
      <c r="G49" s="1952">
        <v>568000</v>
      </c>
      <c r="H49" s="1952">
        <v>568000</v>
      </c>
      <c r="I49" s="1952">
        <v>568000</v>
      </c>
      <c r="J49" s="1952">
        <v>568000</v>
      </c>
      <c r="K49" s="1952">
        <v>568000</v>
      </c>
      <c r="L49" s="1952">
        <v>568000</v>
      </c>
      <c r="M49" s="1952">
        <v>568000</v>
      </c>
      <c r="N49" s="1952">
        <v>568000</v>
      </c>
      <c r="O49" s="1745">
        <f t="shared" si="0"/>
        <v>568000</v>
      </c>
      <c r="P49" s="97"/>
    </row>
    <row r="50" spans="1:16">
      <c r="A50" s="1334" t="s">
        <v>1151</v>
      </c>
      <c r="B50" s="836">
        <f t="shared" ref="B50:O50" si="1">SUM(B6:B49)</f>
        <v>1325908000</v>
      </c>
      <c r="C50" s="836">
        <f t="shared" si="1"/>
        <v>1327872000</v>
      </c>
      <c r="D50" s="836">
        <f t="shared" si="1"/>
        <v>1330670000</v>
      </c>
      <c r="E50" s="836">
        <f t="shared" si="1"/>
        <v>1332579000</v>
      </c>
      <c r="F50" s="836">
        <f t="shared" si="1"/>
        <v>1333632000</v>
      </c>
      <c r="G50" s="836">
        <f t="shared" si="1"/>
        <v>1334518000</v>
      </c>
      <c r="H50" s="836">
        <f t="shared" si="1"/>
        <v>1336753000</v>
      </c>
      <c r="I50" s="836">
        <f t="shared" si="1"/>
        <v>1349574000</v>
      </c>
      <c r="J50" s="836">
        <f t="shared" si="1"/>
        <v>1349700000</v>
      </c>
      <c r="K50" s="836">
        <f t="shared" si="1"/>
        <v>1490355000</v>
      </c>
      <c r="L50" s="836">
        <f t="shared" si="1"/>
        <v>1552800000</v>
      </c>
      <c r="M50" s="836">
        <f t="shared" si="1"/>
        <v>1560651000</v>
      </c>
      <c r="N50" s="836">
        <f t="shared" si="1"/>
        <v>1618606000</v>
      </c>
      <c r="O50" s="836">
        <f t="shared" si="1"/>
        <v>1403355230.7692308</v>
      </c>
      <c r="P50" s="97"/>
    </row>
    <row r="51" spans="1:16">
      <c r="A51" s="632"/>
      <c r="B51" s="374"/>
      <c r="C51" s="374"/>
      <c r="D51" s="374"/>
      <c r="E51" s="374"/>
      <c r="F51" s="374"/>
      <c r="G51" s="374"/>
      <c r="H51" s="374"/>
      <c r="I51" s="374"/>
      <c r="J51" s="374"/>
      <c r="K51" s="374"/>
      <c r="L51" s="374"/>
      <c r="M51" s="374"/>
      <c r="N51" s="374"/>
      <c r="O51" s="374"/>
      <c r="P51" s="97"/>
    </row>
    <row r="52" spans="1:16">
      <c r="A52" s="1810" t="s">
        <v>1172</v>
      </c>
      <c r="B52" s="836">
        <v>3234000</v>
      </c>
      <c r="C52" s="836">
        <v>3234000</v>
      </c>
      <c r="D52" s="836">
        <v>3234000</v>
      </c>
      <c r="E52" s="836">
        <v>3234000</v>
      </c>
      <c r="F52" s="836">
        <v>3234000</v>
      </c>
      <c r="G52" s="836">
        <v>3234000</v>
      </c>
      <c r="H52" s="836">
        <v>3234000</v>
      </c>
      <c r="I52" s="836">
        <v>3234000</v>
      </c>
      <c r="J52" s="836">
        <v>3234000</v>
      </c>
      <c r="K52" s="836">
        <v>3234000</v>
      </c>
      <c r="L52" s="836">
        <v>3234000</v>
      </c>
      <c r="M52" s="836">
        <v>3234000</v>
      </c>
      <c r="N52" s="836">
        <v>1971000</v>
      </c>
      <c r="O52" s="836">
        <f>AVERAGE(B52:N52)</f>
        <v>3136846.153846154</v>
      </c>
      <c r="P52" s="97"/>
    </row>
    <row r="53" spans="1:16">
      <c r="A53" s="104"/>
      <c r="B53" s="1809"/>
      <c r="C53" s="1809"/>
      <c r="D53" s="1809"/>
      <c r="E53" s="1809"/>
      <c r="F53" s="1809"/>
      <c r="G53" s="1809"/>
      <c r="H53" s="1809"/>
      <c r="I53" s="1809"/>
      <c r="J53" s="1809"/>
      <c r="K53" s="1809"/>
      <c r="L53" s="1809"/>
      <c r="M53" s="1809"/>
      <c r="N53" s="1809"/>
      <c r="O53" s="1745"/>
      <c r="P53" s="97"/>
    </row>
    <row r="54" spans="1:16">
      <c r="A54" t="s">
        <v>1156</v>
      </c>
      <c r="B54" s="184">
        <v>10000</v>
      </c>
      <c r="C54" s="184">
        <v>10000</v>
      </c>
      <c r="D54" s="184">
        <v>10000</v>
      </c>
      <c r="E54" s="184">
        <v>10000</v>
      </c>
      <c r="F54" s="184">
        <v>10000</v>
      </c>
      <c r="G54" s="184">
        <v>10000</v>
      </c>
      <c r="H54" s="184">
        <v>10000</v>
      </c>
      <c r="I54" s="184">
        <v>10000</v>
      </c>
      <c r="J54" s="184">
        <v>10000</v>
      </c>
      <c r="K54" s="184">
        <v>10000</v>
      </c>
      <c r="L54" s="184">
        <v>10000</v>
      </c>
      <c r="M54" s="184">
        <v>10000</v>
      </c>
      <c r="N54" s="184">
        <v>10000</v>
      </c>
      <c r="O54" s="1745">
        <f t="shared" ref="O54:O64" si="2">AVERAGE(B54:N54)</f>
        <v>10000</v>
      </c>
      <c r="P54" s="97"/>
    </row>
    <row r="55" spans="1:16">
      <c r="A55" t="s">
        <v>1176</v>
      </c>
      <c r="B55" s="184">
        <v>682000</v>
      </c>
      <c r="C55" s="184">
        <v>682000</v>
      </c>
      <c r="D55" s="184">
        <v>682000</v>
      </c>
      <c r="E55" s="184">
        <v>682000</v>
      </c>
      <c r="F55" s="184">
        <v>682000</v>
      </c>
      <c r="G55" s="184">
        <v>682000</v>
      </c>
      <c r="H55" s="184">
        <v>682000</v>
      </c>
      <c r="I55" s="184">
        <v>682000</v>
      </c>
      <c r="J55" s="184">
        <v>682000</v>
      </c>
      <c r="K55" s="184">
        <v>682000</v>
      </c>
      <c r="L55" s="184">
        <v>682000</v>
      </c>
      <c r="M55" s="184">
        <v>682000</v>
      </c>
      <c r="N55" s="184">
        <v>682000</v>
      </c>
      <c r="O55" s="1745">
        <f t="shared" si="2"/>
        <v>682000</v>
      </c>
      <c r="P55" s="97"/>
    </row>
    <row r="56" spans="1:16">
      <c r="A56" t="s">
        <v>1177</v>
      </c>
      <c r="B56" s="184">
        <v>1071000</v>
      </c>
      <c r="C56" s="184">
        <v>1071000</v>
      </c>
      <c r="D56" s="184">
        <v>1071000</v>
      </c>
      <c r="E56" s="184">
        <v>1071000</v>
      </c>
      <c r="F56" s="184">
        <v>1071000</v>
      </c>
      <c r="G56" s="184">
        <v>1071000</v>
      </c>
      <c r="H56" s="184">
        <v>1071000</v>
      </c>
      <c r="I56" s="184">
        <v>1071000</v>
      </c>
      <c r="J56" s="184">
        <v>1071000</v>
      </c>
      <c r="K56" s="184">
        <v>1071000</v>
      </c>
      <c r="L56" s="184">
        <v>1071000</v>
      </c>
      <c r="M56" s="184">
        <v>1071000</v>
      </c>
      <c r="N56" s="184">
        <v>1071000</v>
      </c>
      <c r="O56" s="1745">
        <f t="shared" si="2"/>
        <v>1071000</v>
      </c>
      <c r="P56" s="97"/>
    </row>
    <row r="57" spans="1:16">
      <c r="A57" t="s">
        <v>490</v>
      </c>
      <c r="B57" s="184">
        <v>425000</v>
      </c>
      <c r="C57" s="184">
        <v>425000</v>
      </c>
      <c r="D57" s="184">
        <v>425000</v>
      </c>
      <c r="E57" s="184">
        <v>425000</v>
      </c>
      <c r="F57" s="184">
        <v>425000</v>
      </c>
      <c r="G57" s="184">
        <v>425000</v>
      </c>
      <c r="H57" s="184">
        <v>425000</v>
      </c>
      <c r="I57" s="184">
        <v>425000</v>
      </c>
      <c r="J57" s="184">
        <v>425000</v>
      </c>
      <c r="K57" s="184">
        <v>425000</v>
      </c>
      <c r="L57" s="184">
        <v>425000</v>
      </c>
      <c r="M57" s="184">
        <v>425000</v>
      </c>
      <c r="N57" s="184">
        <v>425000</v>
      </c>
      <c r="O57" s="1745">
        <f t="shared" si="2"/>
        <v>425000</v>
      </c>
      <c r="P57" s="97"/>
    </row>
    <row r="58" spans="1:16">
      <c r="A58" t="s">
        <v>1148</v>
      </c>
      <c r="B58" s="184">
        <v>26796000</v>
      </c>
      <c r="C58" s="184">
        <v>26830000</v>
      </c>
      <c r="D58" s="184">
        <v>26830000</v>
      </c>
      <c r="E58" s="184">
        <v>26830000</v>
      </c>
      <c r="F58" s="184">
        <v>26830000</v>
      </c>
      <c r="G58" s="184">
        <v>26830000</v>
      </c>
      <c r="H58" s="184">
        <v>26830000</v>
      </c>
      <c r="I58" s="184">
        <v>26830000</v>
      </c>
      <c r="J58" s="184">
        <v>26830000</v>
      </c>
      <c r="K58" s="184">
        <v>26830000</v>
      </c>
      <c r="L58" s="184">
        <v>26830000</v>
      </c>
      <c r="M58" s="184">
        <v>26830000</v>
      </c>
      <c r="N58" s="184">
        <v>25884000</v>
      </c>
      <c r="O58" s="1745">
        <f t="shared" si="2"/>
        <v>26754615.384615384</v>
      </c>
      <c r="P58" s="97"/>
    </row>
    <row r="59" spans="1:16">
      <c r="A59" t="s">
        <v>500</v>
      </c>
      <c r="B59" s="184">
        <v>14486000</v>
      </c>
      <c r="C59" s="184">
        <v>14486000</v>
      </c>
      <c r="D59" s="184">
        <v>14486000</v>
      </c>
      <c r="E59" s="184">
        <v>14486000</v>
      </c>
      <c r="F59" s="184">
        <v>14486000</v>
      </c>
      <c r="G59" s="184">
        <v>14486000</v>
      </c>
      <c r="H59" s="184">
        <v>14486000</v>
      </c>
      <c r="I59" s="184">
        <v>14486000</v>
      </c>
      <c r="J59" s="184">
        <v>14486000</v>
      </c>
      <c r="K59" s="184">
        <v>14486000</v>
      </c>
      <c r="L59" s="184">
        <v>14486000</v>
      </c>
      <c r="M59" s="184">
        <v>14486000</v>
      </c>
      <c r="N59" s="184">
        <v>14486000</v>
      </c>
      <c r="O59" s="1745">
        <f t="shared" si="2"/>
        <v>14486000</v>
      </c>
      <c r="P59" s="97"/>
    </row>
    <row r="60" spans="1:16">
      <c r="A60" t="s">
        <v>501</v>
      </c>
      <c r="B60" s="184">
        <v>20589000</v>
      </c>
      <c r="C60" s="184">
        <v>20589000</v>
      </c>
      <c r="D60" s="184">
        <v>20589000</v>
      </c>
      <c r="E60" s="184">
        <v>20589000</v>
      </c>
      <c r="F60" s="184">
        <v>20589000</v>
      </c>
      <c r="G60" s="184">
        <v>20589000</v>
      </c>
      <c r="H60" s="184">
        <v>20589000</v>
      </c>
      <c r="I60" s="184">
        <v>20589000</v>
      </c>
      <c r="J60" s="184">
        <v>20589000</v>
      </c>
      <c r="K60" s="184">
        <v>20589000</v>
      </c>
      <c r="L60" s="184">
        <v>20589000</v>
      </c>
      <c r="M60" s="184">
        <v>20589000</v>
      </c>
      <c r="N60" s="184">
        <v>20565000</v>
      </c>
      <c r="O60" s="1745">
        <f t="shared" si="2"/>
        <v>20587153.846153848</v>
      </c>
      <c r="P60" s="97"/>
    </row>
    <row r="61" spans="1:16">
      <c r="A61" t="s">
        <v>509</v>
      </c>
      <c r="B61" s="184">
        <v>12904000</v>
      </c>
      <c r="C61" s="184">
        <v>12904000</v>
      </c>
      <c r="D61" s="184">
        <v>12904000</v>
      </c>
      <c r="E61" s="184">
        <v>12904000</v>
      </c>
      <c r="F61" s="184">
        <v>12904000</v>
      </c>
      <c r="G61" s="184">
        <v>12904000</v>
      </c>
      <c r="H61" s="184">
        <v>12904000</v>
      </c>
      <c r="I61" s="184">
        <v>12904000</v>
      </c>
      <c r="J61" s="184">
        <v>12904000</v>
      </c>
      <c r="K61" s="184">
        <v>12904000</v>
      </c>
      <c r="L61" s="184">
        <v>12904000</v>
      </c>
      <c r="M61" s="184">
        <v>12904000</v>
      </c>
      <c r="N61" s="184">
        <v>12904000</v>
      </c>
      <c r="O61" s="1745">
        <f t="shared" si="2"/>
        <v>12904000</v>
      </c>
      <c r="P61" s="97"/>
    </row>
    <row r="62" spans="1:16">
      <c r="A62" t="s">
        <v>510</v>
      </c>
      <c r="B62" s="184">
        <v>19732000</v>
      </c>
      <c r="C62" s="184">
        <v>19732000</v>
      </c>
      <c r="D62" s="184">
        <v>19732000</v>
      </c>
      <c r="E62" s="184">
        <v>19732000</v>
      </c>
      <c r="F62" s="184">
        <v>19732000</v>
      </c>
      <c r="G62" s="184">
        <v>19732000</v>
      </c>
      <c r="H62" s="184">
        <v>19732000</v>
      </c>
      <c r="I62" s="184">
        <v>19732000</v>
      </c>
      <c r="J62" s="184">
        <v>19732000</v>
      </c>
      <c r="K62" s="184">
        <v>19732000</v>
      </c>
      <c r="L62" s="184">
        <v>19732000</v>
      </c>
      <c r="M62" s="184">
        <v>19732000</v>
      </c>
      <c r="N62" s="184">
        <v>19732000</v>
      </c>
      <c r="O62" s="1745">
        <f t="shared" si="2"/>
        <v>19732000</v>
      </c>
      <c r="P62" s="97"/>
    </row>
    <row r="63" spans="1:16">
      <c r="A63" t="s">
        <v>535</v>
      </c>
      <c r="B63" s="184">
        <v>114000</v>
      </c>
      <c r="C63" s="184">
        <v>114000</v>
      </c>
      <c r="D63" s="184">
        <v>114000</v>
      </c>
      <c r="E63" s="184">
        <v>114000</v>
      </c>
      <c r="F63" s="184">
        <v>114000</v>
      </c>
      <c r="G63" s="184">
        <v>114000</v>
      </c>
      <c r="H63" s="184">
        <v>114000</v>
      </c>
      <c r="I63" s="184">
        <v>114000</v>
      </c>
      <c r="J63" s="184">
        <v>114000</v>
      </c>
      <c r="K63" s="184">
        <v>114000</v>
      </c>
      <c r="L63" s="184">
        <v>114000</v>
      </c>
      <c r="M63" s="184">
        <v>114000</v>
      </c>
      <c r="N63" s="184">
        <v>114000</v>
      </c>
      <c r="O63" s="1745">
        <f t="shared" si="2"/>
        <v>114000</v>
      </c>
      <c r="P63" s="97"/>
    </row>
    <row r="64" spans="1:16">
      <c r="A64" t="s">
        <v>536</v>
      </c>
      <c r="B64" s="184">
        <v>331000</v>
      </c>
      <c r="C64" s="184">
        <v>331000</v>
      </c>
      <c r="D64" s="184">
        <v>331000</v>
      </c>
      <c r="E64" s="184">
        <v>331000</v>
      </c>
      <c r="F64" s="184">
        <v>331000</v>
      </c>
      <c r="G64" s="184">
        <v>331000</v>
      </c>
      <c r="H64" s="184">
        <v>331000</v>
      </c>
      <c r="I64" s="184">
        <v>331000</v>
      </c>
      <c r="J64" s="184">
        <v>331000</v>
      </c>
      <c r="K64" s="184">
        <v>331000</v>
      </c>
      <c r="L64" s="184">
        <v>331000</v>
      </c>
      <c r="M64" s="184">
        <v>331000</v>
      </c>
      <c r="N64" s="184">
        <v>331000</v>
      </c>
      <c r="O64" s="1745">
        <f t="shared" si="2"/>
        <v>331000</v>
      </c>
      <c r="P64" s="97"/>
    </row>
    <row r="65" spans="1:16">
      <c r="A65" s="1810" t="s">
        <v>1157</v>
      </c>
      <c r="B65" s="836">
        <f>SUM(B54:B64)</f>
        <v>97140000</v>
      </c>
      <c r="C65" s="836">
        <f t="shared" ref="C65:N65" si="3">SUM(C54:C64)</f>
        <v>97174000</v>
      </c>
      <c r="D65" s="836">
        <f t="shared" si="3"/>
        <v>97174000</v>
      </c>
      <c r="E65" s="836">
        <f t="shared" si="3"/>
        <v>97174000</v>
      </c>
      <c r="F65" s="836">
        <f t="shared" si="3"/>
        <v>97174000</v>
      </c>
      <c r="G65" s="836">
        <f t="shared" si="3"/>
        <v>97174000</v>
      </c>
      <c r="H65" s="836">
        <f t="shared" si="3"/>
        <v>97174000</v>
      </c>
      <c r="I65" s="836">
        <f t="shared" si="3"/>
        <v>97174000</v>
      </c>
      <c r="J65" s="836">
        <f t="shared" si="3"/>
        <v>97174000</v>
      </c>
      <c r="K65" s="836">
        <f t="shared" si="3"/>
        <v>97174000</v>
      </c>
      <c r="L65" s="836">
        <f t="shared" si="3"/>
        <v>97174000</v>
      </c>
      <c r="M65" s="836">
        <f t="shared" si="3"/>
        <v>97174000</v>
      </c>
      <c r="N65" s="836">
        <f t="shared" si="3"/>
        <v>96204000</v>
      </c>
      <c r="O65" s="836">
        <f>SUM(O54:O64)</f>
        <v>97096769.230769232</v>
      </c>
      <c r="P65" s="97"/>
    </row>
    <row r="66" spans="1:16">
      <c r="A66" s="97"/>
      <c r="B66" s="1807"/>
      <c r="C66" s="1807"/>
      <c r="D66" s="1807"/>
      <c r="E66" s="1807"/>
      <c r="F66" s="1807"/>
      <c r="G66" s="1807"/>
      <c r="H66" s="1807"/>
      <c r="I66" s="1807"/>
      <c r="J66" s="1807"/>
      <c r="K66" s="1807"/>
      <c r="L66" s="1807"/>
      <c r="M66" s="1807"/>
      <c r="N66" s="1807"/>
      <c r="O66" s="1745"/>
      <c r="P66" s="97"/>
    </row>
    <row r="67" spans="1:16">
      <c r="A67" s="104"/>
      <c r="B67" s="1809"/>
      <c r="C67" s="1809"/>
      <c r="D67" s="1809"/>
      <c r="E67" s="1809"/>
      <c r="F67" s="1809"/>
      <c r="G67" s="1809"/>
      <c r="H67" s="1809"/>
      <c r="I67" s="1809"/>
      <c r="J67" s="1809"/>
      <c r="K67" s="1809"/>
      <c r="L67" s="1809"/>
      <c r="M67" s="1809"/>
      <c r="N67" s="1809"/>
      <c r="O67" s="1745"/>
      <c r="P67" s="97"/>
    </row>
    <row r="68" spans="1:16">
      <c r="A68" t="s">
        <v>1158</v>
      </c>
      <c r="B68" s="184">
        <v>1781000</v>
      </c>
      <c r="C68" s="184">
        <v>1781000</v>
      </c>
      <c r="D68" s="184">
        <v>1781000</v>
      </c>
      <c r="E68" s="184">
        <v>1781000</v>
      </c>
      <c r="F68" s="184">
        <v>1781000</v>
      </c>
      <c r="G68" s="184">
        <v>1781000</v>
      </c>
      <c r="H68" s="184">
        <v>1781000</v>
      </c>
      <c r="I68" s="184">
        <v>1781000</v>
      </c>
      <c r="J68" s="184">
        <v>1781000</v>
      </c>
      <c r="K68" s="184">
        <v>1781000</v>
      </c>
      <c r="L68" s="184">
        <v>1781000</v>
      </c>
      <c r="M68" s="184">
        <v>1781000</v>
      </c>
      <c r="N68" s="184">
        <v>1781000</v>
      </c>
      <c r="O68" s="1745">
        <f t="shared" ref="O68:O74" si="4">AVERAGE(B68:N68)</f>
        <v>1781000</v>
      </c>
      <c r="P68" s="97"/>
    </row>
    <row r="69" spans="1:16">
      <c r="A69" t="s">
        <v>489</v>
      </c>
      <c r="B69" s="184">
        <v>1276000</v>
      </c>
      <c r="C69" s="184">
        <v>1276000</v>
      </c>
      <c r="D69" s="184">
        <v>1276000</v>
      </c>
      <c r="E69" s="184">
        <v>1276000</v>
      </c>
      <c r="F69" s="184">
        <v>1276000</v>
      </c>
      <c r="G69" s="184">
        <v>1276000</v>
      </c>
      <c r="H69" s="184">
        <v>1276000</v>
      </c>
      <c r="I69" s="184">
        <v>1276000</v>
      </c>
      <c r="J69" s="184">
        <v>1276000</v>
      </c>
      <c r="K69" s="184">
        <v>1276000</v>
      </c>
      <c r="L69" s="184">
        <v>1276000</v>
      </c>
      <c r="M69" s="184">
        <v>1276000</v>
      </c>
      <c r="N69" s="184">
        <v>1276000</v>
      </c>
      <c r="O69" s="1745">
        <f t="shared" si="4"/>
        <v>1276000</v>
      </c>
      <c r="P69" s="97"/>
    </row>
    <row r="70" spans="1:16">
      <c r="A70" t="s">
        <v>493</v>
      </c>
      <c r="B70" s="184">
        <v>43219000</v>
      </c>
      <c r="C70" s="184">
        <v>43219000</v>
      </c>
      <c r="D70" s="184">
        <v>43219000</v>
      </c>
      <c r="E70" s="184">
        <v>43219000</v>
      </c>
      <c r="F70" s="184">
        <v>43219000</v>
      </c>
      <c r="G70" s="184">
        <v>43219000</v>
      </c>
      <c r="H70" s="184">
        <v>43219000</v>
      </c>
      <c r="I70" s="184">
        <v>43219000</v>
      </c>
      <c r="J70" s="184">
        <v>43219000</v>
      </c>
      <c r="K70" s="184">
        <v>43219000</v>
      </c>
      <c r="L70" s="184">
        <v>43219000</v>
      </c>
      <c r="M70" s="184">
        <v>43219000</v>
      </c>
      <c r="N70" s="184">
        <v>43219000</v>
      </c>
      <c r="O70" s="1745">
        <f t="shared" si="4"/>
        <v>43219000</v>
      </c>
      <c r="P70" s="97"/>
    </row>
    <row r="71" spans="1:16">
      <c r="A71" t="s">
        <v>499</v>
      </c>
      <c r="B71" s="184">
        <v>22956000</v>
      </c>
      <c r="C71" s="184">
        <v>22956000</v>
      </c>
      <c r="D71" s="184">
        <v>22956000</v>
      </c>
      <c r="E71" s="184">
        <v>22956000</v>
      </c>
      <c r="F71" s="184">
        <v>22956000</v>
      </c>
      <c r="G71" s="184">
        <v>22956000</v>
      </c>
      <c r="H71" s="184">
        <v>22956000</v>
      </c>
      <c r="I71" s="184">
        <v>22956000</v>
      </c>
      <c r="J71" s="184">
        <v>22956000</v>
      </c>
      <c r="K71" s="184">
        <v>22956000</v>
      </c>
      <c r="L71" s="184">
        <v>22956000</v>
      </c>
      <c r="M71" s="184">
        <v>22956000</v>
      </c>
      <c r="N71" s="184">
        <v>22956000</v>
      </c>
      <c r="O71" s="1745">
        <f t="shared" si="4"/>
        <v>22956000</v>
      </c>
      <c r="P71" s="97"/>
    </row>
    <row r="72" spans="1:16">
      <c r="A72" t="s">
        <v>505</v>
      </c>
      <c r="B72" s="184">
        <v>204000</v>
      </c>
      <c r="C72" s="184">
        <v>204000</v>
      </c>
      <c r="D72" s="184">
        <v>204000</v>
      </c>
      <c r="E72" s="184">
        <v>204000</v>
      </c>
      <c r="F72" s="184">
        <v>204000</v>
      </c>
      <c r="G72" s="184">
        <v>204000</v>
      </c>
      <c r="H72" s="184">
        <v>204000</v>
      </c>
      <c r="I72" s="184">
        <v>204000</v>
      </c>
      <c r="J72" s="184">
        <v>204000</v>
      </c>
      <c r="K72" s="184">
        <v>204000</v>
      </c>
      <c r="L72" s="184">
        <v>204000</v>
      </c>
      <c r="M72" s="184">
        <v>204000</v>
      </c>
      <c r="N72" s="184">
        <v>204000</v>
      </c>
      <c r="O72" s="1745">
        <f t="shared" si="4"/>
        <v>204000</v>
      </c>
      <c r="P72" s="97"/>
    </row>
    <row r="73" spans="1:16">
      <c r="A73" t="s">
        <v>508</v>
      </c>
      <c r="B73" s="184">
        <v>24709000</v>
      </c>
      <c r="C73" s="184">
        <v>24709000</v>
      </c>
      <c r="D73" s="184">
        <v>24709000</v>
      </c>
      <c r="E73" s="184">
        <v>24709000</v>
      </c>
      <c r="F73" s="184">
        <v>24709000</v>
      </c>
      <c r="G73" s="184">
        <v>24709000</v>
      </c>
      <c r="H73" s="184">
        <v>24709000</v>
      </c>
      <c r="I73" s="184">
        <v>24709000</v>
      </c>
      <c r="J73" s="184">
        <v>24709000</v>
      </c>
      <c r="K73" s="184">
        <v>24709000</v>
      </c>
      <c r="L73" s="184">
        <v>24709000</v>
      </c>
      <c r="M73" s="184">
        <v>24709000</v>
      </c>
      <c r="N73" s="184">
        <v>24709000</v>
      </c>
      <c r="O73" s="1745">
        <f t="shared" si="4"/>
        <v>24709000</v>
      </c>
      <c r="P73" s="97"/>
    </row>
    <row r="74" spans="1:16">
      <c r="A74" t="s">
        <v>534</v>
      </c>
      <c r="B74" s="184">
        <v>653000</v>
      </c>
      <c r="C74" s="184">
        <v>653000</v>
      </c>
      <c r="D74" s="184">
        <v>653000</v>
      </c>
      <c r="E74" s="184">
        <v>653000</v>
      </c>
      <c r="F74" s="184">
        <v>653000</v>
      </c>
      <c r="G74" s="184">
        <v>653000</v>
      </c>
      <c r="H74" s="184">
        <v>653000</v>
      </c>
      <c r="I74" s="184">
        <v>653000</v>
      </c>
      <c r="J74" s="184">
        <v>653000</v>
      </c>
      <c r="K74" s="184">
        <v>653000</v>
      </c>
      <c r="L74" s="184">
        <v>653000</v>
      </c>
      <c r="M74" s="184">
        <v>653000</v>
      </c>
      <c r="N74" s="184">
        <v>653000</v>
      </c>
      <c r="O74" s="1745">
        <f t="shared" si="4"/>
        <v>653000</v>
      </c>
      <c r="P74" s="97"/>
    </row>
    <row r="75" spans="1:16">
      <c r="A75" s="1334" t="s">
        <v>1139</v>
      </c>
      <c r="B75" s="1811">
        <f>SUM(B68:B74)</f>
        <v>94798000</v>
      </c>
      <c r="C75" s="1811">
        <f t="shared" ref="C75:O75" si="5">SUM(C68:C74)</f>
        <v>94798000</v>
      </c>
      <c r="D75" s="1811">
        <f t="shared" si="5"/>
        <v>94798000</v>
      </c>
      <c r="E75" s="1811">
        <f t="shared" si="5"/>
        <v>94798000</v>
      </c>
      <c r="F75" s="1811">
        <f t="shared" si="5"/>
        <v>94798000</v>
      </c>
      <c r="G75" s="1811">
        <f t="shared" si="5"/>
        <v>94798000</v>
      </c>
      <c r="H75" s="1811">
        <f t="shared" si="5"/>
        <v>94798000</v>
      </c>
      <c r="I75" s="1811">
        <f t="shared" si="5"/>
        <v>94798000</v>
      </c>
      <c r="J75" s="1811">
        <f t="shared" si="5"/>
        <v>94798000</v>
      </c>
      <c r="K75" s="1811">
        <f t="shared" si="5"/>
        <v>94798000</v>
      </c>
      <c r="L75" s="1811">
        <f t="shared" si="5"/>
        <v>94798000</v>
      </c>
      <c r="M75" s="1811">
        <f t="shared" si="5"/>
        <v>94798000</v>
      </c>
      <c r="N75" s="1811">
        <f>SUM(N68:N74)</f>
        <v>94798000</v>
      </c>
      <c r="O75" s="1811">
        <f t="shared" si="5"/>
        <v>94798000</v>
      </c>
      <c r="P75" s="97"/>
    </row>
    <row r="76" spans="1:16">
      <c r="A76" s="632"/>
      <c r="B76" s="638"/>
      <c r="C76" s="638"/>
      <c r="D76" s="638"/>
      <c r="E76" s="638"/>
      <c r="F76" s="638"/>
      <c r="G76" s="638"/>
      <c r="H76" s="638"/>
      <c r="I76" s="638"/>
      <c r="J76" s="638"/>
      <c r="K76" s="638"/>
      <c r="L76" s="638"/>
      <c r="M76" s="638"/>
      <c r="N76" s="638"/>
      <c r="O76" s="638"/>
      <c r="P76" s="97"/>
    </row>
    <row r="77" spans="1:16">
      <c r="A77" t="s">
        <v>1034</v>
      </c>
      <c r="B77" s="184">
        <v>2000</v>
      </c>
      <c r="C77" s="184">
        <v>2000</v>
      </c>
      <c r="D77" s="184">
        <v>2000</v>
      </c>
      <c r="E77" s="184">
        <v>2000</v>
      </c>
      <c r="F77" s="184">
        <v>2000</v>
      </c>
      <c r="G77" s="184">
        <v>2000</v>
      </c>
      <c r="H77" s="184">
        <v>2000</v>
      </c>
      <c r="I77" s="184">
        <v>2000</v>
      </c>
      <c r="J77" s="184">
        <v>2000</v>
      </c>
      <c r="K77" s="184">
        <v>2000</v>
      </c>
      <c r="L77" s="184">
        <v>2000</v>
      </c>
      <c r="M77" s="184">
        <v>2000</v>
      </c>
      <c r="N77" s="184">
        <v>2000</v>
      </c>
      <c r="O77" s="1745">
        <f t="shared" ref="O77:O107" si="6">AVERAGE(B77:N77)</f>
        <v>2000</v>
      </c>
      <c r="P77" s="97"/>
    </row>
    <row r="78" spans="1:16">
      <c r="A78" t="s">
        <v>1035</v>
      </c>
      <c r="B78" s="184">
        <v>29000</v>
      </c>
      <c r="C78" s="184">
        <v>29000</v>
      </c>
      <c r="D78" s="184">
        <v>29000</v>
      </c>
      <c r="E78" s="184">
        <v>29000</v>
      </c>
      <c r="F78" s="184">
        <v>29000</v>
      </c>
      <c r="G78" s="184">
        <v>29000</v>
      </c>
      <c r="H78" s="184">
        <v>29000</v>
      </c>
      <c r="I78" s="184">
        <v>29000</v>
      </c>
      <c r="J78" s="184">
        <v>29000</v>
      </c>
      <c r="K78" s="184">
        <v>29000</v>
      </c>
      <c r="L78" s="184">
        <v>29000</v>
      </c>
      <c r="M78" s="184">
        <v>29000</v>
      </c>
      <c r="N78" s="184">
        <v>29000</v>
      </c>
      <c r="O78" s="1745">
        <f t="shared" si="6"/>
        <v>29000</v>
      </c>
      <c r="P78" s="97"/>
    </row>
    <row r="79" spans="1:16">
      <c r="A79" t="s">
        <v>1036</v>
      </c>
      <c r="B79" s="184">
        <v>132000</v>
      </c>
      <c r="C79" s="184">
        <v>132000</v>
      </c>
      <c r="D79" s="184">
        <v>132000</v>
      </c>
      <c r="E79" s="184">
        <v>132000</v>
      </c>
      <c r="F79" s="184">
        <v>132000</v>
      </c>
      <c r="G79" s="184">
        <v>132000</v>
      </c>
      <c r="H79" s="184">
        <v>132000</v>
      </c>
      <c r="I79" s="184">
        <v>132000</v>
      </c>
      <c r="J79" s="184">
        <v>132000</v>
      </c>
      <c r="K79" s="184">
        <v>132000</v>
      </c>
      <c r="L79" s="184">
        <v>132000</v>
      </c>
      <c r="M79" s="184">
        <v>132000</v>
      </c>
      <c r="N79" s="184">
        <v>132000</v>
      </c>
      <c r="O79" s="1745">
        <f t="shared" si="6"/>
        <v>132000</v>
      </c>
      <c r="P79" s="97"/>
    </row>
    <row r="80" spans="1:16">
      <c r="A80" t="s">
        <v>1037</v>
      </c>
      <c r="B80" s="184">
        <v>1000</v>
      </c>
      <c r="C80" s="184">
        <v>1000</v>
      </c>
      <c r="D80" s="184">
        <v>1000</v>
      </c>
      <c r="E80" s="184">
        <v>1000</v>
      </c>
      <c r="F80" s="184">
        <v>1000</v>
      </c>
      <c r="G80" s="184">
        <v>1000</v>
      </c>
      <c r="H80" s="184">
        <v>1000</v>
      </c>
      <c r="I80" s="184">
        <v>1000</v>
      </c>
      <c r="J80" s="184">
        <v>1000</v>
      </c>
      <c r="K80" s="184">
        <v>1000</v>
      </c>
      <c r="L80" s="184">
        <v>1000</v>
      </c>
      <c r="M80" s="184">
        <v>1000</v>
      </c>
      <c r="N80" s="184">
        <v>1000</v>
      </c>
      <c r="O80" s="1745">
        <f t="shared" si="6"/>
        <v>1000</v>
      </c>
      <c r="P80" s="97"/>
    </row>
    <row r="81" spans="1:16">
      <c r="A81" t="s">
        <v>1038</v>
      </c>
      <c r="B81" s="184">
        <v>7000</v>
      </c>
      <c r="C81" s="184">
        <v>7000</v>
      </c>
      <c r="D81" s="184">
        <v>7000</v>
      </c>
      <c r="E81" s="184">
        <v>7000</v>
      </c>
      <c r="F81" s="184">
        <v>7000</v>
      </c>
      <c r="G81" s="184">
        <v>7000</v>
      </c>
      <c r="H81" s="184">
        <v>7000</v>
      </c>
      <c r="I81" s="184">
        <v>7000</v>
      </c>
      <c r="J81" s="184">
        <v>7000</v>
      </c>
      <c r="K81" s="184">
        <v>7000</v>
      </c>
      <c r="L81" s="184">
        <v>7000</v>
      </c>
      <c r="M81" s="184">
        <v>7000</v>
      </c>
      <c r="N81" s="184">
        <v>7000</v>
      </c>
      <c r="O81" s="1745">
        <f t="shared" si="6"/>
        <v>7000</v>
      </c>
      <c r="P81" s="97"/>
    </row>
    <row r="82" spans="1:16">
      <c r="A82" t="s">
        <v>1124</v>
      </c>
      <c r="B82" s="184">
        <v>40000</v>
      </c>
      <c r="C82" s="184">
        <v>40000</v>
      </c>
      <c r="D82" s="184">
        <v>40000</v>
      </c>
      <c r="E82" s="184">
        <v>40000</v>
      </c>
      <c r="F82" s="184">
        <v>40000</v>
      </c>
      <c r="G82" s="184">
        <v>40000</v>
      </c>
      <c r="H82" s="184">
        <v>40000</v>
      </c>
      <c r="I82" s="184">
        <v>40000</v>
      </c>
      <c r="J82" s="184">
        <v>40000</v>
      </c>
      <c r="K82" s="184">
        <v>40000</v>
      </c>
      <c r="L82" s="184">
        <v>40000</v>
      </c>
      <c r="M82" s="184">
        <v>40000</v>
      </c>
      <c r="N82" s="184">
        <v>40000</v>
      </c>
      <c r="O82" s="1745">
        <f t="shared" si="6"/>
        <v>40000</v>
      </c>
      <c r="P82" s="97"/>
    </row>
    <row r="83" spans="1:16">
      <c r="A83" t="s">
        <v>1077</v>
      </c>
      <c r="B83" s="184">
        <v>1684000</v>
      </c>
      <c r="C83" s="184">
        <v>1684000</v>
      </c>
      <c r="D83" s="184">
        <v>1684000</v>
      </c>
      <c r="E83" s="184">
        <v>1684000</v>
      </c>
      <c r="F83" s="184">
        <v>1684000</v>
      </c>
      <c r="G83" s="184">
        <v>1684000</v>
      </c>
      <c r="H83" s="184">
        <v>1684000</v>
      </c>
      <c r="I83" s="184">
        <v>1684000</v>
      </c>
      <c r="J83" s="184">
        <v>1684000</v>
      </c>
      <c r="K83" s="184">
        <v>1684000</v>
      </c>
      <c r="L83" s="184">
        <v>1684000</v>
      </c>
      <c r="M83" s="184">
        <v>1684000</v>
      </c>
      <c r="N83" s="184">
        <v>1684000</v>
      </c>
      <c r="O83" s="1745">
        <f t="shared" si="6"/>
        <v>1684000</v>
      </c>
      <c r="P83" s="97"/>
    </row>
    <row r="84" spans="1:16">
      <c r="A84" t="s">
        <v>1039</v>
      </c>
      <c r="B84" s="184">
        <v>153000</v>
      </c>
      <c r="C84" s="184">
        <v>153000</v>
      </c>
      <c r="D84" s="184">
        <v>153000</v>
      </c>
      <c r="E84" s="184">
        <v>153000</v>
      </c>
      <c r="F84" s="184">
        <v>153000</v>
      </c>
      <c r="G84" s="184">
        <v>153000</v>
      </c>
      <c r="H84" s="184">
        <v>153000</v>
      </c>
      <c r="I84" s="184">
        <v>153000</v>
      </c>
      <c r="J84" s="184">
        <v>153000</v>
      </c>
      <c r="K84" s="184">
        <v>153000</v>
      </c>
      <c r="L84" s="184">
        <v>153000</v>
      </c>
      <c r="M84" s="184">
        <v>153000</v>
      </c>
      <c r="N84" s="184">
        <v>153000</v>
      </c>
      <c r="O84" s="1745">
        <f t="shared" si="6"/>
        <v>153000</v>
      </c>
      <c r="P84" s="97"/>
    </row>
    <row r="85" spans="1:16">
      <c r="A85" t="s">
        <v>1040</v>
      </c>
      <c r="B85" s="184">
        <v>79000</v>
      </c>
      <c r="C85" s="184">
        <v>79000</v>
      </c>
      <c r="D85" s="184">
        <v>79000</v>
      </c>
      <c r="E85" s="184">
        <v>79000</v>
      </c>
      <c r="F85" s="184">
        <v>79000</v>
      </c>
      <c r="G85" s="184">
        <v>79000</v>
      </c>
      <c r="H85" s="184">
        <v>79000</v>
      </c>
      <c r="I85" s="184">
        <v>79000</v>
      </c>
      <c r="J85" s="184">
        <v>79000</v>
      </c>
      <c r="K85" s="184">
        <v>79000</v>
      </c>
      <c r="L85" s="184">
        <v>79000</v>
      </c>
      <c r="M85" s="184">
        <v>79000</v>
      </c>
      <c r="N85" s="184">
        <v>79000</v>
      </c>
      <c r="O85" s="1745">
        <f t="shared" si="6"/>
        <v>79000</v>
      </c>
      <c r="P85" s="97"/>
    </row>
    <row r="86" spans="1:16">
      <c r="A86" t="s">
        <v>1041</v>
      </c>
      <c r="B86" s="184">
        <v>405000</v>
      </c>
      <c r="C86" s="184">
        <v>405000</v>
      </c>
      <c r="D86" s="184">
        <v>405000</v>
      </c>
      <c r="E86" s="184">
        <v>405000</v>
      </c>
      <c r="F86" s="184">
        <v>405000</v>
      </c>
      <c r="G86" s="184">
        <v>405000</v>
      </c>
      <c r="H86" s="184">
        <v>405000</v>
      </c>
      <c r="I86" s="184">
        <v>405000</v>
      </c>
      <c r="J86" s="184">
        <v>405000</v>
      </c>
      <c r="K86" s="184">
        <v>405000</v>
      </c>
      <c r="L86" s="184">
        <v>405000</v>
      </c>
      <c r="M86" s="184">
        <v>405000</v>
      </c>
      <c r="N86" s="184">
        <v>405000</v>
      </c>
      <c r="O86" s="1745">
        <f t="shared" si="6"/>
        <v>405000</v>
      </c>
      <c r="P86" s="97"/>
    </row>
    <row r="87" spans="1:16">
      <c r="A87" t="s">
        <v>1042</v>
      </c>
      <c r="B87" s="184">
        <v>144000</v>
      </c>
      <c r="C87" s="184">
        <v>144000</v>
      </c>
      <c r="D87" s="184">
        <v>144000</v>
      </c>
      <c r="E87" s="184">
        <v>144000</v>
      </c>
      <c r="F87" s="184">
        <v>144000</v>
      </c>
      <c r="G87" s="184">
        <v>144000</v>
      </c>
      <c r="H87" s="184">
        <v>144000</v>
      </c>
      <c r="I87" s="184">
        <v>144000</v>
      </c>
      <c r="J87" s="184">
        <v>144000</v>
      </c>
      <c r="K87" s="184">
        <v>144000</v>
      </c>
      <c r="L87" s="184">
        <v>144000</v>
      </c>
      <c r="M87" s="184">
        <v>144000</v>
      </c>
      <c r="N87" s="184">
        <v>144000</v>
      </c>
      <c r="O87" s="1745">
        <f t="shared" si="6"/>
        <v>144000</v>
      </c>
      <c r="P87" s="97"/>
    </row>
    <row r="88" spans="1:16">
      <c r="A88" t="s">
        <v>1043</v>
      </c>
      <c r="B88" s="184">
        <v>134000</v>
      </c>
      <c r="C88" s="184">
        <v>134000</v>
      </c>
      <c r="D88" s="184">
        <v>134000</v>
      </c>
      <c r="E88" s="184">
        <v>134000</v>
      </c>
      <c r="F88" s="184">
        <v>134000</v>
      </c>
      <c r="G88" s="184">
        <v>134000</v>
      </c>
      <c r="H88" s="184">
        <v>134000</v>
      </c>
      <c r="I88" s="184">
        <v>134000</v>
      </c>
      <c r="J88" s="184">
        <v>134000</v>
      </c>
      <c r="K88" s="184">
        <v>134000</v>
      </c>
      <c r="L88" s="184">
        <v>134000</v>
      </c>
      <c r="M88" s="184">
        <v>134000</v>
      </c>
      <c r="N88" s="184">
        <v>134000</v>
      </c>
      <c r="O88" s="1745">
        <f t="shared" si="6"/>
        <v>134000</v>
      </c>
      <c r="P88" s="97"/>
    </row>
    <row r="89" spans="1:16">
      <c r="A89" t="s">
        <v>1044</v>
      </c>
      <c r="B89" s="184">
        <v>112000</v>
      </c>
      <c r="C89" s="184">
        <v>112000</v>
      </c>
      <c r="D89" s="184">
        <v>112000</v>
      </c>
      <c r="E89" s="184">
        <v>112000</v>
      </c>
      <c r="F89" s="184">
        <v>112000</v>
      </c>
      <c r="G89" s="184">
        <v>112000</v>
      </c>
      <c r="H89" s="184">
        <v>112000</v>
      </c>
      <c r="I89" s="184">
        <v>112000</v>
      </c>
      <c r="J89" s="184">
        <v>112000</v>
      </c>
      <c r="K89" s="184">
        <v>112000</v>
      </c>
      <c r="L89" s="184">
        <v>112000</v>
      </c>
      <c r="M89" s="184">
        <v>112000</v>
      </c>
      <c r="N89" s="184">
        <v>112000</v>
      </c>
      <c r="O89" s="1745">
        <f t="shared" si="6"/>
        <v>112000</v>
      </c>
      <c r="P89" s="97"/>
    </row>
    <row r="90" spans="1:16">
      <c r="A90" t="s">
        <v>1045</v>
      </c>
      <c r="B90" s="184">
        <v>5413000</v>
      </c>
      <c r="C90" s="184">
        <v>5413000</v>
      </c>
      <c r="D90" s="184">
        <v>5413000</v>
      </c>
      <c r="E90" s="184">
        <v>5413000</v>
      </c>
      <c r="F90" s="184">
        <v>5413000</v>
      </c>
      <c r="G90" s="184">
        <v>5413000</v>
      </c>
      <c r="H90" s="184">
        <v>5413000</v>
      </c>
      <c r="I90" s="184">
        <v>5413000</v>
      </c>
      <c r="J90" s="184">
        <v>5413000</v>
      </c>
      <c r="K90" s="184">
        <v>5413000</v>
      </c>
      <c r="L90" s="184">
        <v>5413000</v>
      </c>
      <c r="M90" s="184">
        <v>5413000</v>
      </c>
      <c r="N90" s="184">
        <v>5413000</v>
      </c>
      <c r="O90" s="1745">
        <f t="shared" si="6"/>
        <v>5413000</v>
      </c>
      <c r="P90" s="97"/>
    </row>
    <row r="91" spans="1:16">
      <c r="A91" t="s">
        <v>1063</v>
      </c>
      <c r="B91" s="184">
        <v>5619000</v>
      </c>
      <c r="C91" s="184">
        <v>5619000</v>
      </c>
      <c r="D91" s="184">
        <v>5619000</v>
      </c>
      <c r="E91" s="184">
        <v>5619000</v>
      </c>
      <c r="F91" s="184">
        <v>5619000</v>
      </c>
      <c r="G91" s="184">
        <v>5619000</v>
      </c>
      <c r="H91" s="184">
        <v>5619000</v>
      </c>
      <c r="I91" s="184">
        <v>5619000</v>
      </c>
      <c r="J91" s="184">
        <v>5619000</v>
      </c>
      <c r="K91" s="184">
        <v>5619000</v>
      </c>
      <c r="L91" s="184">
        <v>5619000</v>
      </c>
      <c r="M91" s="184">
        <v>5619000</v>
      </c>
      <c r="N91" s="184">
        <v>5619000</v>
      </c>
      <c r="O91" s="1745">
        <f t="shared" si="6"/>
        <v>5619000</v>
      </c>
      <c r="P91" s="97"/>
    </row>
    <row r="92" spans="1:16">
      <c r="A92" t="s">
        <v>1165</v>
      </c>
      <c r="B92" s="184">
        <v>5035000</v>
      </c>
      <c r="C92" s="184">
        <v>5035000</v>
      </c>
      <c r="D92" s="184">
        <v>5035000</v>
      </c>
      <c r="E92" s="184">
        <v>5035000</v>
      </c>
      <c r="F92" s="184">
        <v>5035000</v>
      </c>
      <c r="G92" s="184">
        <v>5035000</v>
      </c>
      <c r="H92" s="184">
        <v>5035000</v>
      </c>
      <c r="I92" s="184">
        <v>5035000</v>
      </c>
      <c r="J92" s="184">
        <v>5035000</v>
      </c>
      <c r="K92" s="184">
        <v>5035000</v>
      </c>
      <c r="L92" s="184">
        <v>5035000</v>
      </c>
      <c r="M92" s="184">
        <v>5035000</v>
      </c>
      <c r="N92" s="184">
        <v>5035000</v>
      </c>
      <c r="O92" s="1745">
        <f t="shared" si="6"/>
        <v>5035000</v>
      </c>
      <c r="P92" s="97"/>
    </row>
    <row r="93" spans="1:16">
      <c r="A93" t="s">
        <v>1046</v>
      </c>
      <c r="B93" s="184">
        <v>3189000</v>
      </c>
      <c r="C93" s="184">
        <v>3189000</v>
      </c>
      <c r="D93" s="184">
        <v>3189000</v>
      </c>
      <c r="E93" s="184">
        <v>3189000</v>
      </c>
      <c r="F93" s="184">
        <v>3189000</v>
      </c>
      <c r="G93" s="184">
        <v>3189000</v>
      </c>
      <c r="H93" s="184">
        <v>3189000</v>
      </c>
      <c r="I93" s="184">
        <v>3189000</v>
      </c>
      <c r="J93" s="184">
        <v>3189000</v>
      </c>
      <c r="K93" s="184">
        <v>3189000</v>
      </c>
      <c r="L93" s="184">
        <v>3189000</v>
      </c>
      <c r="M93" s="184">
        <v>3189000</v>
      </c>
      <c r="N93" s="184">
        <v>3189000</v>
      </c>
      <c r="O93" s="1745">
        <f t="shared" si="6"/>
        <v>3189000</v>
      </c>
      <c r="P93" s="97"/>
    </row>
    <row r="94" spans="1:16">
      <c r="A94" t="s">
        <v>1047</v>
      </c>
      <c r="B94" s="184">
        <v>3815000</v>
      </c>
      <c r="C94" s="184">
        <v>3815000</v>
      </c>
      <c r="D94" s="184">
        <v>3815000</v>
      </c>
      <c r="E94" s="184">
        <v>3815000</v>
      </c>
      <c r="F94" s="184">
        <v>3815000</v>
      </c>
      <c r="G94" s="184">
        <v>3815000</v>
      </c>
      <c r="H94" s="184">
        <v>3815000</v>
      </c>
      <c r="I94" s="184">
        <v>3815000</v>
      </c>
      <c r="J94" s="184">
        <v>3815000</v>
      </c>
      <c r="K94" s="184">
        <v>3815000</v>
      </c>
      <c r="L94" s="184">
        <v>3815000</v>
      </c>
      <c r="M94" s="184">
        <v>3815000</v>
      </c>
      <c r="N94" s="184">
        <v>3815000</v>
      </c>
      <c r="O94" s="1745">
        <f t="shared" si="6"/>
        <v>3815000</v>
      </c>
      <c r="P94" s="97"/>
    </row>
    <row r="95" spans="1:16">
      <c r="A95" t="s">
        <v>1048</v>
      </c>
      <c r="B95" s="184">
        <v>1732000</v>
      </c>
      <c r="C95" s="184">
        <v>1732000</v>
      </c>
      <c r="D95" s="184">
        <v>1732000</v>
      </c>
      <c r="E95" s="184">
        <v>1732000</v>
      </c>
      <c r="F95" s="184">
        <v>1732000</v>
      </c>
      <c r="G95" s="184">
        <v>1732000</v>
      </c>
      <c r="H95" s="184">
        <v>1732000</v>
      </c>
      <c r="I95" s="184">
        <v>1732000</v>
      </c>
      <c r="J95" s="184">
        <v>1732000</v>
      </c>
      <c r="K95" s="184">
        <v>1732000</v>
      </c>
      <c r="L95" s="184">
        <v>1732000</v>
      </c>
      <c r="M95" s="184">
        <v>1732000</v>
      </c>
      <c r="N95" s="184">
        <v>1732000</v>
      </c>
      <c r="O95" s="1745">
        <f t="shared" si="6"/>
        <v>1732000</v>
      </c>
      <c r="P95" s="97"/>
    </row>
    <row r="96" spans="1:16">
      <c r="A96" t="s">
        <v>1049</v>
      </c>
      <c r="B96" s="184">
        <v>411000</v>
      </c>
      <c r="C96" s="184">
        <v>411000</v>
      </c>
      <c r="D96" s="184">
        <v>411000</v>
      </c>
      <c r="E96" s="184">
        <v>411000</v>
      </c>
      <c r="F96" s="184">
        <v>411000</v>
      </c>
      <c r="G96" s="184">
        <v>411000</v>
      </c>
      <c r="H96" s="184">
        <v>411000</v>
      </c>
      <c r="I96" s="184">
        <v>411000</v>
      </c>
      <c r="J96" s="184">
        <v>411000</v>
      </c>
      <c r="K96" s="184">
        <v>411000</v>
      </c>
      <c r="L96" s="184">
        <v>411000</v>
      </c>
      <c r="M96" s="184">
        <v>411000</v>
      </c>
      <c r="N96" s="184">
        <v>411000</v>
      </c>
      <c r="O96" s="1745">
        <f t="shared" si="6"/>
        <v>411000</v>
      </c>
      <c r="P96" s="97"/>
    </row>
    <row r="97" spans="1:16">
      <c r="A97" t="s">
        <v>1050</v>
      </c>
      <c r="B97" s="184">
        <v>8919000</v>
      </c>
      <c r="C97" s="184">
        <v>8919000</v>
      </c>
      <c r="D97" s="184">
        <v>8919000</v>
      </c>
      <c r="E97" s="184">
        <v>8919000</v>
      </c>
      <c r="F97" s="184">
        <v>8919000</v>
      </c>
      <c r="G97" s="184">
        <v>8919000</v>
      </c>
      <c r="H97" s="184">
        <v>8919000</v>
      </c>
      <c r="I97" s="184">
        <v>8919000</v>
      </c>
      <c r="J97" s="184">
        <v>8919000</v>
      </c>
      <c r="K97" s="184">
        <v>8919000</v>
      </c>
      <c r="L97" s="184">
        <v>8919000</v>
      </c>
      <c r="M97" s="184">
        <v>8919000</v>
      </c>
      <c r="N97" s="184">
        <v>8919000</v>
      </c>
      <c r="O97" s="1745">
        <f t="shared" si="6"/>
        <v>8919000</v>
      </c>
      <c r="P97" s="97"/>
    </row>
    <row r="98" spans="1:16">
      <c r="A98" t="s">
        <v>1051</v>
      </c>
      <c r="B98" s="184">
        <v>9381000</v>
      </c>
      <c r="C98" s="184">
        <v>9381000</v>
      </c>
      <c r="D98" s="184">
        <v>9381000</v>
      </c>
      <c r="E98" s="184">
        <v>9381000</v>
      </c>
      <c r="F98" s="184">
        <v>9381000</v>
      </c>
      <c r="G98" s="184">
        <v>9381000</v>
      </c>
      <c r="H98" s="184">
        <v>9381000</v>
      </c>
      <c r="I98" s="184">
        <v>9381000</v>
      </c>
      <c r="J98" s="184">
        <v>9381000</v>
      </c>
      <c r="K98" s="184">
        <v>9381000</v>
      </c>
      <c r="L98" s="184">
        <v>9381000</v>
      </c>
      <c r="M98" s="184">
        <v>9381000</v>
      </c>
      <c r="N98" s="184">
        <v>9381000</v>
      </c>
      <c r="O98" s="1745">
        <f t="shared" si="6"/>
        <v>9381000</v>
      </c>
      <c r="P98" s="97"/>
    </row>
    <row r="99" spans="1:16">
      <c r="A99" t="s">
        <v>1052</v>
      </c>
      <c r="B99" s="184">
        <v>2700000</v>
      </c>
      <c r="C99" s="184">
        <v>2700000</v>
      </c>
      <c r="D99" s="184">
        <v>2700000</v>
      </c>
      <c r="E99" s="184">
        <v>2700000</v>
      </c>
      <c r="F99" s="184">
        <v>2700000</v>
      </c>
      <c r="G99" s="184">
        <v>2700000</v>
      </c>
      <c r="H99" s="184">
        <v>2700000</v>
      </c>
      <c r="I99" s="184">
        <v>2700000</v>
      </c>
      <c r="J99" s="184">
        <v>2700000</v>
      </c>
      <c r="K99" s="184">
        <v>2700000</v>
      </c>
      <c r="L99" s="184">
        <v>2700000</v>
      </c>
      <c r="M99" s="184">
        <v>2700000</v>
      </c>
      <c r="N99" s="184">
        <v>2700000</v>
      </c>
      <c r="O99" s="1745">
        <f t="shared" si="6"/>
        <v>2700000</v>
      </c>
      <c r="P99" s="97"/>
    </row>
    <row r="100" spans="1:16">
      <c r="A100" t="s">
        <v>1078</v>
      </c>
      <c r="B100" s="184">
        <v>24186000</v>
      </c>
      <c r="C100" s="184">
        <v>24186000</v>
      </c>
      <c r="D100" s="184">
        <v>24186000</v>
      </c>
      <c r="E100" s="184">
        <v>24186000</v>
      </c>
      <c r="F100" s="184">
        <v>24186000</v>
      </c>
      <c r="G100" s="184">
        <v>24186000</v>
      </c>
      <c r="H100" s="184">
        <v>24186000</v>
      </c>
      <c r="I100" s="184">
        <v>24186000</v>
      </c>
      <c r="J100" s="184">
        <v>24186000</v>
      </c>
      <c r="K100" s="184">
        <v>24186000</v>
      </c>
      <c r="L100" s="184">
        <v>24186000</v>
      </c>
      <c r="M100" s="184">
        <v>24186000</v>
      </c>
      <c r="N100" s="184">
        <v>24186000</v>
      </c>
      <c r="O100" s="1745">
        <f t="shared" si="6"/>
        <v>24186000</v>
      </c>
      <c r="P100" s="97"/>
    </row>
    <row r="101" spans="1:16">
      <c r="A101" t="s">
        <v>1053</v>
      </c>
      <c r="B101" s="184">
        <v>1780000</v>
      </c>
      <c r="C101" s="184">
        <v>1780000</v>
      </c>
      <c r="D101" s="184">
        <v>1780000</v>
      </c>
      <c r="E101" s="184">
        <v>1780000</v>
      </c>
      <c r="F101" s="184">
        <v>1780000</v>
      </c>
      <c r="G101" s="184">
        <v>1780000</v>
      </c>
      <c r="H101" s="184">
        <v>1780000</v>
      </c>
      <c r="I101" s="184">
        <v>1780000</v>
      </c>
      <c r="J101" s="184">
        <v>1780000</v>
      </c>
      <c r="K101" s="184">
        <v>1780000</v>
      </c>
      <c r="L101" s="184">
        <v>1780000</v>
      </c>
      <c r="M101" s="184">
        <v>1780000</v>
      </c>
      <c r="N101" s="184">
        <v>1780000</v>
      </c>
      <c r="O101" s="1745">
        <f t="shared" si="6"/>
        <v>1780000</v>
      </c>
      <c r="P101" s="97"/>
    </row>
    <row r="102" spans="1:16">
      <c r="A102" t="s">
        <v>1054</v>
      </c>
      <c r="B102" s="184">
        <v>31000</v>
      </c>
      <c r="C102" s="184">
        <v>31000</v>
      </c>
      <c r="D102" s="184">
        <v>31000</v>
      </c>
      <c r="E102" s="184">
        <v>31000</v>
      </c>
      <c r="F102" s="184">
        <v>31000</v>
      </c>
      <c r="G102" s="184">
        <v>31000</v>
      </c>
      <c r="H102" s="184">
        <v>31000</v>
      </c>
      <c r="I102" s="184">
        <v>31000</v>
      </c>
      <c r="J102" s="184">
        <v>31000</v>
      </c>
      <c r="K102" s="184">
        <v>31000</v>
      </c>
      <c r="L102" s="184">
        <v>31000</v>
      </c>
      <c r="M102" s="184">
        <v>31000</v>
      </c>
      <c r="N102" s="184">
        <v>31000</v>
      </c>
      <c r="O102" s="1745">
        <f t="shared" si="6"/>
        <v>31000</v>
      </c>
      <c r="P102" s="97"/>
    </row>
    <row r="103" spans="1:16">
      <c r="A103" t="s">
        <v>1055</v>
      </c>
      <c r="B103" s="184">
        <v>206000</v>
      </c>
      <c r="C103" s="184">
        <v>206000</v>
      </c>
      <c r="D103" s="184">
        <v>206000</v>
      </c>
      <c r="E103" s="184">
        <v>206000</v>
      </c>
      <c r="F103" s="184">
        <v>206000</v>
      </c>
      <c r="G103" s="184">
        <v>206000</v>
      </c>
      <c r="H103" s="184">
        <v>206000</v>
      </c>
      <c r="I103" s="184">
        <v>206000</v>
      </c>
      <c r="J103" s="184">
        <v>206000</v>
      </c>
      <c r="K103" s="184">
        <v>206000</v>
      </c>
      <c r="L103" s="184">
        <v>206000</v>
      </c>
      <c r="M103" s="184">
        <v>206000</v>
      </c>
      <c r="N103" s="184">
        <v>206000</v>
      </c>
      <c r="O103" s="1745">
        <f t="shared" si="6"/>
        <v>206000</v>
      </c>
      <c r="P103" s="97"/>
    </row>
    <row r="104" spans="1:16">
      <c r="A104" t="s">
        <v>1056</v>
      </c>
      <c r="B104" s="184">
        <v>127000</v>
      </c>
      <c r="C104" s="184">
        <v>127000</v>
      </c>
      <c r="D104" s="184">
        <v>127000</v>
      </c>
      <c r="E104" s="184">
        <v>127000</v>
      </c>
      <c r="F104" s="184">
        <v>127000</v>
      </c>
      <c r="G104" s="184">
        <v>127000</v>
      </c>
      <c r="H104" s="184">
        <v>127000</v>
      </c>
      <c r="I104" s="184">
        <v>127000</v>
      </c>
      <c r="J104" s="184">
        <v>127000</v>
      </c>
      <c r="K104" s="184">
        <v>127000</v>
      </c>
      <c r="L104" s="184">
        <v>127000</v>
      </c>
      <c r="M104" s="184">
        <v>127000</v>
      </c>
      <c r="N104" s="184">
        <v>127000</v>
      </c>
      <c r="O104" s="1745">
        <f t="shared" si="6"/>
        <v>127000</v>
      </c>
      <c r="P104" s="97"/>
    </row>
    <row r="105" spans="1:16">
      <c r="A105" t="s">
        <v>1064</v>
      </c>
      <c r="B105" s="184">
        <v>4059000</v>
      </c>
      <c r="C105" s="184">
        <v>4059000</v>
      </c>
      <c r="D105" s="184">
        <v>4059000</v>
      </c>
      <c r="E105" s="184">
        <v>4059000</v>
      </c>
      <c r="F105" s="184">
        <v>4059000</v>
      </c>
      <c r="G105" s="184">
        <v>4059000</v>
      </c>
      <c r="H105" s="184">
        <v>4059000</v>
      </c>
      <c r="I105" s="184">
        <v>4059000</v>
      </c>
      <c r="J105" s="184">
        <v>4059000</v>
      </c>
      <c r="K105" s="184">
        <v>4059000</v>
      </c>
      <c r="L105" s="184">
        <v>4059000</v>
      </c>
      <c r="M105" s="184">
        <v>4059000</v>
      </c>
      <c r="N105" s="184">
        <v>4059000</v>
      </c>
      <c r="O105" s="1745">
        <f t="shared" si="6"/>
        <v>4059000</v>
      </c>
      <c r="P105" s="97"/>
    </row>
    <row r="106" spans="1:16">
      <c r="A106" t="s">
        <v>1065</v>
      </c>
      <c r="B106" s="184">
        <v>4730000</v>
      </c>
      <c r="C106" s="184">
        <v>4730000</v>
      </c>
      <c r="D106" s="184">
        <v>4730000</v>
      </c>
      <c r="E106" s="184">
        <v>4730000</v>
      </c>
      <c r="F106" s="184">
        <v>4730000</v>
      </c>
      <c r="G106" s="184">
        <v>4730000</v>
      </c>
      <c r="H106" s="184">
        <v>4730000</v>
      </c>
      <c r="I106" s="184">
        <v>4730000</v>
      </c>
      <c r="J106" s="184">
        <v>4730000</v>
      </c>
      <c r="K106" s="184">
        <v>4730000</v>
      </c>
      <c r="L106" s="184">
        <v>4730000</v>
      </c>
      <c r="M106" s="184">
        <v>4730000</v>
      </c>
      <c r="N106" s="184">
        <v>4730000</v>
      </c>
      <c r="O106" s="1745">
        <f t="shared" si="6"/>
        <v>4730000</v>
      </c>
      <c r="P106" s="97"/>
    </row>
    <row r="107" spans="1:16">
      <c r="A107" t="s">
        <v>1057</v>
      </c>
      <c r="B107" s="184">
        <v>209000</v>
      </c>
      <c r="C107" s="184">
        <v>209000</v>
      </c>
      <c r="D107" s="184">
        <v>209000</v>
      </c>
      <c r="E107" s="184">
        <v>209000</v>
      </c>
      <c r="F107" s="184">
        <v>209000</v>
      </c>
      <c r="G107" s="184">
        <v>209000</v>
      </c>
      <c r="H107" s="184">
        <v>209000</v>
      </c>
      <c r="I107" s="184">
        <v>209000</v>
      </c>
      <c r="J107" s="184">
        <v>209000</v>
      </c>
      <c r="K107" s="184">
        <v>209000</v>
      </c>
      <c r="L107" s="184">
        <v>209000</v>
      </c>
      <c r="M107" s="184">
        <v>209000</v>
      </c>
      <c r="N107" s="184">
        <v>209000</v>
      </c>
      <c r="O107" s="1745">
        <f t="shared" si="6"/>
        <v>209000</v>
      </c>
      <c r="P107" s="97"/>
    </row>
    <row r="108" spans="1:16">
      <c r="A108" t="s">
        <v>1058</v>
      </c>
      <c r="B108" s="184">
        <v>92000</v>
      </c>
      <c r="C108" s="184">
        <v>92000</v>
      </c>
      <c r="D108" s="184">
        <v>92000</v>
      </c>
      <c r="E108" s="184">
        <v>92000</v>
      </c>
      <c r="F108" s="184">
        <v>92000</v>
      </c>
      <c r="G108" s="184">
        <v>92000</v>
      </c>
      <c r="H108" s="184">
        <v>92000</v>
      </c>
      <c r="I108" s="184">
        <v>92000</v>
      </c>
      <c r="J108" s="184">
        <v>92000</v>
      </c>
      <c r="K108" s="184">
        <v>92000</v>
      </c>
      <c r="L108" s="184">
        <v>92000</v>
      </c>
      <c r="M108" s="184">
        <v>92000</v>
      </c>
      <c r="N108" s="184">
        <v>92000</v>
      </c>
      <c r="O108" s="1745">
        <f t="shared" ref="O108:O149" si="7">AVERAGE(B108:N108)</f>
        <v>92000</v>
      </c>
      <c r="P108" s="97"/>
    </row>
    <row r="109" spans="1:16">
      <c r="A109" t="s">
        <v>1059</v>
      </c>
      <c r="B109" s="184">
        <v>26000</v>
      </c>
      <c r="C109" s="184">
        <v>26000</v>
      </c>
      <c r="D109" s="184">
        <v>26000</v>
      </c>
      <c r="E109" s="184">
        <v>26000</v>
      </c>
      <c r="F109" s="184">
        <v>26000</v>
      </c>
      <c r="G109" s="184">
        <v>26000</v>
      </c>
      <c r="H109" s="184">
        <v>26000</v>
      </c>
      <c r="I109" s="184">
        <v>26000</v>
      </c>
      <c r="J109" s="184">
        <v>26000</v>
      </c>
      <c r="K109" s="184">
        <v>26000</v>
      </c>
      <c r="L109" s="184">
        <v>26000</v>
      </c>
      <c r="M109" s="184">
        <v>26000</v>
      </c>
      <c r="N109" s="184">
        <v>26000</v>
      </c>
      <c r="O109" s="1745">
        <f t="shared" si="7"/>
        <v>26000</v>
      </c>
      <c r="P109" s="97"/>
    </row>
    <row r="110" spans="1:16">
      <c r="A110" t="s">
        <v>1079</v>
      </c>
      <c r="B110" s="184">
        <v>2835000</v>
      </c>
      <c r="C110" s="184">
        <v>2835000</v>
      </c>
      <c r="D110" s="184">
        <v>2835000</v>
      </c>
      <c r="E110" s="184">
        <v>2835000</v>
      </c>
      <c r="F110" s="184">
        <v>2835000</v>
      </c>
      <c r="G110" s="184">
        <v>2835000</v>
      </c>
      <c r="H110" s="184">
        <v>2835000</v>
      </c>
      <c r="I110" s="184">
        <v>2835000</v>
      </c>
      <c r="J110" s="184">
        <v>2835000</v>
      </c>
      <c r="K110" s="184">
        <v>2835000</v>
      </c>
      <c r="L110" s="184">
        <v>2835000</v>
      </c>
      <c r="M110" s="184">
        <v>2835000</v>
      </c>
      <c r="N110" s="184">
        <v>2835000</v>
      </c>
      <c r="O110" s="1745">
        <f t="shared" si="7"/>
        <v>2835000</v>
      </c>
      <c r="P110" s="97"/>
    </row>
    <row r="111" spans="1:16">
      <c r="A111" t="s">
        <v>1060</v>
      </c>
      <c r="B111" s="184">
        <v>3525000</v>
      </c>
      <c r="C111" s="184">
        <v>3525000</v>
      </c>
      <c r="D111" s="184">
        <v>3525000</v>
      </c>
      <c r="E111" s="184">
        <v>3525000</v>
      </c>
      <c r="F111" s="184">
        <v>3525000</v>
      </c>
      <c r="G111" s="184">
        <v>3525000</v>
      </c>
      <c r="H111" s="184">
        <v>3525000</v>
      </c>
      <c r="I111" s="184">
        <v>3525000</v>
      </c>
      <c r="J111" s="184">
        <v>3525000</v>
      </c>
      <c r="K111" s="184">
        <v>3525000</v>
      </c>
      <c r="L111" s="184">
        <v>3525000</v>
      </c>
      <c r="M111" s="184">
        <v>3525000</v>
      </c>
      <c r="N111" s="184">
        <v>3525000</v>
      </c>
      <c r="O111" s="1745">
        <f t="shared" si="7"/>
        <v>3525000</v>
      </c>
      <c r="P111" s="97"/>
    </row>
    <row r="112" spans="1:16">
      <c r="A112" t="s">
        <v>1061</v>
      </c>
      <c r="B112" s="184">
        <v>137000</v>
      </c>
      <c r="C112" s="184">
        <v>137000</v>
      </c>
      <c r="D112" s="184">
        <v>137000</v>
      </c>
      <c r="E112" s="184">
        <v>137000</v>
      </c>
      <c r="F112" s="184">
        <v>137000</v>
      </c>
      <c r="G112" s="184">
        <v>137000</v>
      </c>
      <c r="H112" s="184">
        <v>137000</v>
      </c>
      <c r="I112" s="184">
        <v>137000</v>
      </c>
      <c r="J112" s="184">
        <v>137000</v>
      </c>
      <c r="K112" s="184">
        <v>137000</v>
      </c>
      <c r="L112" s="184">
        <v>137000</v>
      </c>
      <c r="M112" s="184">
        <v>137000</v>
      </c>
      <c r="N112" s="184">
        <v>137000</v>
      </c>
      <c r="O112" s="1745">
        <f t="shared" si="7"/>
        <v>137000</v>
      </c>
      <c r="P112" s="97"/>
    </row>
    <row r="113" spans="1:16">
      <c r="A113" t="s">
        <v>1062</v>
      </c>
      <c r="B113" s="184">
        <v>13000</v>
      </c>
      <c r="C113" s="184">
        <v>13000</v>
      </c>
      <c r="D113" s="184">
        <v>13000</v>
      </c>
      <c r="E113" s="184">
        <v>13000</v>
      </c>
      <c r="F113" s="184">
        <v>13000</v>
      </c>
      <c r="G113" s="184">
        <v>13000</v>
      </c>
      <c r="H113" s="184">
        <v>13000</v>
      </c>
      <c r="I113" s="184">
        <v>13000</v>
      </c>
      <c r="J113" s="184">
        <v>13000</v>
      </c>
      <c r="K113" s="184">
        <v>13000</v>
      </c>
      <c r="L113" s="184">
        <v>13000</v>
      </c>
      <c r="M113" s="184">
        <v>13000</v>
      </c>
      <c r="N113" s="184">
        <v>13000</v>
      </c>
      <c r="O113" s="1745">
        <f t="shared" si="7"/>
        <v>13000</v>
      </c>
      <c r="P113" s="97"/>
    </row>
    <row r="114" spans="1:16">
      <c r="A114" t="s">
        <v>0</v>
      </c>
      <c r="B114" s="184">
        <v>2706000</v>
      </c>
      <c r="C114" s="184">
        <v>2706000</v>
      </c>
      <c r="D114" s="184">
        <v>2706000</v>
      </c>
      <c r="E114" s="184">
        <v>2706000</v>
      </c>
      <c r="F114" s="184">
        <v>2706000</v>
      </c>
      <c r="G114" s="184">
        <v>2706000</v>
      </c>
      <c r="H114" s="184">
        <v>2706000</v>
      </c>
      <c r="I114" s="184">
        <v>2706000</v>
      </c>
      <c r="J114" s="184">
        <v>2706000</v>
      </c>
      <c r="K114" s="184">
        <v>2706000</v>
      </c>
      <c r="L114" s="184">
        <v>2706000</v>
      </c>
      <c r="M114" s="184">
        <v>2706000</v>
      </c>
      <c r="N114" s="184">
        <v>2706000</v>
      </c>
      <c r="O114" s="1745">
        <f t="shared" si="7"/>
        <v>2706000</v>
      </c>
      <c r="P114" s="97"/>
    </row>
    <row r="115" spans="1:16">
      <c r="A115" t="s">
        <v>1</v>
      </c>
      <c r="B115" s="184">
        <v>2885000</v>
      </c>
      <c r="C115" s="184">
        <v>2885000</v>
      </c>
      <c r="D115" s="184">
        <v>2885000</v>
      </c>
      <c r="E115" s="184">
        <v>2885000</v>
      </c>
      <c r="F115" s="184">
        <v>2885000</v>
      </c>
      <c r="G115" s="184">
        <v>2885000</v>
      </c>
      <c r="H115" s="184">
        <v>2885000</v>
      </c>
      <c r="I115" s="184">
        <v>2885000</v>
      </c>
      <c r="J115" s="184">
        <v>2885000</v>
      </c>
      <c r="K115" s="184">
        <v>2885000</v>
      </c>
      <c r="L115" s="184">
        <v>2885000</v>
      </c>
      <c r="M115" s="184">
        <v>2885000</v>
      </c>
      <c r="N115" s="184">
        <v>2885000</v>
      </c>
      <c r="O115" s="1745">
        <f t="shared" si="7"/>
        <v>2885000</v>
      </c>
      <c r="P115" s="97"/>
    </row>
    <row r="116" spans="1:16">
      <c r="A116" t="s">
        <v>2</v>
      </c>
      <c r="B116" s="184">
        <v>2050000</v>
      </c>
      <c r="C116" s="184">
        <v>2050000</v>
      </c>
      <c r="D116" s="184">
        <v>2050000</v>
      </c>
      <c r="E116" s="184">
        <v>2050000</v>
      </c>
      <c r="F116" s="184">
        <v>2050000</v>
      </c>
      <c r="G116" s="184">
        <v>2050000</v>
      </c>
      <c r="H116" s="184">
        <v>2050000</v>
      </c>
      <c r="I116" s="184">
        <v>2050000</v>
      </c>
      <c r="J116" s="184">
        <v>2050000</v>
      </c>
      <c r="K116" s="184">
        <v>2050000</v>
      </c>
      <c r="L116" s="184">
        <v>2050000</v>
      </c>
      <c r="M116" s="184">
        <v>2050000</v>
      </c>
      <c r="N116" s="184">
        <v>2050000</v>
      </c>
      <c r="O116" s="1745">
        <f t="shared" si="7"/>
        <v>2050000</v>
      </c>
      <c r="P116" s="97"/>
    </row>
    <row r="117" spans="1:16">
      <c r="A117" t="s">
        <v>3</v>
      </c>
      <c r="B117" s="184">
        <v>10815000</v>
      </c>
      <c r="C117" s="184">
        <v>10815000</v>
      </c>
      <c r="D117" s="184">
        <v>10815000</v>
      </c>
      <c r="E117" s="184">
        <v>10815000</v>
      </c>
      <c r="F117" s="184">
        <v>10815000</v>
      </c>
      <c r="G117" s="184">
        <v>10815000</v>
      </c>
      <c r="H117" s="184">
        <v>10815000</v>
      </c>
      <c r="I117" s="184">
        <v>10815000</v>
      </c>
      <c r="J117" s="184">
        <v>10815000</v>
      </c>
      <c r="K117" s="184">
        <v>10815000</v>
      </c>
      <c r="L117" s="184">
        <v>10815000</v>
      </c>
      <c r="M117" s="184">
        <v>10815000</v>
      </c>
      <c r="N117" s="184">
        <v>10815000</v>
      </c>
      <c r="O117" s="1745">
        <f t="shared" si="7"/>
        <v>10815000</v>
      </c>
      <c r="P117" s="97"/>
    </row>
    <row r="118" spans="1:16">
      <c r="A118" t="s">
        <v>1159</v>
      </c>
      <c r="B118" s="184">
        <v>9688000</v>
      </c>
      <c r="C118" s="184">
        <v>9688000</v>
      </c>
      <c r="D118" s="184">
        <v>9688000</v>
      </c>
      <c r="E118" s="184">
        <v>9688000</v>
      </c>
      <c r="F118" s="184">
        <v>9688000</v>
      </c>
      <c r="G118" s="184">
        <v>9688000</v>
      </c>
      <c r="H118" s="184">
        <v>9688000</v>
      </c>
      <c r="I118" s="184">
        <v>9688000</v>
      </c>
      <c r="J118" s="184">
        <v>9688000</v>
      </c>
      <c r="K118" s="184">
        <v>9688000</v>
      </c>
      <c r="L118" s="184">
        <v>9688000</v>
      </c>
      <c r="M118" s="184">
        <v>9688000</v>
      </c>
      <c r="N118" s="184">
        <v>9688000</v>
      </c>
      <c r="O118" s="1745">
        <f t="shared" si="7"/>
        <v>9688000</v>
      </c>
      <c r="P118" s="97"/>
    </row>
    <row r="119" spans="1:16">
      <c r="A119" t="s">
        <v>4</v>
      </c>
      <c r="B119" s="184">
        <v>8292000</v>
      </c>
      <c r="C119" s="184">
        <v>8292000</v>
      </c>
      <c r="D119" s="184">
        <v>8292000</v>
      </c>
      <c r="E119" s="184">
        <v>8292000</v>
      </c>
      <c r="F119" s="184">
        <v>8292000</v>
      </c>
      <c r="G119" s="184">
        <v>8292000</v>
      </c>
      <c r="H119" s="184">
        <v>8292000</v>
      </c>
      <c r="I119" s="184">
        <v>8292000</v>
      </c>
      <c r="J119" s="184">
        <v>8292000</v>
      </c>
      <c r="K119" s="184">
        <v>8292000</v>
      </c>
      <c r="L119" s="184">
        <v>8292000</v>
      </c>
      <c r="M119" s="184">
        <v>8292000</v>
      </c>
      <c r="N119" s="184">
        <v>8292000</v>
      </c>
      <c r="O119" s="1745">
        <f t="shared" si="7"/>
        <v>8292000</v>
      </c>
      <c r="P119" s="97"/>
    </row>
    <row r="120" spans="1:16">
      <c r="A120" t="s">
        <v>5</v>
      </c>
      <c r="B120" s="184">
        <v>152000</v>
      </c>
      <c r="C120" s="184">
        <v>152000</v>
      </c>
      <c r="D120" s="184">
        <v>152000</v>
      </c>
      <c r="E120" s="184">
        <v>152000</v>
      </c>
      <c r="F120" s="184">
        <v>152000</v>
      </c>
      <c r="G120" s="184">
        <v>152000</v>
      </c>
      <c r="H120" s="184">
        <v>152000</v>
      </c>
      <c r="I120" s="184">
        <v>152000</v>
      </c>
      <c r="J120" s="184">
        <v>152000</v>
      </c>
      <c r="K120" s="184">
        <v>152000</v>
      </c>
      <c r="L120" s="184">
        <v>152000</v>
      </c>
      <c r="M120" s="184">
        <v>152000</v>
      </c>
      <c r="N120" s="184">
        <v>152000</v>
      </c>
      <c r="O120" s="1745">
        <f t="shared" si="7"/>
        <v>152000</v>
      </c>
      <c r="P120" s="97"/>
    </row>
    <row r="121" spans="1:16">
      <c r="A121" t="s">
        <v>6</v>
      </c>
      <c r="B121" s="184">
        <v>159000</v>
      </c>
      <c r="C121" s="184">
        <v>159000</v>
      </c>
      <c r="D121" s="184">
        <v>159000</v>
      </c>
      <c r="E121" s="184">
        <v>159000</v>
      </c>
      <c r="F121" s="184">
        <v>159000</v>
      </c>
      <c r="G121" s="184">
        <v>159000</v>
      </c>
      <c r="H121" s="184">
        <v>159000</v>
      </c>
      <c r="I121" s="184">
        <v>159000</v>
      </c>
      <c r="J121" s="184">
        <v>159000</v>
      </c>
      <c r="K121" s="184">
        <v>159000</v>
      </c>
      <c r="L121" s="184">
        <v>159000</v>
      </c>
      <c r="M121" s="184">
        <v>159000</v>
      </c>
      <c r="N121" s="184">
        <v>159000</v>
      </c>
      <c r="O121" s="1745">
        <f t="shared" si="7"/>
        <v>159000</v>
      </c>
      <c r="P121" s="97"/>
    </row>
    <row r="122" spans="1:16">
      <c r="A122" t="s">
        <v>1066</v>
      </c>
      <c r="B122" s="184">
        <v>45000</v>
      </c>
      <c r="C122" s="184">
        <v>45000</v>
      </c>
      <c r="D122" s="184">
        <v>45000</v>
      </c>
      <c r="E122" s="184">
        <v>45000</v>
      </c>
      <c r="F122" s="184">
        <v>45000</v>
      </c>
      <c r="G122" s="184">
        <v>45000</v>
      </c>
      <c r="H122" s="184">
        <v>45000</v>
      </c>
      <c r="I122" s="184">
        <v>45000</v>
      </c>
      <c r="J122" s="184">
        <v>45000</v>
      </c>
      <c r="K122" s="184">
        <v>45000</v>
      </c>
      <c r="L122" s="184">
        <v>45000</v>
      </c>
      <c r="M122" s="184">
        <v>45000</v>
      </c>
      <c r="N122" s="184">
        <v>45000</v>
      </c>
      <c r="O122" s="1745">
        <f t="shared" si="7"/>
        <v>45000</v>
      </c>
      <c r="P122" s="97"/>
    </row>
    <row r="123" spans="1:16">
      <c r="A123" t="s">
        <v>7</v>
      </c>
      <c r="B123" s="184">
        <v>1545000</v>
      </c>
      <c r="C123" s="184">
        <v>1545000</v>
      </c>
      <c r="D123" s="184">
        <v>1545000</v>
      </c>
      <c r="E123" s="184">
        <v>1545000</v>
      </c>
      <c r="F123" s="184">
        <v>1545000</v>
      </c>
      <c r="G123" s="184">
        <v>1545000</v>
      </c>
      <c r="H123" s="184">
        <v>1545000</v>
      </c>
      <c r="I123" s="184">
        <v>1545000</v>
      </c>
      <c r="J123" s="184">
        <v>1545000</v>
      </c>
      <c r="K123" s="184">
        <v>1545000</v>
      </c>
      <c r="L123" s="184">
        <v>1545000</v>
      </c>
      <c r="M123" s="184">
        <v>1545000</v>
      </c>
      <c r="N123" s="184">
        <v>1545000</v>
      </c>
      <c r="O123" s="1745">
        <f t="shared" si="7"/>
        <v>1545000</v>
      </c>
      <c r="P123" s="97"/>
    </row>
    <row r="124" spans="1:16">
      <c r="A124" t="s">
        <v>8</v>
      </c>
      <c r="B124" s="184">
        <v>11000</v>
      </c>
      <c r="C124" s="184">
        <v>11000</v>
      </c>
      <c r="D124" s="184">
        <v>11000</v>
      </c>
      <c r="E124" s="184">
        <v>11000</v>
      </c>
      <c r="F124" s="184">
        <v>11000</v>
      </c>
      <c r="G124" s="184">
        <v>11000</v>
      </c>
      <c r="H124" s="184">
        <v>11000</v>
      </c>
      <c r="I124" s="184">
        <v>11000</v>
      </c>
      <c r="J124" s="184">
        <v>11000</v>
      </c>
      <c r="K124" s="184">
        <v>11000</v>
      </c>
      <c r="L124" s="184">
        <v>11000</v>
      </c>
      <c r="M124" s="184">
        <v>11000</v>
      </c>
      <c r="N124" s="184">
        <v>11000</v>
      </c>
      <c r="O124" s="1745">
        <f t="shared" si="7"/>
        <v>11000</v>
      </c>
      <c r="P124" s="97"/>
    </row>
    <row r="125" spans="1:16">
      <c r="A125" t="s">
        <v>9</v>
      </c>
      <c r="B125" s="184">
        <v>935000</v>
      </c>
      <c r="C125" s="184">
        <v>935000</v>
      </c>
      <c r="D125" s="184">
        <v>935000</v>
      </c>
      <c r="E125" s="184">
        <v>935000</v>
      </c>
      <c r="F125" s="184">
        <v>935000</v>
      </c>
      <c r="G125" s="184">
        <v>935000</v>
      </c>
      <c r="H125" s="184">
        <v>935000</v>
      </c>
      <c r="I125" s="184">
        <v>935000</v>
      </c>
      <c r="J125" s="184">
        <v>935000</v>
      </c>
      <c r="K125" s="184">
        <v>935000</v>
      </c>
      <c r="L125" s="184">
        <v>935000</v>
      </c>
      <c r="M125" s="184">
        <v>935000</v>
      </c>
      <c r="N125" s="184">
        <v>935000</v>
      </c>
      <c r="O125" s="1745">
        <f t="shared" si="7"/>
        <v>935000</v>
      </c>
      <c r="P125" s="97"/>
    </row>
    <row r="126" spans="1:16">
      <c r="A126" t="s">
        <v>10</v>
      </c>
      <c r="B126" s="184">
        <v>19000</v>
      </c>
      <c r="C126" s="184">
        <v>19000</v>
      </c>
      <c r="D126" s="184">
        <v>19000</v>
      </c>
      <c r="E126" s="184">
        <v>19000</v>
      </c>
      <c r="F126" s="184">
        <v>19000</v>
      </c>
      <c r="G126" s="184">
        <v>19000</v>
      </c>
      <c r="H126" s="184">
        <v>19000</v>
      </c>
      <c r="I126" s="184">
        <v>19000</v>
      </c>
      <c r="J126" s="184">
        <v>19000</v>
      </c>
      <c r="K126" s="184">
        <v>19000</v>
      </c>
      <c r="L126" s="184">
        <v>19000</v>
      </c>
      <c r="M126" s="184">
        <v>19000</v>
      </c>
      <c r="N126" s="184">
        <v>19000</v>
      </c>
      <c r="O126" s="1745">
        <f t="shared" si="7"/>
        <v>19000</v>
      </c>
      <c r="P126" s="97"/>
    </row>
    <row r="127" spans="1:16">
      <c r="A127" t="s">
        <v>11</v>
      </c>
      <c r="B127" s="184">
        <v>194000</v>
      </c>
      <c r="C127" s="184">
        <v>194000</v>
      </c>
      <c r="D127" s="184">
        <v>194000</v>
      </c>
      <c r="E127" s="184">
        <v>194000</v>
      </c>
      <c r="F127" s="184">
        <v>194000</v>
      </c>
      <c r="G127" s="184">
        <v>194000</v>
      </c>
      <c r="H127" s="184">
        <v>194000</v>
      </c>
      <c r="I127" s="184">
        <v>194000</v>
      </c>
      <c r="J127" s="184">
        <v>194000</v>
      </c>
      <c r="K127" s="184">
        <v>194000</v>
      </c>
      <c r="L127" s="184">
        <v>194000</v>
      </c>
      <c r="M127" s="184">
        <v>194000</v>
      </c>
      <c r="N127" s="184">
        <v>194000</v>
      </c>
      <c r="O127" s="1745">
        <f>AVERAGE(B127:N127)</f>
        <v>194000</v>
      </c>
      <c r="P127" s="97"/>
    </row>
    <row r="128" spans="1:16">
      <c r="A128" t="s">
        <v>12</v>
      </c>
      <c r="B128" s="184">
        <v>63000</v>
      </c>
      <c r="C128" s="184">
        <v>63000</v>
      </c>
      <c r="D128" s="184">
        <v>63000</v>
      </c>
      <c r="E128" s="184">
        <v>63000</v>
      </c>
      <c r="F128" s="184">
        <v>63000</v>
      </c>
      <c r="G128" s="184">
        <v>63000</v>
      </c>
      <c r="H128" s="184">
        <v>63000</v>
      </c>
      <c r="I128" s="184">
        <v>63000</v>
      </c>
      <c r="J128" s="184">
        <v>63000</v>
      </c>
      <c r="K128" s="184">
        <v>63000</v>
      </c>
      <c r="L128" s="184">
        <v>63000</v>
      </c>
      <c r="M128" s="184">
        <v>63000</v>
      </c>
      <c r="N128" s="184">
        <v>63000</v>
      </c>
      <c r="O128" s="1745">
        <f t="shared" si="7"/>
        <v>63000</v>
      </c>
      <c r="P128" s="97"/>
    </row>
    <row r="129" spans="1:16">
      <c r="A129" t="s">
        <v>1125</v>
      </c>
      <c r="B129" s="184">
        <v>89000</v>
      </c>
      <c r="C129" s="184">
        <v>89000</v>
      </c>
      <c r="D129" s="184">
        <v>89000</v>
      </c>
      <c r="E129" s="184">
        <v>89000</v>
      </c>
      <c r="F129" s="184">
        <v>89000</v>
      </c>
      <c r="G129" s="184">
        <v>89000</v>
      </c>
      <c r="H129" s="184">
        <v>89000</v>
      </c>
      <c r="I129" s="184">
        <v>89000</v>
      </c>
      <c r="J129" s="184">
        <v>89000</v>
      </c>
      <c r="K129" s="184">
        <v>89000</v>
      </c>
      <c r="L129" s="184">
        <v>89000</v>
      </c>
      <c r="M129" s="184">
        <v>89000</v>
      </c>
      <c r="N129" s="184">
        <v>89000</v>
      </c>
      <c r="O129" s="1745">
        <f t="shared" si="7"/>
        <v>89000</v>
      </c>
      <c r="P129" s="97"/>
    </row>
    <row r="130" spans="1:16">
      <c r="A130" t="s">
        <v>13</v>
      </c>
      <c r="B130" s="184">
        <v>152000</v>
      </c>
      <c r="C130" s="184">
        <v>152000</v>
      </c>
      <c r="D130" s="184">
        <v>152000</v>
      </c>
      <c r="E130" s="184">
        <v>152000</v>
      </c>
      <c r="F130" s="184">
        <v>152000</v>
      </c>
      <c r="G130" s="184">
        <v>152000</v>
      </c>
      <c r="H130" s="184">
        <v>152000</v>
      </c>
      <c r="I130" s="184">
        <v>152000</v>
      </c>
      <c r="J130" s="184">
        <v>152000</v>
      </c>
      <c r="K130" s="184">
        <v>152000</v>
      </c>
      <c r="L130" s="184">
        <v>152000</v>
      </c>
      <c r="M130" s="184">
        <v>152000</v>
      </c>
      <c r="N130" s="184">
        <v>152000</v>
      </c>
      <c r="O130" s="1745">
        <f t="shared" si="7"/>
        <v>152000</v>
      </c>
      <c r="P130" s="97"/>
    </row>
    <row r="131" spans="1:16">
      <c r="A131" t="s">
        <v>14</v>
      </c>
      <c r="B131" s="184">
        <v>1175000</v>
      </c>
      <c r="C131" s="184">
        <v>1175000</v>
      </c>
      <c r="D131" s="184">
        <v>1175000</v>
      </c>
      <c r="E131" s="184">
        <v>1175000</v>
      </c>
      <c r="F131" s="184">
        <v>1175000</v>
      </c>
      <c r="G131" s="184">
        <v>1175000</v>
      </c>
      <c r="H131" s="184">
        <v>1175000</v>
      </c>
      <c r="I131" s="184">
        <v>1175000</v>
      </c>
      <c r="J131" s="184">
        <v>1175000</v>
      </c>
      <c r="K131" s="184">
        <v>1175000</v>
      </c>
      <c r="L131" s="184">
        <v>1175000</v>
      </c>
      <c r="M131" s="184">
        <v>1175000</v>
      </c>
      <c r="N131" s="184">
        <v>1175000</v>
      </c>
      <c r="O131" s="1745">
        <f t="shared" si="7"/>
        <v>1175000</v>
      </c>
      <c r="P131" s="97"/>
    </row>
    <row r="132" spans="1:16">
      <c r="A132" t="s">
        <v>1080</v>
      </c>
      <c r="B132" s="184">
        <v>4534000</v>
      </c>
      <c r="C132" s="184">
        <v>4534000</v>
      </c>
      <c r="D132" s="184">
        <v>4534000</v>
      </c>
      <c r="E132" s="184">
        <v>4534000</v>
      </c>
      <c r="F132" s="184">
        <v>4534000</v>
      </c>
      <c r="G132" s="184">
        <v>4534000</v>
      </c>
      <c r="H132" s="184">
        <v>4534000</v>
      </c>
      <c r="I132" s="184">
        <v>4534000</v>
      </c>
      <c r="J132" s="184">
        <v>4534000</v>
      </c>
      <c r="K132" s="184">
        <v>4534000</v>
      </c>
      <c r="L132" s="184">
        <v>4534000</v>
      </c>
      <c r="M132" s="184">
        <v>4534000</v>
      </c>
      <c r="N132" s="184">
        <v>4534000</v>
      </c>
      <c r="O132" s="1745">
        <f t="shared" si="7"/>
        <v>4534000</v>
      </c>
      <c r="P132" s="97"/>
    </row>
    <row r="133" spans="1:16">
      <c r="A133" t="s">
        <v>15</v>
      </c>
      <c r="B133" s="184">
        <v>1665000</v>
      </c>
      <c r="C133" s="184">
        <v>1665000</v>
      </c>
      <c r="D133" s="184">
        <v>1665000</v>
      </c>
      <c r="E133" s="184">
        <v>1665000</v>
      </c>
      <c r="F133" s="184">
        <v>1665000</v>
      </c>
      <c r="G133" s="184">
        <v>1665000</v>
      </c>
      <c r="H133" s="184">
        <v>1665000</v>
      </c>
      <c r="I133" s="184">
        <v>1665000</v>
      </c>
      <c r="J133" s="184">
        <v>1665000</v>
      </c>
      <c r="K133" s="184">
        <v>1665000</v>
      </c>
      <c r="L133" s="184">
        <v>1665000</v>
      </c>
      <c r="M133" s="184">
        <v>1665000</v>
      </c>
      <c r="N133" s="184">
        <v>1665000</v>
      </c>
      <c r="O133" s="1745">
        <f t="shared" si="7"/>
        <v>1665000</v>
      </c>
      <c r="P133" s="97"/>
    </row>
    <row r="134" spans="1:16">
      <c r="A134" t="s">
        <v>1166</v>
      </c>
      <c r="B134" s="184">
        <v>3000</v>
      </c>
      <c r="C134" s="184">
        <v>3000</v>
      </c>
      <c r="D134" s="184">
        <v>3000</v>
      </c>
      <c r="E134" s="184">
        <v>3000</v>
      </c>
      <c r="F134" s="184">
        <v>3000</v>
      </c>
      <c r="G134" s="184">
        <v>3000</v>
      </c>
      <c r="H134" s="184">
        <v>3000</v>
      </c>
      <c r="I134" s="184">
        <v>3000</v>
      </c>
      <c r="J134" s="184">
        <v>3000</v>
      </c>
      <c r="K134" s="184">
        <v>3000</v>
      </c>
      <c r="L134" s="184">
        <v>3000</v>
      </c>
      <c r="M134" s="184">
        <v>3000</v>
      </c>
      <c r="N134" s="184">
        <v>3000</v>
      </c>
      <c r="O134" s="1745">
        <f t="shared" si="7"/>
        <v>3000</v>
      </c>
      <c r="P134" s="97"/>
    </row>
    <row r="135" spans="1:16">
      <c r="A135" t="s">
        <v>16</v>
      </c>
      <c r="B135" s="184">
        <v>252000</v>
      </c>
      <c r="C135" s="184">
        <v>252000</v>
      </c>
      <c r="D135" s="184">
        <v>252000</v>
      </c>
      <c r="E135" s="184">
        <v>252000</v>
      </c>
      <c r="F135" s="184">
        <v>252000</v>
      </c>
      <c r="G135" s="184">
        <v>252000</v>
      </c>
      <c r="H135" s="184">
        <v>252000</v>
      </c>
      <c r="I135" s="184">
        <v>252000</v>
      </c>
      <c r="J135" s="184">
        <v>252000</v>
      </c>
      <c r="K135" s="184">
        <v>252000</v>
      </c>
      <c r="L135" s="184">
        <v>252000</v>
      </c>
      <c r="M135" s="184">
        <v>252000</v>
      </c>
      <c r="N135" s="184">
        <v>252000</v>
      </c>
      <c r="O135" s="1745">
        <f t="shared" si="7"/>
        <v>252000</v>
      </c>
      <c r="P135" s="97"/>
    </row>
    <row r="136" spans="1:16">
      <c r="A136" t="s">
        <v>17</v>
      </c>
      <c r="B136" s="184">
        <v>9000</v>
      </c>
      <c r="C136" s="184">
        <v>9000</v>
      </c>
      <c r="D136" s="184">
        <v>9000</v>
      </c>
      <c r="E136" s="184">
        <v>9000</v>
      </c>
      <c r="F136" s="184">
        <v>9000</v>
      </c>
      <c r="G136" s="184">
        <v>9000</v>
      </c>
      <c r="H136" s="184">
        <v>9000</v>
      </c>
      <c r="I136" s="184">
        <v>9000</v>
      </c>
      <c r="J136" s="184">
        <v>9000</v>
      </c>
      <c r="K136" s="184">
        <v>9000</v>
      </c>
      <c r="L136" s="184">
        <v>9000</v>
      </c>
      <c r="M136" s="184">
        <v>9000</v>
      </c>
      <c r="N136" s="184">
        <v>9000</v>
      </c>
      <c r="O136" s="1745">
        <f t="shared" si="7"/>
        <v>9000</v>
      </c>
      <c r="P136" s="97"/>
    </row>
    <row r="137" spans="1:16">
      <c r="A137" t="s">
        <v>18</v>
      </c>
      <c r="B137" s="184">
        <v>164000</v>
      </c>
      <c r="C137" s="184">
        <v>164000</v>
      </c>
      <c r="D137" s="184">
        <v>164000</v>
      </c>
      <c r="E137" s="184">
        <v>164000</v>
      </c>
      <c r="F137" s="184">
        <v>164000</v>
      </c>
      <c r="G137" s="184">
        <v>164000</v>
      </c>
      <c r="H137" s="184">
        <v>164000</v>
      </c>
      <c r="I137" s="184">
        <v>164000</v>
      </c>
      <c r="J137" s="184">
        <v>164000</v>
      </c>
      <c r="K137" s="184">
        <v>164000</v>
      </c>
      <c r="L137" s="184">
        <v>164000</v>
      </c>
      <c r="M137" s="184">
        <v>164000</v>
      </c>
      <c r="N137" s="184">
        <v>164000</v>
      </c>
      <c r="O137" s="1745">
        <f t="shared" si="7"/>
        <v>164000</v>
      </c>
      <c r="P137" s="97"/>
    </row>
    <row r="138" spans="1:16">
      <c r="A138" t="s">
        <v>19</v>
      </c>
      <c r="B138" s="184">
        <v>103000</v>
      </c>
      <c r="C138" s="184">
        <v>103000</v>
      </c>
      <c r="D138" s="184">
        <v>103000</v>
      </c>
      <c r="E138" s="184">
        <v>103000</v>
      </c>
      <c r="F138" s="184">
        <v>103000</v>
      </c>
      <c r="G138" s="184">
        <v>103000</v>
      </c>
      <c r="H138" s="184">
        <v>103000</v>
      </c>
      <c r="I138" s="184">
        <v>103000</v>
      </c>
      <c r="J138" s="184">
        <v>103000</v>
      </c>
      <c r="K138" s="184">
        <v>103000</v>
      </c>
      <c r="L138" s="184">
        <v>103000</v>
      </c>
      <c r="M138" s="184">
        <v>103000</v>
      </c>
      <c r="N138" s="184">
        <v>103000</v>
      </c>
      <c r="O138" s="1745">
        <f t="shared" si="7"/>
        <v>103000</v>
      </c>
      <c r="P138" s="97"/>
    </row>
    <row r="139" spans="1:16">
      <c r="A139" t="s">
        <v>20</v>
      </c>
      <c r="B139" s="184">
        <v>63000</v>
      </c>
      <c r="C139" s="184">
        <v>63000</v>
      </c>
      <c r="D139" s="184">
        <v>63000</v>
      </c>
      <c r="E139" s="184">
        <v>63000</v>
      </c>
      <c r="F139" s="184">
        <v>63000</v>
      </c>
      <c r="G139" s="184">
        <v>63000</v>
      </c>
      <c r="H139" s="184">
        <v>63000</v>
      </c>
      <c r="I139" s="184">
        <v>63000</v>
      </c>
      <c r="J139" s="184">
        <v>63000</v>
      </c>
      <c r="K139" s="184">
        <v>63000</v>
      </c>
      <c r="L139" s="184">
        <v>63000</v>
      </c>
      <c r="M139" s="184">
        <v>63000</v>
      </c>
      <c r="N139" s="184">
        <v>63000</v>
      </c>
      <c r="O139" s="1745">
        <f t="shared" si="7"/>
        <v>63000</v>
      </c>
      <c r="P139" s="97"/>
    </row>
    <row r="140" spans="1:16">
      <c r="A140" t="s">
        <v>1126</v>
      </c>
      <c r="B140" s="184">
        <v>68000</v>
      </c>
      <c r="C140" s="184">
        <v>68000</v>
      </c>
      <c r="D140" s="184">
        <v>68000</v>
      </c>
      <c r="E140" s="184">
        <v>68000</v>
      </c>
      <c r="F140" s="184">
        <v>68000</v>
      </c>
      <c r="G140" s="184">
        <v>68000</v>
      </c>
      <c r="H140" s="184">
        <v>68000</v>
      </c>
      <c r="I140" s="184">
        <v>68000</v>
      </c>
      <c r="J140" s="184">
        <v>68000</v>
      </c>
      <c r="K140" s="184">
        <v>68000</v>
      </c>
      <c r="L140" s="184">
        <v>68000</v>
      </c>
      <c r="M140" s="184">
        <v>68000</v>
      </c>
      <c r="N140" s="184">
        <v>68000</v>
      </c>
      <c r="O140" s="1745">
        <f t="shared" si="7"/>
        <v>68000</v>
      </c>
      <c r="P140" s="97"/>
    </row>
    <row r="141" spans="1:16">
      <c r="A141" t="s">
        <v>21</v>
      </c>
      <c r="B141" s="184">
        <v>59000</v>
      </c>
      <c r="C141" s="184">
        <v>59000</v>
      </c>
      <c r="D141" s="184">
        <v>59000</v>
      </c>
      <c r="E141" s="184">
        <v>59000</v>
      </c>
      <c r="F141" s="184">
        <v>59000</v>
      </c>
      <c r="G141" s="184">
        <v>59000</v>
      </c>
      <c r="H141" s="184">
        <v>59000</v>
      </c>
      <c r="I141" s="184">
        <v>59000</v>
      </c>
      <c r="J141" s="184">
        <v>59000</v>
      </c>
      <c r="K141" s="184">
        <v>59000</v>
      </c>
      <c r="L141" s="184">
        <v>59000</v>
      </c>
      <c r="M141" s="184">
        <v>59000</v>
      </c>
      <c r="N141" s="184">
        <v>59000</v>
      </c>
      <c r="O141" s="1745">
        <f t="shared" si="7"/>
        <v>59000</v>
      </c>
      <c r="P141" s="97"/>
    </row>
    <row r="142" spans="1:16">
      <c r="A142" t="s">
        <v>22</v>
      </c>
      <c r="B142" s="184">
        <v>378000</v>
      </c>
      <c r="C142" s="184">
        <v>378000</v>
      </c>
      <c r="D142" s="184">
        <v>378000</v>
      </c>
      <c r="E142" s="184">
        <v>378000</v>
      </c>
      <c r="F142" s="184">
        <v>378000</v>
      </c>
      <c r="G142" s="184">
        <v>378000</v>
      </c>
      <c r="H142" s="184">
        <v>378000</v>
      </c>
      <c r="I142" s="184">
        <v>378000</v>
      </c>
      <c r="J142" s="184">
        <v>378000</v>
      </c>
      <c r="K142" s="184">
        <v>378000</v>
      </c>
      <c r="L142" s="184">
        <v>378000</v>
      </c>
      <c r="M142" s="184">
        <v>378000</v>
      </c>
      <c r="N142" s="184">
        <v>378000</v>
      </c>
      <c r="O142" s="1745">
        <f t="shared" si="7"/>
        <v>378000</v>
      </c>
      <c r="P142" s="97"/>
    </row>
    <row r="143" spans="1:16">
      <c r="A143" t="s">
        <v>1081</v>
      </c>
      <c r="B143" s="184">
        <v>3023000</v>
      </c>
      <c r="C143" s="184">
        <v>3023000</v>
      </c>
      <c r="D143" s="184">
        <v>3023000</v>
      </c>
      <c r="E143" s="184">
        <v>3023000</v>
      </c>
      <c r="F143" s="184">
        <v>3023000</v>
      </c>
      <c r="G143" s="184">
        <v>3023000</v>
      </c>
      <c r="H143" s="184">
        <v>3023000</v>
      </c>
      <c r="I143" s="184">
        <v>3023000</v>
      </c>
      <c r="J143" s="184">
        <v>3023000</v>
      </c>
      <c r="K143" s="184">
        <v>3023000</v>
      </c>
      <c r="L143" s="184">
        <v>3023000</v>
      </c>
      <c r="M143" s="184">
        <v>3023000</v>
      </c>
      <c r="N143" s="184">
        <v>3023000</v>
      </c>
      <c r="O143" s="1745">
        <f t="shared" si="7"/>
        <v>3023000</v>
      </c>
      <c r="P143" s="97"/>
    </row>
    <row r="144" spans="1:16">
      <c r="A144" t="s">
        <v>1127</v>
      </c>
      <c r="B144" s="184">
        <v>510000</v>
      </c>
      <c r="C144" s="184">
        <v>510000</v>
      </c>
      <c r="D144" s="184">
        <v>510000</v>
      </c>
      <c r="E144" s="184">
        <v>510000</v>
      </c>
      <c r="F144" s="184">
        <v>510000</v>
      </c>
      <c r="G144" s="184">
        <v>510000</v>
      </c>
      <c r="H144" s="184">
        <v>510000</v>
      </c>
      <c r="I144" s="184">
        <v>510000</v>
      </c>
      <c r="J144" s="184">
        <v>510000</v>
      </c>
      <c r="K144" s="184">
        <v>510000</v>
      </c>
      <c r="L144" s="184">
        <v>510000</v>
      </c>
      <c r="M144" s="184">
        <v>510000</v>
      </c>
      <c r="N144" s="184">
        <v>510000</v>
      </c>
      <c r="O144" s="1745">
        <f t="shared" si="7"/>
        <v>510000</v>
      </c>
      <c r="P144" s="97"/>
    </row>
    <row r="145" spans="1:16">
      <c r="A145" t="s">
        <v>1167</v>
      </c>
      <c r="B145" s="184">
        <v>3475000</v>
      </c>
      <c r="C145" s="184">
        <v>3475000</v>
      </c>
      <c r="D145" s="184">
        <v>3475000</v>
      </c>
      <c r="E145" s="184">
        <v>3475000</v>
      </c>
      <c r="F145" s="184">
        <v>3475000</v>
      </c>
      <c r="G145" s="184">
        <v>3475000</v>
      </c>
      <c r="H145" s="184">
        <v>3475000</v>
      </c>
      <c r="I145" s="184">
        <v>3475000</v>
      </c>
      <c r="J145" s="184">
        <v>3475000</v>
      </c>
      <c r="K145" s="184">
        <v>3475000</v>
      </c>
      <c r="L145" s="184">
        <v>3475000</v>
      </c>
      <c r="M145" s="184">
        <v>3475000</v>
      </c>
      <c r="N145" s="184">
        <v>3475000</v>
      </c>
      <c r="O145" s="1745">
        <f>AVERAGE(B145:N145)</f>
        <v>3475000</v>
      </c>
      <c r="P145" s="97"/>
    </row>
    <row r="146" spans="1:16">
      <c r="A146" t="s">
        <v>1082</v>
      </c>
      <c r="B146" s="184">
        <v>22546000</v>
      </c>
      <c r="C146" s="184">
        <v>22546000</v>
      </c>
      <c r="D146" s="184">
        <v>22546000</v>
      </c>
      <c r="E146" s="184">
        <v>22546000</v>
      </c>
      <c r="F146" s="184">
        <v>22546000</v>
      </c>
      <c r="G146" s="184">
        <v>22546000</v>
      </c>
      <c r="H146" s="184">
        <v>22546000</v>
      </c>
      <c r="I146" s="184">
        <v>22546000</v>
      </c>
      <c r="J146" s="184">
        <v>22546000</v>
      </c>
      <c r="K146" s="184">
        <v>22546000</v>
      </c>
      <c r="L146" s="184">
        <v>22546000</v>
      </c>
      <c r="M146" s="184">
        <v>22546000</v>
      </c>
      <c r="N146" s="184">
        <v>22546000</v>
      </c>
      <c r="O146" s="1745">
        <f t="shared" si="7"/>
        <v>22546000</v>
      </c>
      <c r="P146" s="97"/>
    </row>
    <row r="147" spans="1:16">
      <c r="A147" t="s">
        <v>1128</v>
      </c>
      <c r="B147" s="184">
        <v>3837000</v>
      </c>
      <c r="C147" s="184">
        <v>3837000</v>
      </c>
      <c r="D147" s="184">
        <v>3837000</v>
      </c>
      <c r="E147" s="184">
        <v>3837000</v>
      </c>
      <c r="F147" s="184">
        <v>3837000</v>
      </c>
      <c r="G147" s="184">
        <v>3837000</v>
      </c>
      <c r="H147" s="184">
        <v>3837000</v>
      </c>
      <c r="I147" s="184">
        <v>3837000</v>
      </c>
      <c r="J147" s="184">
        <v>3837000</v>
      </c>
      <c r="K147" s="184">
        <v>3837000</v>
      </c>
      <c r="L147" s="184">
        <v>3837000</v>
      </c>
      <c r="M147" s="184">
        <v>3837000</v>
      </c>
      <c r="N147" s="184">
        <v>3837000</v>
      </c>
      <c r="O147" s="1745">
        <f t="shared" si="7"/>
        <v>3837000</v>
      </c>
      <c r="P147" s="97"/>
    </row>
    <row r="148" spans="1:16">
      <c r="A148" t="s">
        <v>1129</v>
      </c>
      <c r="B148" s="184">
        <v>1080000</v>
      </c>
      <c r="C148" s="184">
        <v>1080000</v>
      </c>
      <c r="D148" s="184">
        <v>1080000</v>
      </c>
      <c r="E148" s="184">
        <v>1080000</v>
      </c>
      <c r="F148" s="184">
        <v>1080000</v>
      </c>
      <c r="G148" s="184">
        <v>1080000</v>
      </c>
      <c r="H148" s="184">
        <v>1080000</v>
      </c>
      <c r="I148" s="184">
        <v>1080000</v>
      </c>
      <c r="J148" s="184">
        <v>1080000</v>
      </c>
      <c r="K148" s="184">
        <v>1080000</v>
      </c>
      <c r="L148" s="184">
        <v>1080000</v>
      </c>
      <c r="M148" s="184">
        <v>1080000</v>
      </c>
      <c r="N148" s="184">
        <v>1080000</v>
      </c>
      <c r="O148" s="1745">
        <f t="shared" si="7"/>
        <v>1080000</v>
      </c>
      <c r="P148" s="97"/>
    </row>
    <row r="149" spans="1:16">
      <c r="A149" t="s">
        <v>1130</v>
      </c>
      <c r="B149" s="184">
        <v>3086000</v>
      </c>
      <c r="C149" s="184">
        <v>3086000</v>
      </c>
      <c r="D149" s="184">
        <v>3086000</v>
      </c>
      <c r="E149" s="184">
        <v>3086000</v>
      </c>
      <c r="F149" s="184">
        <v>3086000</v>
      </c>
      <c r="G149" s="184">
        <v>3086000</v>
      </c>
      <c r="H149" s="184">
        <v>3086000</v>
      </c>
      <c r="I149" s="184">
        <v>3086000</v>
      </c>
      <c r="J149" s="184">
        <v>3086000</v>
      </c>
      <c r="K149" s="184">
        <v>3086000</v>
      </c>
      <c r="L149" s="184">
        <v>3086000</v>
      </c>
      <c r="M149" s="184">
        <v>3086000</v>
      </c>
      <c r="N149" s="184">
        <v>3086000</v>
      </c>
      <c r="O149" s="1745">
        <f t="shared" si="7"/>
        <v>3086000</v>
      </c>
      <c r="P149" s="97"/>
    </row>
    <row r="150" spans="1:16">
      <c r="A150" t="s">
        <v>23</v>
      </c>
      <c r="B150" s="428">
        <v>8000</v>
      </c>
      <c r="C150" s="184">
        <v>8000</v>
      </c>
      <c r="D150" s="184">
        <v>8000</v>
      </c>
      <c r="E150" s="184">
        <v>8000</v>
      </c>
      <c r="F150" s="184">
        <v>8000</v>
      </c>
      <c r="G150" s="184">
        <v>8000</v>
      </c>
      <c r="H150" s="184">
        <v>8000</v>
      </c>
      <c r="I150" s="184">
        <v>8000</v>
      </c>
      <c r="J150" s="184">
        <v>8000</v>
      </c>
      <c r="K150" s="184">
        <v>8000</v>
      </c>
      <c r="L150" s="184">
        <v>8000</v>
      </c>
      <c r="M150" s="184">
        <v>8000</v>
      </c>
      <c r="N150" s="184">
        <v>8000</v>
      </c>
      <c r="O150" s="1745">
        <f>AVERAGE(B150:N150)</f>
        <v>8000</v>
      </c>
      <c r="P150" s="97"/>
    </row>
    <row r="151" spans="1:16">
      <c r="A151" s="1334" t="s">
        <v>1149</v>
      </c>
      <c r="B151" s="1808">
        <f>SUM(B77:B150)</f>
        <v>176930000</v>
      </c>
      <c r="C151" s="1808">
        <f t="shared" ref="C151:M151" si="8">SUM(C77:C149)</f>
        <v>176922000</v>
      </c>
      <c r="D151" s="1808">
        <f t="shared" si="8"/>
        <v>176922000</v>
      </c>
      <c r="E151" s="1808">
        <f t="shared" si="8"/>
        <v>176922000</v>
      </c>
      <c r="F151" s="1808">
        <f t="shared" si="8"/>
        <v>176922000</v>
      </c>
      <c r="G151" s="1808">
        <f t="shared" si="8"/>
        <v>176922000</v>
      </c>
      <c r="H151" s="1808">
        <f t="shared" si="8"/>
        <v>176922000</v>
      </c>
      <c r="I151" s="1808">
        <f t="shared" si="8"/>
        <v>176922000</v>
      </c>
      <c r="J151" s="1808">
        <f t="shared" si="8"/>
        <v>176922000</v>
      </c>
      <c r="K151" s="1808">
        <f t="shared" si="8"/>
        <v>176922000</v>
      </c>
      <c r="L151" s="1808">
        <f t="shared" si="8"/>
        <v>176922000</v>
      </c>
      <c r="M151" s="1808">
        <f t="shared" si="8"/>
        <v>176922000</v>
      </c>
      <c r="N151" s="1808">
        <f>SUM(N77:N150)</f>
        <v>176930000</v>
      </c>
      <c r="O151" s="1808">
        <f>SUM(O77:O150)</f>
        <v>176930000</v>
      </c>
      <c r="P151" s="97"/>
    </row>
    <row r="152" spans="1:16">
      <c r="A152" s="97"/>
      <c r="B152" s="445"/>
      <c r="D152" s="125"/>
      <c r="O152" s="638"/>
      <c r="P152" s="97"/>
    </row>
    <row r="153" spans="1:16">
      <c r="A153" t="s">
        <v>1169</v>
      </c>
      <c r="B153" s="184">
        <v>89000</v>
      </c>
      <c r="C153" s="184">
        <v>89000</v>
      </c>
      <c r="D153" s="184">
        <v>89000</v>
      </c>
      <c r="E153" s="184">
        <v>89000</v>
      </c>
      <c r="F153" s="184">
        <v>89000</v>
      </c>
      <c r="G153" s="184">
        <v>89000</v>
      </c>
      <c r="H153" s="184">
        <v>89000</v>
      </c>
      <c r="I153" s="184">
        <v>89000</v>
      </c>
      <c r="J153" s="184">
        <v>89000</v>
      </c>
      <c r="K153" s="184">
        <v>89000</v>
      </c>
      <c r="L153" s="184">
        <v>89000</v>
      </c>
      <c r="M153" s="184">
        <v>89000</v>
      </c>
      <c r="N153" s="184">
        <v>89000</v>
      </c>
      <c r="O153" s="1745">
        <f t="shared" ref="O153:O155" si="9">AVERAGE(B153:N153)</f>
        <v>89000</v>
      </c>
      <c r="P153" s="97"/>
    </row>
    <row r="154" spans="1:16">
      <c r="A154" t="s">
        <v>1170</v>
      </c>
      <c r="B154" s="184">
        <v>269000</v>
      </c>
      <c r="C154" s="184">
        <v>269000</v>
      </c>
      <c r="D154" s="184">
        <v>269000</v>
      </c>
      <c r="E154" s="184">
        <v>269000</v>
      </c>
      <c r="F154" s="184">
        <v>269000</v>
      </c>
      <c r="G154" s="184">
        <v>269000</v>
      </c>
      <c r="H154" s="184">
        <v>269000</v>
      </c>
      <c r="I154" s="184">
        <v>269000</v>
      </c>
      <c r="J154" s="184">
        <v>269000</v>
      </c>
      <c r="K154" s="184">
        <v>269000</v>
      </c>
      <c r="L154" s="184">
        <v>269000</v>
      </c>
      <c r="M154" s="184">
        <v>269000</v>
      </c>
      <c r="N154" s="184">
        <v>269000</v>
      </c>
      <c r="O154" s="1745">
        <f t="shared" si="9"/>
        <v>269000</v>
      </c>
      <c r="P154" s="97"/>
    </row>
    <row r="155" spans="1:16">
      <c r="A155" t="s">
        <v>1168</v>
      </c>
      <c r="B155" s="184">
        <v>3515000</v>
      </c>
      <c r="C155" s="184">
        <v>3515000</v>
      </c>
      <c r="D155" s="184">
        <v>3515000</v>
      </c>
      <c r="E155" s="184">
        <v>3515000</v>
      </c>
      <c r="F155" s="184">
        <v>3515000</v>
      </c>
      <c r="G155" s="184">
        <v>3515000</v>
      </c>
      <c r="H155" s="184">
        <v>3515000</v>
      </c>
      <c r="I155" s="184">
        <v>3515000</v>
      </c>
      <c r="J155" s="184">
        <v>3515000</v>
      </c>
      <c r="K155" s="184">
        <v>3515000</v>
      </c>
      <c r="L155" s="184">
        <v>3515000</v>
      </c>
      <c r="M155" s="184">
        <v>3515000</v>
      </c>
      <c r="N155" s="184">
        <v>3515000</v>
      </c>
      <c r="O155" s="1745">
        <f t="shared" si="9"/>
        <v>3515000</v>
      </c>
      <c r="P155" s="97"/>
    </row>
    <row r="156" spans="1:16">
      <c r="A156" s="1334" t="s">
        <v>1150</v>
      </c>
      <c r="B156" s="1812">
        <f t="shared" ref="B156:O156" si="10">SUM(B153:B155)</f>
        <v>3873000</v>
      </c>
      <c r="C156" s="1812">
        <f t="shared" si="10"/>
        <v>3873000</v>
      </c>
      <c r="D156" s="1812">
        <f t="shared" si="10"/>
        <v>3873000</v>
      </c>
      <c r="E156" s="1812">
        <f t="shared" si="10"/>
        <v>3873000</v>
      </c>
      <c r="F156" s="1812">
        <f t="shared" si="10"/>
        <v>3873000</v>
      </c>
      <c r="G156" s="1812">
        <f t="shared" si="10"/>
        <v>3873000</v>
      </c>
      <c r="H156" s="1812">
        <f t="shared" si="10"/>
        <v>3873000</v>
      </c>
      <c r="I156" s="1812">
        <f t="shared" si="10"/>
        <v>3873000</v>
      </c>
      <c r="J156" s="1812">
        <f t="shared" si="10"/>
        <v>3873000</v>
      </c>
      <c r="K156" s="1812">
        <f t="shared" si="10"/>
        <v>3873000</v>
      </c>
      <c r="L156" s="1812">
        <f t="shared" si="10"/>
        <v>3873000</v>
      </c>
      <c r="M156" s="1812">
        <f t="shared" si="10"/>
        <v>3873000</v>
      </c>
      <c r="N156" s="1812">
        <f t="shared" si="10"/>
        <v>3873000</v>
      </c>
      <c r="O156" s="1812">
        <f t="shared" si="10"/>
        <v>3873000</v>
      </c>
      <c r="P156" s="97"/>
    </row>
    <row r="157" spans="1:16">
      <c r="A157" s="183"/>
      <c r="B157" s="1805"/>
      <c r="C157" s="1805"/>
      <c r="D157" s="1805"/>
      <c r="E157" s="1805"/>
      <c r="F157" s="1805"/>
      <c r="G157" s="1805"/>
      <c r="H157" s="1805"/>
      <c r="I157" s="1805"/>
      <c r="J157" s="1805"/>
      <c r="K157" s="1805"/>
      <c r="L157" s="1805"/>
      <c r="M157" s="1805"/>
      <c r="N157" s="1805"/>
      <c r="O157" s="1745"/>
      <c r="P157" s="97"/>
    </row>
    <row r="158" spans="1:16">
      <c r="A158" s="819"/>
      <c r="B158" s="819"/>
      <c r="C158" s="819"/>
      <c r="D158" s="819"/>
      <c r="E158" s="819"/>
      <c r="F158" s="819"/>
      <c r="G158" s="819"/>
      <c r="H158" s="819"/>
      <c r="I158" s="819"/>
      <c r="J158" s="819"/>
      <c r="K158" s="819"/>
      <c r="L158" s="819"/>
      <c r="M158" s="819"/>
      <c r="N158" s="1529"/>
      <c r="O158" s="1335"/>
      <c r="P158" s="97"/>
    </row>
    <row r="159" spans="1:16" ht="15.75">
      <c r="A159" s="774" t="s">
        <v>1131</v>
      </c>
      <c r="B159" s="1793">
        <f t="shared" ref="B159:N159" si="11">B151+B50</f>
        <v>1502838000</v>
      </c>
      <c r="C159" s="1793">
        <f t="shared" si="11"/>
        <v>1504794000</v>
      </c>
      <c r="D159" s="1793">
        <f t="shared" si="11"/>
        <v>1507592000</v>
      </c>
      <c r="E159" s="1793">
        <f t="shared" si="11"/>
        <v>1509501000</v>
      </c>
      <c r="F159" s="1793">
        <f t="shared" si="11"/>
        <v>1510554000</v>
      </c>
      <c r="G159" s="1793">
        <f t="shared" si="11"/>
        <v>1511440000</v>
      </c>
      <c r="H159" s="1793">
        <f t="shared" si="11"/>
        <v>1513675000</v>
      </c>
      <c r="I159" s="1793">
        <f t="shared" si="11"/>
        <v>1526496000</v>
      </c>
      <c r="J159" s="1793">
        <f t="shared" si="11"/>
        <v>1526622000</v>
      </c>
      <c r="K159" s="1793">
        <f t="shared" si="11"/>
        <v>1667277000</v>
      </c>
      <c r="L159" s="1793">
        <f t="shared" si="11"/>
        <v>1729722000</v>
      </c>
      <c r="M159" s="1793">
        <f t="shared" si="11"/>
        <v>1737573000</v>
      </c>
      <c r="N159" s="1793">
        <f t="shared" si="11"/>
        <v>1795536000</v>
      </c>
      <c r="O159" s="1793">
        <f>AVERAGE(B159:N159)</f>
        <v>1580278461.5384614</v>
      </c>
      <c r="P159" s="97"/>
    </row>
    <row r="160" spans="1:16" ht="15.75">
      <c r="A160" s="774" t="s">
        <v>1132</v>
      </c>
      <c r="B160" s="1793">
        <f t="shared" ref="B160:N160" si="12">B156+B65</f>
        <v>101013000</v>
      </c>
      <c r="C160" s="1793">
        <f t="shared" si="12"/>
        <v>101047000</v>
      </c>
      <c r="D160" s="1793">
        <f t="shared" si="12"/>
        <v>101047000</v>
      </c>
      <c r="E160" s="1793">
        <f t="shared" si="12"/>
        <v>101047000</v>
      </c>
      <c r="F160" s="1793">
        <f t="shared" si="12"/>
        <v>101047000</v>
      </c>
      <c r="G160" s="1793">
        <f t="shared" si="12"/>
        <v>101047000</v>
      </c>
      <c r="H160" s="1793">
        <f t="shared" si="12"/>
        <v>101047000</v>
      </c>
      <c r="I160" s="1793">
        <f t="shared" si="12"/>
        <v>101047000</v>
      </c>
      <c r="J160" s="1793">
        <f t="shared" si="12"/>
        <v>101047000</v>
      </c>
      <c r="K160" s="1793">
        <f t="shared" si="12"/>
        <v>101047000</v>
      </c>
      <c r="L160" s="1793">
        <f t="shared" si="12"/>
        <v>101047000</v>
      </c>
      <c r="M160" s="1793">
        <f t="shared" si="12"/>
        <v>101047000</v>
      </c>
      <c r="N160" s="1793">
        <f t="shared" si="12"/>
        <v>100077000</v>
      </c>
      <c r="O160" s="1793">
        <f>AVERAGE(B160:N160)</f>
        <v>100969769.23076923</v>
      </c>
      <c r="P160" s="97"/>
    </row>
    <row r="161" spans="1:16" ht="15.75">
      <c r="A161" s="774" t="s">
        <v>1133</v>
      </c>
      <c r="B161" s="1793">
        <f t="shared" ref="B161:N161" si="13">B75</f>
        <v>94798000</v>
      </c>
      <c r="C161" s="1793">
        <f t="shared" si="13"/>
        <v>94798000</v>
      </c>
      <c r="D161" s="1793">
        <f t="shared" si="13"/>
        <v>94798000</v>
      </c>
      <c r="E161" s="1793">
        <f t="shared" si="13"/>
        <v>94798000</v>
      </c>
      <c r="F161" s="1793">
        <f t="shared" si="13"/>
        <v>94798000</v>
      </c>
      <c r="G161" s="1793">
        <f t="shared" si="13"/>
        <v>94798000</v>
      </c>
      <c r="H161" s="1793">
        <f t="shared" si="13"/>
        <v>94798000</v>
      </c>
      <c r="I161" s="1793">
        <f t="shared" si="13"/>
        <v>94798000</v>
      </c>
      <c r="J161" s="1793">
        <f t="shared" si="13"/>
        <v>94798000</v>
      </c>
      <c r="K161" s="1793">
        <f t="shared" si="13"/>
        <v>94798000</v>
      </c>
      <c r="L161" s="1793">
        <f t="shared" si="13"/>
        <v>94798000</v>
      </c>
      <c r="M161" s="1793">
        <f t="shared" si="13"/>
        <v>94798000</v>
      </c>
      <c r="N161" s="1793">
        <f t="shared" si="13"/>
        <v>94798000</v>
      </c>
      <c r="O161" s="1793">
        <f>AVERAGE(B161:N161)</f>
        <v>94798000</v>
      </c>
      <c r="P161" s="97"/>
    </row>
    <row r="162" spans="1:16" ht="15.75">
      <c r="A162" s="180" t="s">
        <v>1171</v>
      </c>
      <c r="B162" s="1826">
        <f t="shared" ref="B162:N162" si="14">B52</f>
        <v>3234000</v>
      </c>
      <c r="C162" s="1826">
        <f t="shared" si="14"/>
        <v>3234000</v>
      </c>
      <c r="D162" s="1826">
        <f t="shared" si="14"/>
        <v>3234000</v>
      </c>
      <c r="E162" s="1826">
        <f t="shared" si="14"/>
        <v>3234000</v>
      </c>
      <c r="F162" s="1826">
        <f t="shared" si="14"/>
        <v>3234000</v>
      </c>
      <c r="G162" s="1826">
        <f t="shared" si="14"/>
        <v>3234000</v>
      </c>
      <c r="H162" s="1826">
        <f t="shared" si="14"/>
        <v>3234000</v>
      </c>
      <c r="I162" s="1826">
        <f t="shared" si="14"/>
        <v>3234000</v>
      </c>
      <c r="J162" s="1826">
        <f t="shared" si="14"/>
        <v>3234000</v>
      </c>
      <c r="K162" s="1826">
        <f t="shared" si="14"/>
        <v>3234000</v>
      </c>
      <c r="L162" s="1826">
        <f t="shared" si="14"/>
        <v>3234000</v>
      </c>
      <c r="M162" s="1826">
        <f t="shared" si="14"/>
        <v>3234000</v>
      </c>
      <c r="N162" s="1826">
        <f t="shared" si="14"/>
        <v>1971000</v>
      </c>
      <c r="O162" s="1793">
        <f>AVERAGE(B162:N162)</f>
        <v>3136846.153846154</v>
      </c>
      <c r="P162" s="97"/>
    </row>
    <row r="163" spans="1:16">
      <c r="A163" s="774" t="s">
        <v>1134</v>
      </c>
      <c r="B163" s="836">
        <f>SUM(B159:B162)</f>
        <v>1701883000</v>
      </c>
      <c r="C163" s="836">
        <f t="shared" ref="C163:M163" si="15">SUM(C159:C162)</f>
        <v>1703873000</v>
      </c>
      <c r="D163" s="836">
        <f t="shared" si="15"/>
        <v>1706671000</v>
      </c>
      <c r="E163" s="836">
        <f t="shared" si="15"/>
        <v>1708580000</v>
      </c>
      <c r="F163" s="836">
        <f t="shared" si="15"/>
        <v>1709633000</v>
      </c>
      <c r="G163" s="836">
        <f t="shared" si="15"/>
        <v>1710519000</v>
      </c>
      <c r="H163" s="836">
        <f t="shared" si="15"/>
        <v>1712754000</v>
      </c>
      <c r="I163" s="836">
        <f t="shared" si="15"/>
        <v>1725575000</v>
      </c>
      <c r="J163" s="836">
        <f t="shared" si="15"/>
        <v>1725701000</v>
      </c>
      <c r="K163" s="836">
        <f t="shared" si="15"/>
        <v>1866356000</v>
      </c>
      <c r="L163" s="836">
        <f t="shared" si="15"/>
        <v>1928801000</v>
      </c>
      <c r="M163" s="836">
        <f t="shared" si="15"/>
        <v>1936652000</v>
      </c>
      <c r="N163" s="836">
        <f>SUM(N159:N162)</f>
        <v>1992382000</v>
      </c>
      <c r="O163" s="836">
        <f>SUM(O159:O162)</f>
        <v>1779183076.9230769</v>
      </c>
      <c r="P163" s="97"/>
    </row>
    <row r="164" spans="1:16">
      <c r="A164" s="819"/>
      <c r="B164" s="819"/>
      <c r="C164" s="819"/>
      <c r="D164" s="819"/>
      <c r="E164" s="819"/>
      <c r="F164" s="819"/>
      <c r="G164" s="819"/>
      <c r="H164" s="819"/>
      <c r="I164" s="819"/>
      <c r="J164" s="819"/>
      <c r="K164" s="819"/>
      <c r="L164" s="819"/>
      <c r="M164" s="819"/>
      <c r="N164" s="97"/>
      <c r="O164" s="97"/>
      <c r="P164" s="97"/>
    </row>
    <row r="165" spans="1:16">
      <c r="A165" s="1791" t="s">
        <v>1135</v>
      </c>
      <c r="B165" s="819"/>
      <c r="C165" s="819"/>
      <c r="D165" s="819"/>
      <c r="E165" s="819"/>
      <c r="F165" s="819"/>
      <c r="G165" s="819"/>
      <c r="H165" s="819"/>
      <c r="I165" s="819"/>
      <c r="J165" s="819"/>
      <c r="K165" s="819"/>
      <c r="L165" s="819"/>
      <c r="M165" s="819"/>
      <c r="N165" s="97"/>
      <c r="O165" s="1792" t="s">
        <v>1136</v>
      </c>
      <c r="P165" s="97"/>
    </row>
    <row r="166" spans="1:16">
      <c r="A166" s="1791"/>
      <c r="B166" s="819"/>
      <c r="C166" s="819"/>
      <c r="D166" s="819"/>
      <c r="E166" s="819"/>
      <c r="F166" s="819"/>
      <c r="G166" s="819"/>
      <c r="H166" s="819"/>
      <c r="I166" s="819"/>
      <c r="J166" s="819"/>
      <c r="K166" s="819"/>
      <c r="L166" s="819"/>
      <c r="M166" s="819"/>
      <c r="N166" s="97"/>
      <c r="O166" s="1792"/>
      <c r="P166" s="97"/>
    </row>
    <row r="167" spans="1:16">
      <c r="A167" s="819"/>
      <c r="B167" s="819"/>
      <c r="C167" s="819"/>
      <c r="D167" s="819"/>
      <c r="E167" s="819"/>
      <c r="F167" s="819"/>
      <c r="G167" s="819"/>
      <c r="H167" s="819"/>
      <c r="I167" s="819"/>
      <c r="J167" s="819"/>
      <c r="K167" s="819"/>
      <c r="L167" s="819"/>
      <c r="M167" s="819"/>
      <c r="N167" s="97"/>
      <c r="O167" s="97"/>
      <c r="P167" s="97"/>
    </row>
    <row r="168" spans="1:16">
      <c r="A168" s="817" t="s">
        <v>1138</v>
      </c>
      <c r="O168" s="820"/>
      <c r="P168" s="97"/>
    </row>
    <row r="169" spans="1:16" ht="15">
      <c r="A169" s="774" t="s">
        <v>538</v>
      </c>
      <c r="B169" s="1433">
        <f t="shared" ref="B169:N169" si="16">B5</f>
        <v>44896</v>
      </c>
      <c r="C169" s="1433">
        <f t="shared" si="16"/>
        <v>44927</v>
      </c>
      <c r="D169" s="1433">
        <f t="shared" si="16"/>
        <v>44958</v>
      </c>
      <c r="E169" s="1433">
        <f t="shared" si="16"/>
        <v>44986</v>
      </c>
      <c r="F169" s="1433">
        <f t="shared" si="16"/>
        <v>45017</v>
      </c>
      <c r="G169" s="1433">
        <f t="shared" si="16"/>
        <v>45047</v>
      </c>
      <c r="H169" s="1433">
        <f t="shared" si="16"/>
        <v>45078</v>
      </c>
      <c r="I169" s="1433">
        <f t="shared" si="16"/>
        <v>45108</v>
      </c>
      <c r="J169" s="1433">
        <f t="shared" si="16"/>
        <v>45139</v>
      </c>
      <c r="K169" s="1433">
        <f t="shared" si="16"/>
        <v>45170</v>
      </c>
      <c r="L169" s="1433">
        <f t="shared" si="16"/>
        <v>45200</v>
      </c>
      <c r="M169" s="1433">
        <f t="shared" si="16"/>
        <v>45231</v>
      </c>
      <c r="N169" s="1433">
        <f t="shared" si="16"/>
        <v>45261</v>
      </c>
      <c r="O169" s="818" t="s">
        <v>79</v>
      </c>
      <c r="P169" s="97"/>
    </row>
    <row r="170" spans="1:16">
      <c r="A170" s="1840" t="s">
        <v>1164</v>
      </c>
      <c r="B170" s="428">
        <v>3817000</v>
      </c>
      <c r="C170" s="428">
        <v>3834000</v>
      </c>
      <c r="D170" s="428">
        <v>3851000</v>
      </c>
      <c r="E170" s="428">
        <v>3868000</v>
      </c>
      <c r="F170" s="428">
        <v>3886000</v>
      </c>
      <c r="G170" s="428">
        <v>3903000</v>
      </c>
      <c r="H170" s="428">
        <v>3920000</v>
      </c>
      <c r="I170" s="428">
        <v>3937000</v>
      </c>
      <c r="J170" s="428">
        <v>3954000</v>
      </c>
      <c r="K170" s="428">
        <v>3971000</v>
      </c>
      <c r="L170" s="428">
        <v>3988000</v>
      </c>
      <c r="M170" s="428">
        <v>4005000</v>
      </c>
      <c r="N170" s="428">
        <v>4022000</v>
      </c>
      <c r="O170" s="184">
        <f t="shared" ref="O170:O215" si="17">AVERAGE(B170:N170)</f>
        <v>3919692.3076923075</v>
      </c>
      <c r="P170" s="97"/>
    </row>
    <row r="171" spans="1:16">
      <c r="A171" s="1840" t="s">
        <v>427</v>
      </c>
      <c r="B171" s="428">
        <v>749000</v>
      </c>
      <c r="C171" s="428">
        <v>760000</v>
      </c>
      <c r="D171" s="428">
        <v>770000</v>
      </c>
      <c r="E171" s="428">
        <v>780000</v>
      </c>
      <c r="F171" s="428">
        <v>790000</v>
      </c>
      <c r="G171" s="428">
        <v>800000</v>
      </c>
      <c r="H171" s="428">
        <v>810000</v>
      </c>
      <c r="I171" s="428">
        <v>820000</v>
      </c>
      <c r="J171" s="428">
        <v>831000</v>
      </c>
      <c r="K171" s="428">
        <v>841000</v>
      </c>
      <c r="L171" s="428">
        <v>851000</v>
      </c>
      <c r="M171" s="428">
        <v>861000</v>
      </c>
      <c r="N171" s="428">
        <v>871000</v>
      </c>
      <c r="O171" s="184">
        <f t="shared" si="17"/>
        <v>810307.69230769225</v>
      </c>
      <c r="P171" s="97"/>
    </row>
    <row r="172" spans="1:16">
      <c r="A172" s="1840" t="s">
        <v>487</v>
      </c>
      <c r="B172" s="428">
        <v>10041000</v>
      </c>
      <c r="C172" s="428">
        <v>10060000</v>
      </c>
      <c r="D172" s="428">
        <v>10079000</v>
      </c>
      <c r="E172" s="428">
        <v>10097000</v>
      </c>
      <c r="F172" s="428">
        <v>10116000</v>
      </c>
      <c r="G172" s="428">
        <v>10135000</v>
      </c>
      <c r="H172" s="428">
        <v>10154000</v>
      </c>
      <c r="I172" s="428">
        <v>10173000</v>
      </c>
      <c r="J172" s="428">
        <v>10191000</v>
      </c>
      <c r="K172" s="428">
        <v>10210000</v>
      </c>
      <c r="L172" s="428">
        <v>10229000</v>
      </c>
      <c r="M172" s="428">
        <v>10248000</v>
      </c>
      <c r="N172" s="428">
        <v>10266000</v>
      </c>
      <c r="O172" s="184">
        <f t="shared" si="17"/>
        <v>10153769.23076923</v>
      </c>
      <c r="P172" s="97"/>
    </row>
    <row r="173" spans="1:16">
      <c r="A173" s="1840" t="s">
        <v>1113</v>
      </c>
      <c r="B173" s="428">
        <v>69000</v>
      </c>
      <c r="C173" s="428">
        <v>69000</v>
      </c>
      <c r="D173" s="428">
        <v>69000</v>
      </c>
      <c r="E173" s="428">
        <v>69000</v>
      </c>
      <c r="F173" s="428">
        <v>69000</v>
      </c>
      <c r="G173" s="428">
        <v>69000</v>
      </c>
      <c r="H173" s="428">
        <v>69000</v>
      </c>
      <c r="I173" s="428">
        <v>69000</v>
      </c>
      <c r="J173" s="428">
        <v>70000</v>
      </c>
      <c r="K173" s="428">
        <v>70000</v>
      </c>
      <c r="L173" s="428">
        <v>70000</v>
      </c>
      <c r="M173" s="428">
        <v>70000</v>
      </c>
      <c r="N173" s="428">
        <v>70000</v>
      </c>
      <c r="O173" s="184">
        <f t="shared" si="17"/>
        <v>69384.61538461539</v>
      </c>
      <c r="P173" s="97"/>
    </row>
    <row r="174" spans="1:16">
      <c r="A174" s="1840" t="s">
        <v>1114</v>
      </c>
      <c r="B174" s="428">
        <v>50000</v>
      </c>
      <c r="C174" s="428">
        <v>50000</v>
      </c>
      <c r="D174" s="428">
        <v>50000</v>
      </c>
      <c r="E174" s="428">
        <v>50000</v>
      </c>
      <c r="F174" s="428">
        <v>50000</v>
      </c>
      <c r="G174" s="428">
        <v>50000</v>
      </c>
      <c r="H174" s="428">
        <v>51000</v>
      </c>
      <c r="I174" s="428">
        <v>51000</v>
      </c>
      <c r="J174" s="428">
        <v>51000</v>
      </c>
      <c r="K174" s="428">
        <v>51000</v>
      </c>
      <c r="L174" s="428">
        <v>51000</v>
      </c>
      <c r="M174" s="428">
        <v>51000</v>
      </c>
      <c r="N174" s="428">
        <v>51000</v>
      </c>
      <c r="O174" s="184">
        <f t="shared" si="17"/>
        <v>50538.461538461539</v>
      </c>
      <c r="P174" s="97"/>
    </row>
    <row r="175" spans="1:16">
      <c r="A175" s="1840" t="s">
        <v>491</v>
      </c>
      <c r="B175" s="428">
        <v>737000</v>
      </c>
      <c r="C175" s="428">
        <v>743000</v>
      </c>
      <c r="D175" s="428">
        <v>749000</v>
      </c>
      <c r="E175" s="428">
        <v>755000</v>
      </c>
      <c r="F175" s="428">
        <v>761000</v>
      </c>
      <c r="G175" s="428">
        <v>767000</v>
      </c>
      <c r="H175" s="428">
        <v>773000</v>
      </c>
      <c r="I175" s="428">
        <v>778000</v>
      </c>
      <c r="J175" s="428">
        <v>784000</v>
      </c>
      <c r="K175" s="428">
        <v>790000</v>
      </c>
      <c r="L175" s="428">
        <v>796000</v>
      </c>
      <c r="M175" s="428">
        <v>802000</v>
      </c>
      <c r="N175" s="428">
        <v>808000</v>
      </c>
      <c r="O175" s="184">
        <f t="shared" si="17"/>
        <v>772538.4615384615</v>
      </c>
      <c r="P175" s="97"/>
    </row>
    <row r="176" spans="1:16">
      <c r="A176" s="1840" t="s">
        <v>428</v>
      </c>
      <c r="B176" s="428">
        <v>393000</v>
      </c>
      <c r="C176" s="428">
        <v>395000</v>
      </c>
      <c r="D176" s="428">
        <v>397000</v>
      </c>
      <c r="E176" s="428">
        <v>400000</v>
      </c>
      <c r="F176" s="428">
        <v>402000</v>
      </c>
      <c r="G176" s="428">
        <v>404000</v>
      </c>
      <c r="H176" s="428">
        <v>406000</v>
      </c>
      <c r="I176" s="428">
        <v>408000</v>
      </c>
      <c r="J176" s="428">
        <v>410000</v>
      </c>
      <c r="K176" s="428">
        <v>412000</v>
      </c>
      <c r="L176" s="428">
        <v>415000</v>
      </c>
      <c r="M176" s="428">
        <v>417000</v>
      </c>
      <c r="N176" s="428">
        <v>419000</v>
      </c>
      <c r="O176" s="184">
        <f t="shared" si="17"/>
        <v>406000</v>
      </c>
      <c r="P176" s="97"/>
    </row>
    <row r="177" spans="1:16">
      <c r="A177" s="1840" t="s">
        <v>492</v>
      </c>
      <c r="B177" s="428">
        <v>992000</v>
      </c>
      <c r="C177" s="428">
        <v>994000</v>
      </c>
      <c r="D177" s="428">
        <v>997000</v>
      </c>
      <c r="E177" s="428">
        <v>999000</v>
      </c>
      <c r="F177" s="428">
        <v>1002000</v>
      </c>
      <c r="G177" s="428">
        <v>1005000</v>
      </c>
      <c r="H177" s="428">
        <v>1007000</v>
      </c>
      <c r="I177" s="428">
        <v>1010000</v>
      </c>
      <c r="J177" s="428">
        <v>1013000</v>
      </c>
      <c r="K177" s="428">
        <v>1016000</v>
      </c>
      <c r="L177" s="428">
        <v>1018000</v>
      </c>
      <c r="M177" s="428">
        <v>1021000</v>
      </c>
      <c r="N177" s="428">
        <v>1024000</v>
      </c>
      <c r="O177" s="184">
        <f>AVERAGE(B177:N177)</f>
        <v>1007538.4615384615</v>
      </c>
      <c r="P177" s="97"/>
    </row>
    <row r="178" spans="1:16">
      <c r="A178" s="1840" t="s">
        <v>1173</v>
      </c>
      <c r="B178" s="428">
        <v>220000</v>
      </c>
      <c r="C178" s="428">
        <v>220000</v>
      </c>
      <c r="D178" s="428">
        <v>220000</v>
      </c>
      <c r="E178" s="428">
        <v>220000</v>
      </c>
      <c r="F178" s="428">
        <v>220000</v>
      </c>
      <c r="G178" s="428">
        <v>220000</v>
      </c>
      <c r="H178" s="428">
        <v>220000</v>
      </c>
      <c r="I178" s="428">
        <v>220000</v>
      </c>
      <c r="J178" s="428">
        <v>220000</v>
      </c>
      <c r="K178" s="428">
        <v>220000</v>
      </c>
      <c r="L178" s="428">
        <v>220000</v>
      </c>
      <c r="M178" s="428">
        <v>220000</v>
      </c>
      <c r="N178" s="428">
        <v>220000</v>
      </c>
      <c r="O178" s="184">
        <v>22334713.636923078</v>
      </c>
      <c r="P178" s="97"/>
    </row>
    <row r="179" spans="1:16">
      <c r="A179" s="126" t="s">
        <v>1115</v>
      </c>
      <c r="B179" s="428">
        <v>1192000</v>
      </c>
      <c r="C179" s="428">
        <v>1198000</v>
      </c>
      <c r="D179" s="428">
        <v>1205000</v>
      </c>
      <c r="E179" s="428">
        <v>1212000</v>
      </c>
      <c r="F179" s="428">
        <v>1219000</v>
      </c>
      <c r="G179" s="428">
        <v>1226000</v>
      </c>
      <c r="H179" s="428">
        <v>1233000</v>
      </c>
      <c r="I179" s="428">
        <v>1239000</v>
      </c>
      <c r="J179" s="428">
        <v>1246000</v>
      </c>
      <c r="K179" s="428">
        <v>1253000</v>
      </c>
      <c r="L179" s="428">
        <v>1260000</v>
      </c>
      <c r="M179" s="428">
        <v>1267000</v>
      </c>
      <c r="N179" s="428">
        <v>1274000</v>
      </c>
      <c r="O179" s="184">
        <f t="shared" si="17"/>
        <v>1232615.3846153845</v>
      </c>
      <c r="P179" s="97"/>
    </row>
    <row r="180" spans="1:16">
      <c r="A180" s="126" t="s">
        <v>494</v>
      </c>
      <c r="B180" s="428">
        <v>238000</v>
      </c>
      <c r="C180" s="428">
        <v>247000</v>
      </c>
      <c r="D180" s="428">
        <v>255000</v>
      </c>
      <c r="E180" s="428">
        <v>264000</v>
      </c>
      <c r="F180" s="428">
        <v>272000</v>
      </c>
      <c r="G180" s="428">
        <v>281000</v>
      </c>
      <c r="H180" s="428">
        <v>290000</v>
      </c>
      <c r="I180" s="428">
        <v>298000</v>
      </c>
      <c r="J180" s="428">
        <v>307000</v>
      </c>
      <c r="K180" s="428">
        <v>315000</v>
      </c>
      <c r="L180" s="428">
        <v>324000</v>
      </c>
      <c r="M180" s="428">
        <v>332000</v>
      </c>
      <c r="N180" s="428">
        <v>341000</v>
      </c>
      <c r="O180" s="184">
        <f t="shared" si="17"/>
        <v>289538.46153846156</v>
      </c>
      <c r="P180" s="97"/>
    </row>
    <row r="181" spans="1:16">
      <c r="A181" s="126" t="s">
        <v>495</v>
      </c>
      <c r="B181" s="428">
        <v>28151000</v>
      </c>
      <c r="C181" s="428">
        <v>28375000</v>
      </c>
      <c r="D181" s="428">
        <v>28602000</v>
      </c>
      <c r="E181" s="428">
        <v>28828000</v>
      </c>
      <c r="F181" s="428">
        <v>29055000</v>
      </c>
      <c r="G181" s="428">
        <v>29282000</v>
      </c>
      <c r="H181" s="428">
        <v>29508000</v>
      </c>
      <c r="I181" s="428">
        <v>29307000</v>
      </c>
      <c r="J181" s="428">
        <v>29533000</v>
      </c>
      <c r="K181" s="428">
        <v>29781000</v>
      </c>
      <c r="L181" s="428">
        <v>30051000</v>
      </c>
      <c r="M181" s="428">
        <v>30321000</v>
      </c>
      <c r="N181" s="428">
        <v>30591000</v>
      </c>
      <c r="O181" s="184">
        <f t="shared" si="17"/>
        <v>29337307.692307692</v>
      </c>
      <c r="P181" s="97"/>
    </row>
    <row r="182" spans="1:16">
      <c r="A182" s="126" t="s">
        <v>1073</v>
      </c>
      <c r="B182" s="428">
        <v>124000</v>
      </c>
      <c r="C182" s="428">
        <v>127000</v>
      </c>
      <c r="D182" s="428">
        <v>130000</v>
      </c>
      <c r="E182" s="428">
        <v>133000</v>
      </c>
      <c r="F182" s="428">
        <v>135000</v>
      </c>
      <c r="G182" s="428">
        <v>138000</v>
      </c>
      <c r="H182" s="428">
        <v>141000</v>
      </c>
      <c r="I182" s="428">
        <v>144000</v>
      </c>
      <c r="J182" s="428">
        <v>147000</v>
      </c>
      <c r="K182" s="428">
        <v>150000</v>
      </c>
      <c r="L182" s="428">
        <v>153000</v>
      </c>
      <c r="M182" s="428">
        <v>156000</v>
      </c>
      <c r="N182" s="428">
        <v>158000</v>
      </c>
      <c r="O182" s="184">
        <f t="shared" si="17"/>
        <v>141230.76923076922</v>
      </c>
      <c r="P182" s="97"/>
    </row>
    <row r="183" spans="1:16">
      <c r="A183" s="126" t="s">
        <v>1181</v>
      </c>
      <c r="B183" s="428">
        <v>29476000</v>
      </c>
      <c r="C183" s="428">
        <v>29899000</v>
      </c>
      <c r="D183" s="428">
        <v>30335000</v>
      </c>
      <c r="E183" s="428">
        <v>30775000</v>
      </c>
      <c r="F183" s="428">
        <v>31217000</v>
      </c>
      <c r="G183" s="428">
        <v>31659000</v>
      </c>
      <c r="H183" s="428">
        <v>32096000</v>
      </c>
      <c r="I183" s="428">
        <v>32523000</v>
      </c>
      <c r="J183" s="428">
        <v>32818000</v>
      </c>
      <c r="K183" s="428">
        <v>33312000</v>
      </c>
      <c r="L183" s="428">
        <v>33831000</v>
      </c>
      <c r="M183" s="428">
        <v>34355000</v>
      </c>
      <c r="N183" s="428">
        <v>34893000</v>
      </c>
      <c r="O183" s="184">
        <f t="shared" si="17"/>
        <v>32091461.53846154</v>
      </c>
      <c r="P183" s="97"/>
    </row>
    <row r="184" spans="1:16">
      <c r="A184" s="126" t="s">
        <v>496</v>
      </c>
      <c r="B184" s="428">
        <v>2633000</v>
      </c>
      <c r="C184" s="428">
        <v>2643000</v>
      </c>
      <c r="D184" s="428">
        <v>2652000</v>
      </c>
      <c r="E184" s="428">
        <v>2662000</v>
      </c>
      <c r="F184" s="428">
        <v>2672000</v>
      </c>
      <c r="G184" s="428">
        <v>2681000</v>
      </c>
      <c r="H184" s="428">
        <v>2691000</v>
      </c>
      <c r="I184" s="428">
        <v>2700000</v>
      </c>
      <c r="J184" s="428">
        <v>2710000</v>
      </c>
      <c r="K184" s="428">
        <v>2720000</v>
      </c>
      <c r="L184" s="428">
        <v>2729000</v>
      </c>
      <c r="M184" s="428">
        <v>2739000</v>
      </c>
      <c r="N184" s="428">
        <v>2749000</v>
      </c>
      <c r="O184" s="184">
        <f t="shared" si="17"/>
        <v>2690846.153846154</v>
      </c>
      <c r="P184" s="97"/>
    </row>
    <row r="185" spans="1:16">
      <c r="A185" s="126" t="s">
        <v>1174</v>
      </c>
      <c r="B185" s="428">
        <v>108000</v>
      </c>
      <c r="C185" s="428">
        <v>109000</v>
      </c>
      <c r="D185" s="428">
        <v>111000</v>
      </c>
      <c r="E185" s="428">
        <v>112000</v>
      </c>
      <c r="F185" s="428">
        <v>114000</v>
      </c>
      <c r="G185" s="428">
        <v>115000</v>
      </c>
      <c r="H185" s="428">
        <v>117000</v>
      </c>
      <c r="I185" s="428">
        <v>118000</v>
      </c>
      <c r="J185" s="428">
        <v>120000</v>
      </c>
      <c r="K185" s="428">
        <v>121000</v>
      </c>
      <c r="L185" s="428">
        <v>123000</v>
      </c>
      <c r="M185" s="428">
        <v>124000</v>
      </c>
      <c r="N185" s="428">
        <v>126000</v>
      </c>
      <c r="O185" s="184">
        <f t="shared" si="17"/>
        <v>116769.23076923077</v>
      </c>
      <c r="P185" s="97"/>
    </row>
    <row r="186" spans="1:16">
      <c r="A186" s="126" t="s">
        <v>1344</v>
      </c>
      <c r="B186" s="428">
        <v>-44000</v>
      </c>
      <c r="C186" s="428">
        <v>-44000</v>
      </c>
      <c r="D186" s="428">
        <v>-44000</v>
      </c>
      <c r="E186" s="428">
        <v>-44000</v>
      </c>
      <c r="F186" s="428">
        <v>-44000</v>
      </c>
      <c r="G186" s="428">
        <v>-44000</v>
      </c>
      <c r="H186" s="428">
        <v>-44000</v>
      </c>
      <c r="I186" s="428">
        <v>-44000</v>
      </c>
      <c r="J186" s="428">
        <v>-44000</v>
      </c>
      <c r="K186" s="428">
        <v>-44000</v>
      </c>
      <c r="L186" s="428">
        <v>-44000</v>
      </c>
      <c r="M186" s="428">
        <v>-44000</v>
      </c>
      <c r="N186" s="428">
        <v>-44000</v>
      </c>
      <c r="O186" s="184">
        <f t="shared" si="17"/>
        <v>-44000</v>
      </c>
      <c r="P186" s="97"/>
    </row>
    <row r="187" spans="1:16">
      <c r="A187" s="126" t="s">
        <v>497</v>
      </c>
      <c r="B187" s="428">
        <v>67989000</v>
      </c>
      <c r="C187" s="428">
        <v>71172000</v>
      </c>
      <c r="D187" s="428">
        <v>71554000</v>
      </c>
      <c r="E187" s="428">
        <v>71943000</v>
      </c>
      <c r="F187" s="428">
        <v>72288000</v>
      </c>
      <c r="G187" s="428">
        <v>72679000</v>
      </c>
      <c r="H187" s="428">
        <v>73069000</v>
      </c>
      <c r="I187" s="428">
        <v>73409000</v>
      </c>
      <c r="J187" s="428">
        <v>73799000</v>
      </c>
      <c r="K187" s="428">
        <v>74191000</v>
      </c>
      <c r="L187" s="428">
        <v>74349000</v>
      </c>
      <c r="M187" s="428">
        <v>74544000</v>
      </c>
      <c r="N187" s="428">
        <v>71030000</v>
      </c>
      <c r="O187" s="184">
        <f t="shared" si="17"/>
        <v>72462769.230769232</v>
      </c>
      <c r="P187" s="97"/>
    </row>
    <row r="188" spans="1:16">
      <c r="A188" s="126" t="s">
        <v>498</v>
      </c>
      <c r="B188" s="428">
        <v>9092000</v>
      </c>
      <c r="C188" s="428">
        <v>9118000</v>
      </c>
      <c r="D188" s="428">
        <v>9144000</v>
      </c>
      <c r="E188" s="428">
        <v>9169000</v>
      </c>
      <c r="F188" s="428">
        <v>9195000</v>
      </c>
      <c r="G188" s="428">
        <v>9220000</v>
      </c>
      <c r="H188" s="428">
        <v>9245000</v>
      </c>
      <c r="I188" s="428">
        <v>9271000</v>
      </c>
      <c r="J188" s="428">
        <v>9296000</v>
      </c>
      <c r="K188" s="428">
        <v>9322000</v>
      </c>
      <c r="L188" s="428">
        <v>9347000</v>
      </c>
      <c r="M188" s="428">
        <v>9352000</v>
      </c>
      <c r="N188" s="428">
        <v>9377000</v>
      </c>
      <c r="O188" s="184">
        <f t="shared" si="17"/>
        <v>9242153.846153846</v>
      </c>
      <c r="P188" s="97"/>
    </row>
    <row r="189" spans="1:16">
      <c r="A189" s="126" t="s">
        <v>502</v>
      </c>
      <c r="B189" s="428">
        <v>2403000</v>
      </c>
      <c r="C189" s="428">
        <v>2408000</v>
      </c>
      <c r="D189" s="428">
        <v>2414000</v>
      </c>
      <c r="E189" s="428">
        <v>2419000</v>
      </c>
      <c r="F189" s="428">
        <v>2425000</v>
      </c>
      <c r="G189" s="428">
        <v>2430000</v>
      </c>
      <c r="H189" s="428">
        <v>2435000</v>
      </c>
      <c r="I189" s="428">
        <v>2441000</v>
      </c>
      <c r="J189" s="428">
        <v>2446000</v>
      </c>
      <c r="K189" s="428">
        <v>2452000</v>
      </c>
      <c r="L189" s="428">
        <v>2457000</v>
      </c>
      <c r="M189" s="428">
        <v>2462000</v>
      </c>
      <c r="N189" s="428">
        <v>2468000</v>
      </c>
      <c r="O189" s="184">
        <f t="shared" si="17"/>
        <v>2435384.6153846155</v>
      </c>
      <c r="P189" s="97"/>
    </row>
    <row r="190" spans="1:16">
      <c r="A190" s="126" t="s">
        <v>503</v>
      </c>
      <c r="B190" s="428">
        <v>1028000</v>
      </c>
      <c r="C190" s="428">
        <v>1028000</v>
      </c>
      <c r="D190" s="428">
        <v>1029000</v>
      </c>
      <c r="E190" s="428">
        <v>1030000</v>
      </c>
      <c r="F190" s="428">
        <v>1031000</v>
      </c>
      <c r="G190" s="428">
        <v>1032000</v>
      </c>
      <c r="H190" s="428">
        <v>1033000</v>
      </c>
      <c r="I190" s="428">
        <v>1035000</v>
      </c>
      <c r="J190" s="428">
        <v>1036000</v>
      </c>
      <c r="K190" s="428">
        <v>1037000</v>
      </c>
      <c r="L190" s="428">
        <v>1038000</v>
      </c>
      <c r="M190" s="428">
        <v>1039000</v>
      </c>
      <c r="N190" s="428">
        <v>1040000</v>
      </c>
      <c r="O190" s="184">
        <f t="shared" si="17"/>
        <v>1033538.4615384615</v>
      </c>
      <c r="P190" s="97"/>
    </row>
    <row r="191" spans="1:16">
      <c r="A191" s="126" t="s">
        <v>504</v>
      </c>
      <c r="B191" s="428">
        <v>40130000</v>
      </c>
      <c r="C191" s="428">
        <v>40320000</v>
      </c>
      <c r="D191" s="428">
        <v>40500000</v>
      </c>
      <c r="E191" s="428">
        <v>40690000</v>
      </c>
      <c r="F191" s="428">
        <v>40768000</v>
      </c>
      <c r="G191" s="428">
        <v>40960000</v>
      </c>
      <c r="H191" s="428">
        <v>41153000</v>
      </c>
      <c r="I191" s="428">
        <v>41183000</v>
      </c>
      <c r="J191" s="428">
        <v>41365000</v>
      </c>
      <c r="K191" s="428">
        <v>41547000</v>
      </c>
      <c r="L191" s="428">
        <v>41759000</v>
      </c>
      <c r="M191" s="428">
        <v>41989000</v>
      </c>
      <c r="N191" s="428">
        <v>42226000</v>
      </c>
      <c r="O191" s="184">
        <f t="shared" si="17"/>
        <v>41122307.692307696</v>
      </c>
      <c r="P191" s="97"/>
    </row>
    <row r="192" spans="1:16">
      <c r="A192" s="126" t="s">
        <v>1175</v>
      </c>
      <c r="B192" s="428">
        <v>323000</v>
      </c>
      <c r="C192" s="428">
        <v>323000</v>
      </c>
      <c r="D192" s="428">
        <v>323000</v>
      </c>
      <c r="E192" s="428">
        <v>323000</v>
      </c>
      <c r="F192" s="428">
        <v>323000</v>
      </c>
      <c r="G192" s="428">
        <v>323000</v>
      </c>
      <c r="H192" s="428">
        <v>323000</v>
      </c>
      <c r="I192" s="428">
        <v>323000</v>
      </c>
      <c r="J192" s="428">
        <v>323000</v>
      </c>
      <c r="K192" s="428">
        <v>323000</v>
      </c>
      <c r="L192" s="428">
        <v>323000</v>
      </c>
      <c r="M192" s="428">
        <v>323000</v>
      </c>
      <c r="N192" s="428">
        <v>323000</v>
      </c>
      <c r="O192" s="184">
        <f t="shared" si="17"/>
        <v>323000</v>
      </c>
      <c r="P192" s="97"/>
    </row>
    <row r="193" spans="1:16">
      <c r="A193" s="126" t="s">
        <v>506</v>
      </c>
      <c r="B193" s="428">
        <v>2587000</v>
      </c>
      <c r="C193" s="1805">
        <v>2594000</v>
      </c>
      <c r="D193" s="428">
        <v>2601000</v>
      </c>
      <c r="E193" s="428">
        <v>2608000</v>
      </c>
      <c r="F193" s="428">
        <v>2615000</v>
      </c>
      <c r="G193" s="428">
        <v>2622000</v>
      </c>
      <c r="H193" s="428">
        <v>2629000</v>
      </c>
      <c r="I193" s="428">
        <v>2637000</v>
      </c>
      <c r="J193" s="428">
        <v>2644000</v>
      </c>
      <c r="K193" s="428">
        <v>2651000</v>
      </c>
      <c r="L193" s="428">
        <v>2658000</v>
      </c>
      <c r="M193" s="428">
        <v>2665000</v>
      </c>
      <c r="N193" s="428">
        <v>2672000</v>
      </c>
      <c r="O193" s="184">
        <f>AVERAGE(B193:N193)</f>
        <v>2629461.5384615385</v>
      </c>
      <c r="P193" s="97"/>
    </row>
    <row r="194" spans="1:16">
      <c r="A194" s="126" t="s">
        <v>1116</v>
      </c>
      <c r="B194" s="428">
        <v>-186000</v>
      </c>
      <c r="C194" s="1805">
        <v>-183000</v>
      </c>
      <c r="D194" s="428">
        <v>-180000</v>
      </c>
      <c r="E194" s="428">
        <v>-177000</v>
      </c>
      <c r="F194" s="428">
        <v>-174000</v>
      </c>
      <c r="G194" s="428">
        <v>-171000</v>
      </c>
      <c r="H194" s="428">
        <v>-168000</v>
      </c>
      <c r="I194" s="428">
        <v>-165000</v>
      </c>
      <c r="J194" s="428">
        <v>-162000</v>
      </c>
      <c r="K194" s="428">
        <v>-159000</v>
      </c>
      <c r="L194" s="428">
        <v>-156000</v>
      </c>
      <c r="M194" s="428">
        <v>-153000</v>
      </c>
      <c r="N194" s="428">
        <v>-150000</v>
      </c>
      <c r="O194" s="184">
        <f t="shared" ref="O194:O207" si="18">AVERAGE(B194:N194)</f>
        <v>-168000</v>
      </c>
      <c r="P194" s="97"/>
    </row>
    <row r="195" spans="1:16">
      <c r="A195" s="126" t="s">
        <v>507</v>
      </c>
      <c r="B195" s="428">
        <v>2574000</v>
      </c>
      <c r="C195" s="1805">
        <v>2586000</v>
      </c>
      <c r="D195" s="428">
        <v>2597000</v>
      </c>
      <c r="E195" s="428">
        <v>2608000</v>
      </c>
      <c r="F195" s="428">
        <v>2619000</v>
      </c>
      <c r="G195" s="428">
        <v>2630000</v>
      </c>
      <c r="H195" s="428">
        <v>2641000</v>
      </c>
      <c r="I195" s="428">
        <v>2652000</v>
      </c>
      <c r="J195" s="428">
        <v>2663000</v>
      </c>
      <c r="K195" s="428">
        <v>2674000</v>
      </c>
      <c r="L195" s="428">
        <v>2685000</v>
      </c>
      <c r="M195" s="428">
        <v>2696000</v>
      </c>
      <c r="N195" s="428">
        <v>2707000</v>
      </c>
      <c r="O195" s="184">
        <f t="shared" si="18"/>
        <v>2640923.076923077</v>
      </c>
      <c r="P195" s="97"/>
    </row>
    <row r="196" spans="1:16">
      <c r="A196" s="126" t="s">
        <v>1154</v>
      </c>
      <c r="B196" s="428">
        <v>25365000</v>
      </c>
      <c r="C196" s="1805">
        <v>25644000</v>
      </c>
      <c r="D196" s="428">
        <v>25952000</v>
      </c>
      <c r="E196" s="428">
        <v>26320000</v>
      </c>
      <c r="F196" s="428">
        <v>26565000</v>
      </c>
      <c r="G196" s="428">
        <v>26933000</v>
      </c>
      <c r="H196" s="428">
        <v>27244000</v>
      </c>
      <c r="I196" s="428">
        <v>27286000</v>
      </c>
      <c r="J196" s="428">
        <v>27590000</v>
      </c>
      <c r="K196" s="428">
        <v>28038000</v>
      </c>
      <c r="L196" s="428">
        <v>28552000</v>
      </c>
      <c r="M196" s="428">
        <v>28953000</v>
      </c>
      <c r="N196" s="428">
        <v>29531000</v>
      </c>
      <c r="O196" s="184">
        <f t="shared" si="18"/>
        <v>27228692.307692308</v>
      </c>
      <c r="P196" s="97"/>
    </row>
    <row r="197" spans="1:16">
      <c r="A197" s="126" t="s">
        <v>1155</v>
      </c>
      <c r="B197" s="428">
        <v>73093000</v>
      </c>
      <c r="C197" s="1805">
        <v>73407000</v>
      </c>
      <c r="D197" s="428">
        <v>73734000</v>
      </c>
      <c r="E197" s="428">
        <v>73809000</v>
      </c>
      <c r="F197" s="428">
        <v>74000000</v>
      </c>
      <c r="G197" s="428">
        <v>74354000</v>
      </c>
      <c r="H197" s="428">
        <v>74712000</v>
      </c>
      <c r="I197" s="428">
        <v>74341000</v>
      </c>
      <c r="J197" s="428">
        <v>74125000</v>
      </c>
      <c r="K197" s="428">
        <v>74481000</v>
      </c>
      <c r="L197" s="428">
        <v>74636000</v>
      </c>
      <c r="M197" s="428">
        <v>74886000</v>
      </c>
      <c r="N197" s="428">
        <v>75244000</v>
      </c>
      <c r="O197" s="184">
        <f t="shared" si="18"/>
        <v>74217076.923076928</v>
      </c>
      <c r="P197" s="97"/>
    </row>
    <row r="198" spans="1:16">
      <c r="A198" s="126" t="s">
        <v>1117</v>
      </c>
      <c r="B198" s="428">
        <v>2998000</v>
      </c>
      <c r="C198" s="1805">
        <v>3016000</v>
      </c>
      <c r="D198" s="428">
        <v>3033000</v>
      </c>
      <c r="E198" s="428">
        <v>3049000</v>
      </c>
      <c r="F198" s="428">
        <v>3066000</v>
      </c>
      <c r="G198" s="428">
        <v>3083000</v>
      </c>
      <c r="H198" s="428">
        <v>3100000</v>
      </c>
      <c r="I198" s="428">
        <v>3117000</v>
      </c>
      <c r="J198" s="428">
        <v>3133000</v>
      </c>
      <c r="K198" s="428">
        <v>3150000</v>
      </c>
      <c r="L198" s="428">
        <v>3167000</v>
      </c>
      <c r="M198" s="428">
        <v>3184000</v>
      </c>
      <c r="N198" s="428">
        <v>3200000</v>
      </c>
      <c r="O198" s="184">
        <f t="shared" si="18"/>
        <v>3099692.3076923075</v>
      </c>
      <c r="P198" s="97"/>
    </row>
    <row r="199" spans="1:16">
      <c r="A199" s="126" t="s">
        <v>1118</v>
      </c>
      <c r="B199" s="428">
        <v>234000</v>
      </c>
      <c r="C199" s="1805">
        <v>234000</v>
      </c>
      <c r="D199" s="428">
        <v>235000</v>
      </c>
      <c r="E199" s="428">
        <v>235000</v>
      </c>
      <c r="F199" s="428">
        <v>236000</v>
      </c>
      <c r="G199" s="428">
        <v>236000</v>
      </c>
      <c r="H199" s="428">
        <v>237000</v>
      </c>
      <c r="I199" s="428">
        <v>237000</v>
      </c>
      <c r="J199" s="428">
        <v>238000</v>
      </c>
      <c r="K199" s="428">
        <v>238000</v>
      </c>
      <c r="L199" s="428">
        <v>239000</v>
      </c>
      <c r="M199" s="428">
        <v>239000</v>
      </c>
      <c r="N199" s="428">
        <v>240000</v>
      </c>
      <c r="O199" s="184">
        <f t="shared" si="18"/>
        <v>236769.23076923078</v>
      </c>
      <c r="P199" s="97"/>
    </row>
    <row r="200" spans="1:16">
      <c r="A200" s="126" t="s">
        <v>511</v>
      </c>
      <c r="B200" s="428">
        <v>7126000</v>
      </c>
      <c r="C200" s="1805">
        <v>7138000</v>
      </c>
      <c r="D200" s="428">
        <v>7151000</v>
      </c>
      <c r="E200" s="428">
        <v>7163000</v>
      </c>
      <c r="F200" s="428">
        <v>7176000</v>
      </c>
      <c r="G200" s="428">
        <v>7188000</v>
      </c>
      <c r="H200" s="428">
        <v>7201000</v>
      </c>
      <c r="I200" s="428">
        <v>7213000</v>
      </c>
      <c r="J200" s="428">
        <v>7226000</v>
      </c>
      <c r="K200" s="428">
        <v>7238000</v>
      </c>
      <c r="L200" s="428">
        <v>7251000</v>
      </c>
      <c r="M200" s="428">
        <v>7263000</v>
      </c>
      <c r="N200" s="428">
        <v>7276000</v>
      </c>
      <c r="O200" s="184">
        <f t="shared" si="18"/>
        <v>7200769.230769231</v>
      </c>
      <c r="P200" s="97"/>
    </row>
    <row r="201" spans="1:16">
      <c r="A201" s="126" t="s">
        <v>1119</v>
      </c>
      <c r="B201" s="428">
        <v>95000</v>
      </c>
      <c r="C201" s="1805">
        <v>95000</v>
      </c>
      <c r="D201" s="428">
        <v>96000</v>
      </c>
      <c r="E201" s="428">
        <v>96000</v>
      </c>
      <c r="F201" s="428">
        <v>97000</v>
      </c>
      <c r="G201" s="428">
        <v>97000</v>
      </c>
      <c r="H201" s="428">
        <v>98000</v>
      </c>
      <c r="I201" s="428">
        <v>98000</v>
      </c>
      <c r="J201" s="428">
        <v>99000</v>
      </c>
      <c r="K201" s="428">
        <v>99000</v>
      </c>
      <c r="L201" s="428">
        <v>100000</v>
      </c>
      <c r="M201" s="428">
        <v>100000</v>
      </c>
      <c r="N201" s="428">
        <v>101000</v>
      </c>
      <c r="O201" s="184">
        <f t="shared" si="18"/>
        <v>97769.230769230766</v>
      </c>
      <c r="P201" s="97"/>
    </row>
    <row r="202" spans="1:16">
      <c r="A202" s="126" t="s">
        <v>512</v>
      </c>
      <c r="B202" s="428">
        <v>2115000</v>
      </c>
      <c r="C202" s="1805">
        <v>2120000</v>
      </c>
      <c r="D202" s="428">
        <v>2125000</v>
      </c>
      <c r="E202" s="428">
        <v>2131000</v>
      </c>
      <c r="F202" s="428">
        <v>2136000</v>
      </c>
      <c r="G202" s="428">
        <v>2141000</v>
      </c>
      <c r="H202" s="428">
        <v>2146000</v>
      </c>
      <c r="I202" s="428">
        <v>2151000</v>
      </c>
      <c r="J202" s="428">
        <v>2156000</v>
      </c>
      <c r="K202" s="428">
        <v>2161000</v>
      </c>
      <c r="L202" s="428">
        <v>2166000</v>
      </c>
      <c r="M202" s="428">
        <v>2171000</v>
      </c>
      <c r="N202" s="428">
        <v>2176000</v>
      </c>
      <c r="O202" s="184">
        <f t="shared" si="18"/>
        <v>2145769.230769231</v>
      </c>
      <c r="P202" s="97"/>
    </row>
    <row r="203" spans="1:16">
      <c r="A203" s="126" t="s">
        <v>513</v>
      </c>
      <c r="B203" s="428">
        <v>28253000</v>
      </c>
      <c r="C203" s="1805">
        <v>28325000</v>
      </c>
      <c r="D203" s="428">
        <v>28395000</v>
      </c>
      <c r="E203" s="428">
        <v>28465000</v>
      </c>
      <c r="F203" s="428">
        <v>28534000</v>
      </c>
      <c r="G203" s="428">
        <v>28604000</v>
      </c>
      <c r="H203" s="428">
        <v>28674000</v>
      </c>
      <c r="I203" s="428">
        <v>28744000</v>
      </c>
      <c r="J203" s="428">
        <v>28813000</v>
      </c>
      <c r="K203" s="428">
        <v>28883000</v>
      </c>
      <c r="L203" s="428">
        <v>28968000</v>
      </c>
      <c r="M203" s="428">
        <v>29057000</v>
      </c>
      <c r="N203" s="428">
        <v>29157000</v>
      </c>
      <c r="O203" s="184">
        <f t="shared" si="18"/>
        <v>28682461.53846154</v>
      </c>
      <c r="P203" s="97"/>
    </row>
    <row r="204" spans="1:16">
      <c r="A204" s="126" t="s">
        <v>429</v>
      </c>
      <c r="B204" s="428">
        <v>5850000</v>
      </c>
      <c r="C204" s="1805">
        <v>5924000</v>
      </c>
      <c r="D204" s="428">
        <v>5996000</v>
      </c>
      <c r="E204" s="428">
        <v>6067000</v>
      </c>
      <c r="F204" s="428">
        <v>6138000</v>
      </c>
      <c r="G204" s="428">
        <v>6210000</v>
      </c>
      <c r="H204" s="428">
        <v>6281000</v>
      </c>
      <c r="I204" s="428">
        <v>6352000</v>
      </c>
      <c r="J204" s="428">
        <v>6424000</v>
      </c>
      <c r="K204" s="428">
        <v>6523000</v>
      </c>
      <c r="L204" s="428">
        <v>6649000</v>
      </c>
      <c r="M204" s="428">
        <v>6776000</v>
      </c>
      <c r="N204" s="428">
        <v>6907000</v>
      </c>
      <c r="O204" s="184">
        <f t="shared" si="18"/>
        <v>6315153.846153846</v>
      </c>
      <c r="P204" s="97"/>
    </row>
    <row r="205" spans="1:16">
      <c r="A205" s="126" t="s">
        <v>1120</v>
      </c>
      <c r="B205" s="428">
        <v>1515000</v>
      </c>
      <c r="C205" s="1805">
        <v>1521000</v>
      </c>
      <c r="D205" s="428">
        <v>1527000</v>
      </c>
      <c r="E205" s="428">
        <v>1532000</v>
      </c>
      <c r="F205" s="428">
        <v>1538000</v>
      </c>
      <c r="G205" s="428">
        <v>1543000</v>
      </c>
      <c r="H205" s="428">
        <v>1549000</v>
      </c>
      <c r="I205" s="428">
        <v>1555000</v>
      </c>
      <c r="J205" s="428">
        <v>1560000</v>
      </c>
      <c r="K205" s="428">
        <v>1566000</v>
      </c>
      <c r="L205" s="428">
        <v>1572000</v>
      </c>
      <c r="M205" s="428">
        <v>1577000</v>
      </c>
      <c r="N205" s="428">
        <v>1583000</v>
      </c>
      <c r="O205" s="184">
        <f t="shared" si="18"/>
        <v>1549076.923076923</v>
      </c>
      <c r="P205" s="97"/>
    </row>
    <row r="206" spans="1:16">
      <c r="A206" s="126" t="s">
        <v>1121</v>
      </c>
      <c r="B206" s="428">
        <v>723000</v>
      </c>
      <c r="C206" s="1805">
        <v>724000</v>
      </c>
      <c r="D206" s="428">
        <v>725000</v>
      </c>
      <c r="E206" s="428">
        <v>725000</v>
      </c>
      <c r="F206" s="428">
        <v>726000</v>
      </c>
      <c r="G206" s="428">
        <v>727000</v>
      </c>
      <c r="H206" s="428">
        <v>727000</v>
      </c>
      <c r="I206" s="428">
        <v>728000</v>
      </c>
      <c r="J206" s="428">
        <v>728000</v>
      </c>
      <c r="K206" s="428">
        <v>729000</v>
      </c>
      <c r="L206" s="428">
        <v>730000</v>
      </c>
      <c r="M206" s="428">
        <v>730000</v>
      </c>
      <c r="N206" s="428">
        <v>731000</v>
      </c>
      <c r="O206" s="184">
        <f t="shared" si="18"/>
        <v>727153.84615384613</v>
      </c>
      <c r="P206" s="97"/>
    </row>
    <row r="207" spans="1:16">
      <c r="A207" s="1840" t="s">
        <v>514</v>
      </c>
      <c r="B207" s="428">
        <v>79434000</v>
      </c>
      <c r="C207" s="428">
        <v>79556000</v>
      </c>
      <c r="D207" s="428">
        <v>79667000</v>
      </c>
      <c r="E207" s="428">
        <v>79783000</v>
      </c>
      <c r="F207" s="428">
        <v>79899000</v>
      </c>
      <c r="G207" s="428">
        <v>80015000</v>
      </c>
      <c r="H207" s="428">
        <v>80132000</v>
      </c>
      <c r="I207" s="428">
        <v>80220000</v>
      </c>
      <c r="J207" s="428">
        <v>80335000</v>
      </c>
      <c r="K207" s="428">
        <v>80452000</v>
      </c>
      <c r="L207" s="428">
        <v>80492000</v>
      </c>
      <c r="M207" s="428">
        <v>80608000</v>
      </c>
      <c r="N207" s="428">
        <v>80724000</v>
      </c>
      <c r="O207" s="184">
        <f t="shared" si="18"/>
        <v>80101307.692307696</v>
      </c>
      <c r="P207" s="97"/>
    </row>
    <row r="208" spans="1:16">
      <c r="A208" s="1840" t="s">
        <v>531</v>
      </c>
      <c r="B208" s="428">
        <v>485000</v>
      </c>
      <c r="C208" s="428">
        <v>486000</v>
      </c>
      <c r="D208" s="428">
        <v>487000</v>
      </c>
      <c r="E208" s="428">
        <v>489000</v>
      </c>
      <c r="F208" s="428">
        <v>490000</v>
      </c>
      <c r="G208" s="428">
        <v>492000</v>
      </c>
      <c r="H208" s="428">
        <v>493000</v>
      </c>
      <c r="I208" s="428">
        <v>494000</v>
      </c>
      <c r="J208" s="428">
        <v>496000</v>
      </c>
      <c r="K208" s="428">
        <v>497000</v>
      </c>
      <c r="L208" s="428">
        <v>498000</v>
      </c>
      <c r="M208" s="428">
        <v>500000</v>
      </c>
      <c r="N208" s="428">
        <v>501000</v>
      </c>
      <c r="O208" s="184">
        <f>AVERAGE(B208:N208)</f>
        <v>492923.07692307694</v>
      </c>
      <c r="P208" s="97"/>
    </row>
    <row r="209" spans="1:16">
      <c r="A209" s="1840" t="s">
        <v>532</v>
      </c>
      <c r="B209" s="428">
        <v>2751000</v>
      </c>
      <c r="C209" s="428">
        <v>2752000</v>
      </c>
      <c r="D209" s="428">
        <v>2753000</v>
      </c>
      <c r="E209" s="428">
        <v>2754000</v>
      </c>
      <c r="F209" s="428">
        <v>2755000</v>
      </c>
      <c r="G209" s="428">
        <v>2756000</v>
      </c>
      <c r="H209" s="428">
        <v>2757000</v>
      </c>
      <c r="I209" s="428">
        <v>2758000</v>
      </c>
      <c r="J209" s="428">
        <v>2759000</v>
      </c>
      <c r="K209" s="428">
        <v>2760000</v>
      </c>
      <c r="L209" s="428">
        <v>2761000</v>
      </c>
      <c r="M209" s="428">
        <v>2762000</v>
      </c>
      <c r="N209" s="428">
        <v>2763000</v>
      </c>
      <c r="O209" s="184">
        <f>AVERAGE(B209:N209)</f>
        <v>2757000</v>
      </c>
      <c r="P209" s="97"/>
    </row>
    <row r="210" spans="1:16">
      <c r="A210" s="1947" t="s">
        <v>533</v>
      </c>
      <c r="B210" s="428">
        <v>153000</v>
      </c>
      <c r="C210" s="428">
        <v>154000</v>
      </c>
      <c r="D210" s="428">
        <v>155000</v>
      </c>
      <c r="E210" s="428">
        <v>156000</v>
      </c>
      <c r="F210" s="428">
        <v>156000</v>
      </c>
      <c r="G210" s="428">
        <v>157000</v>
      </c>
      <c r="H210" s="428">
        <v>158000</v>
      </c>
      <c r="I210" s="428">
        <v>159000</v>
      </c>
      <c r="J210" s="428">
        <v>160000</v>
      </c>
      <c r="K210" s="428">
        <v>161000</v>
      </c>
      <c r="L210" s="428">
        <v>162000</v>
      </c>
      <c r="M210" s="428">
        <v>163000</v>
      </c>
      <c r="N210" s="428">
        <v>163000</v>
      </c>
      <c r="O210" s="184">
        <f t="shared" ref="O210:O211" si="19">AVERAGE(B210:N210)</f>
        <v>158230.76923076922</v>
      </c>
      <c r="P210" s="97"/>
    </row>
    <row r="211" spans="1:16">
      <c r="A211" s="1947" t="s">
        <v>537</v>
      </c>
      <c r="B211" s="428">
        <v>349000</v>
      </c>
      <c r="C211" s="428">
        <v>350000</v>
      </c>
      <c r="D211" s="428">
        <v>350000</v>
      </c>
      <c r="E211" s="428">
        <v>351000</v>
      </c>
      <c r="F211" s="428">
        <v>352000</v>
      </c>
      <c r="G211" s="428">
        <v>352000</v>
      </c>
      <c r="H211" s="428">
        <v>353000</v>
      </c>
      <c r="I211" s="428">
        <v>353000</v>
      </c>
      <c r="J211" s="428">
        <v>354000</v>
      </c>
      <c r="K211" s="428">
        <v>355000</v>
      </c>
      <c r="L211" s="428">
        <v>355000</v>
      </c>
      <c r="M211" s="428">
        <v>356000</v>
      </c>
      <c r="N211" s="428">
        <v>356000</v>
      </c>
      <c r="O211" s="184">
        <f t="shared" si="19"/>
        <v>352769.23076923075</v>
      </c>
      <c r="P211" s="97"/>
    </row>
    <row r="212" spans="1:16">
      <c r="A212" s="1936"/>
      <c r="B212" s="428"/>
      <c r="C212" s="428"/>
      <c r="D212" s="428"/>
      <c r="E212" s="428"/>
      <c r="F212" s="428"/>
      <c r="G212" s="428"/>
      <c r="H212" s="428"/>
      <c r="I212" s="428"/>
      <c r="J212" s="428"/>
      <c r="K212" s="428"/>
      <c r="L212" s="428"/>
      <c r="M212" s="428"/>
      <c r="N212" s="428"/>
      <c r="O212" s="184"/>
      <c r="P212" s="97"/>
    </row>
    <row r="213" spans="1:16">
      <c r="A213" s="1334" t="s">
        <v>1147</v>
      </c>
      <c r="B213" s="1812">
        <f>SUM(B170:B212)</f>
        <v>435425000</v>
      </c>
      <c r="C213" s="1812">
        <f t="shared" ref="C213:O213" si="20">SUM(C170:C212)</f>
        <v>440491000</v>
      </c>
      <c r="D213" s="1812">
        <f t="shared" si="20"/>
        <v>442791000</v>
      </c>
      <c r="E213" s="1812">
        <f t="shared" si="20"/>
        <v>444918000</v>
      </c>
      <c r="F213" s="1812">
        <f t="shared" si="20"/>
        <v>446890000</v>
      </c>
      <c r="G213" s="1812">
        <f t="shared" si="20"/>
        <v>449304000</v>
      </c>
      <c r="H213" s="1812">
        <f t="shared" si="20"/>
        <v>451664000</v>
      </c>
      <c r="I213" s="1812">
        <f t="shared" si="20"/>
        <v>452343000</v>
      </c>
      <c r="J213" s="1812">
        <f t="shared" si="20"/>
        <v>453967000</v>
      </c>
      <c r="K213" s="1812">
        <f t="shared" si="20"/>
        <v>456558000</v>
      </c>
      <c r="L213" s="1812">
        <f t="shared" si="20"/>
        <v>458823000</v>
      </c>
      <c r="M213" s="1812">
        <f t="shared" si="20"/>
        <v>461187000</v>
      </c>
      <c r="N213" s="1812">
        <f t="shared" si="20"/>
        <v>460185000</v>
      </c>
      <c r="O213" s="1812">
        <f t="shared" si="20"/>
        <v>472464405.94461542</v>
      </c>
      <c r="P213" s="97"/>
    </row>
    <row r="214" spans="1:16">
      <c r="O214" s="635"/>
      <c r="P214" s="97"/>
    </row>
    <row r="215" spans="1:16">
      <c r="A215" s="1827" t="s">
        <v>1172</v>
      </c>
      <c r="B215" s="836">
        <v>551000</v>
      </c>
      <c r="C215" s="836">
        <v>557000</v>
      </c>
      <c r="D215" s="836">
        <v>562000</v>
      </c>
      <c r="E215" s="836">
        <v>568000</v>
      </c>
      <c r="F215" s="836">
        <v>574000</v>
      </c>
      <c r="G215" s="836">
        <v>580000</v>
      </c>
      <c r="H215" s="836">
        <v>585000</v>
      </c>
      <c r="I215" s="836">
        <v>591000</v>
      </c>
      <c r="J215" s="836">
        <v>597000</v>
      </c>
      <c r="K215" s="836">
        <v>603000</v>
      </c>
      <c r="L215" s="836">
        <v>608000</v>
      </c>
      <c r="M215" s="836">
        <v>614000</v>
      </c>
      <c r="N215" s="836">
        <v>619000</v>
      </c>
      <c r="O215" s="836">
        <f t="shared" si="17"/>
        <v>585307.69230769225</v>
      </c>
      <c r="P215" s="97"/>
    </row>
    <row r="216" spans="1:16">
      <c r="A216" s="97"/>
      <c r="B216" s="1807"/>
      <c r="C216" s="1807"/>
      <c r="D216" s="1807"/>
      <c r="E216" s="1807"/>
      <c r="F216" s="1807"/>
      <c r="G216" s="1807"/>
      <c r="H216" s="1807"/>
      <c r="I216" s="1807"/>
      <c r="J216" s="1807"/>
      <c r="K216" s="1807"/>
      <c r="L216" s="1807"/>
      <c r="M216" s="1807"/>
      <c r="N216" s="1807"/>
      <c r="O216" s="2"/>
      <c r="P216" s="97"/>
    </row>
    <row r="217" spans="1:16">
      <c r="A217" s="1840" t="s">
        <v>1176</v>
      </c>
      <c r="B217" s="428">
        <v>543000</v>
      </c>
      <c r="C217" s="428">
        <v>543000</v>
      </c>
      <c r="D217" s="428">
        <v>544000</v>
      </c>
      <c r="E217" s="428">
        <v>545000</v>
      </c>
      <c r="F217" s="428">
        <v>545000</v>
      </c>
      <c r="G217" s="428">
        <v>546000</v>
      </c>
      <c r="H217" s="428">
        <v>547000</v>
      </c>
      <c r="I217" s="428">
        <v>547000</v>
      </c>
      <c r="J217" s="428">
        <v>548000</v>
      </c>
      <c r="K217" s="428">
        <v>549000</v>
      </c>
      <c r="L217" s="428">
        <v>549000</v>
      </c>
      <c r="M217" s="428">
        <v>550000</v>
      </c>
      <c r="N217" s="428">
        <v>551000</v>
      </c>
      <c r="O217" s="1745">
        <f t="shared" ref="O217:O235" si="21">AVERAGE(B217:N217)</f>
        <v>546692.30769230775</v>
      </c>
      <c r="P217" s="97"/>
    </row>
    <row r="218" spans="1:16">
      <c r="A218" s="1840" t="s">
        <v>1177</v>
      </c>
      <c r="B218" s="428">
        <v>841000</v>
      </c>
      <c r="C218" s="428">
        <v>842000</v>
      </c>
      <c r="D218" s="428">
        <v>843000</v>
      </c>
      <c r="E218" s="428">
        <v>844000</v>
      </c>
      <c r="F218" s="428">
        <v>845000</v>
      </c>
      <c r="G218" s="428">
        <v>846000</v>
      </c>
      <c r="H218" s="428">
        <v>847000</v>
      </c>
      <c r="I218" s="428">
        <v>848000</v>
      </c>
      <c r="J218" s="428">
        <v>849000</v>
      </c>
      <c r="K218" s="428">
        <v>851000</v>
      </c>
      <c r="L218" s="428">
        <v>852000</v>
      </c>
      <c r="M218" s="428">
        <v>853000</v>
      </c>
      <c r="N218" s="428">
        <v>854000</v>
      </c>
      <c r="O218" s="1745">
        <f t="shared" si="21"/>
        <v>847307.69230769225</v>
      </c>
      <c r="P218" s="97"/>
    </row>
    <row r="219" spans="1:16">
      <c r="A219" s="1840" t="s">
        <v>490</v>
      </c>
      <c r="B219" s="428">
        <v>321000</v>
      </c>
      <c r="C219" s="428">
        <v>322000</v>
      </c>
      <c r="D219" s="428">
        <v>322000</v>
      </c>
      <c r="E219" s="428">
        <v>323000</v>
      </c>
      <c r="F219" s="428">
        <v>323000</v>
      </c>
      <c r="G219" s="428">
        <v>324000</v>
      </c>
      <c r="H219" s="428">
        <v>324000</v>
      </c>
      <c r="I219" s="428">
        <v>325000</v>
      </c>
      <c r="J219" s="428">
        <v>326000</v>
      </c>
      <c r="K219" s="428">
        <v>326000</v>
      </c>
      <c r="L219" s="428">
        <v>327000</v>
      </c>
      <c r="M219" s="428">
        <v>327000</v>
      </c>
      <c r="N219" s="428">
        <v>328000</v>
      </c>
      <c r="O219" s="1745">
        <f t="shared" si="21"/>
        <v>324461.53846153844</v>
      </c>
      <c r="P219" s="97"/>
    </row>
    <row r="220" spans="1:16">
      <c r="A220" s="1840" t="s">
        <v>1148</v>
      </c>
      <c r="B220" s="428">
        <v>13788000</v>
      </c>
      <c r="C220" s="428">
        <v>13841000</v>
      </c>
      <c r="D220" s="428">
        <v>13894000</v>
      </c>
      <c r="E220" s="428">
        <v>13948000</v>
      </c>
      <c r="F220" s="428">
        <v>14002000</v>
      </c>
      <c r="G220" s="428">
        <v>14055000</v>
      </c>
      <c r="H220" s="428">
        <v>14109000</v>
      </c>
      <c r="I220" s="428">
        <v>14163000</v>
      </c>
      <c r="J220" s="428">
        <v>14216000</v>
      </c>
      <c r="K220" s="428">
        <v>14270000</v>
      </c>
      <c r="L220" s="428">
        <v>14324000</v>
      </c>
      <c r="M220" s="428">
        <v>14377000</v>
      </c>
      <c r="N220" s="428">
        <v>13484000</v>
      </c>
      <c r="O220" s="1745">
        <f t="shared" si="21"/>
        <v>14036230.76923077</v>
      </c>
      <c r="P220" s="97"/>
    </row>
    <row r="221" spans="1:16">
      <c r="A221" s="1840" t="s">
        <v>500</v>
      </c>
      <c r="B221" s="428">
        <v>11727000</v>
      </c>
      <c r="C221" s="428">
        <v>11741000</v>
      </c>
      <c r="D221" s="428">
        <v>11754000</v>
      </c>
      <c r="E221" s="428">
        <v>11768000</v>
      </c>
      <c r="F221" s="428">
        <v>11782000</v>
      </c>
      <c r="G221" s="428">
        <v>11795000</v>
      </c>
      <c r="H221" s="428">
        <v>11809000</v>
      </c>
      <c r="I221" s="428">
        <v>11823000</v>
      </c>
      <c r="J221" s="428">
        <v>11836000</v>
      </c>
      <c r="K221" s="428">
        <v>11850000</v>
      </c>
      <c r="L221" s="428">
        <v>11864000</v>
      </c>
      <c r="M221" s="428">
        <v>11877000</v>
      </c>
      <c r="N221" s="428">
        <v>11891000</v>
      </c>
      <c r="O221" s="1745">
        <f t="shared" si="21"/>
        <v>11809000</v>
      </c>
      <c r="P221" s="97"/>
    </row>
    <row r="222" spans="1:16">
      <c r="A222" s="1840" t="s">
        <v>501</v>
      </c>
      <c r="B222" s="428">
        <v>16421000</v>
      </c>
      <c r="C222" s="428">
        <v>16441000</v>
      </c>
      <c r="D222" s="428">
        <v>16461000</v>
      </c>
      <c r="E222" s="428">
        <v>16480000</v>
      </c>
      <c r="F222" s="428">
        <v>16499000</v>
      </c>
      <c r="G222" s="428">
        <v>16519000</v>
      </c>
      <c r="H222" s="428">
        <v>16538000</v>
      </c>
      <c r="I222" s="428">
        <v>16557000</v>
      </c>
      <c r="J222" s="428">
        <v>16577000</v>
      </c>
      <c r="K222" s="428">
        <v>16596000</v>
      </c>
      <c r="L222" s="428">
        <v>16616000</v>
      </c>
      <c r="M222" s="428">
        <v>16635000</v>
      </c>
      <c r="N222" s="428">
        <v>16631000</v>
      </c>
      <c r="O222" s="1745">
        <f t="shared" si="21"/>
        <v>16536230.76923077</v>
      </c>
      <c r="P222" s="97"/>
    </row>
    <row r="223" spans="1:16">
      <c r="A223" s="1840" t="s">
        <v>509</v>
      </c>
      <c r="B223" s="428">
        <v>11665000</v>
      </c>
      <c r="C223" s="428">
        <v>11678000</v>
      </c>
      <c r="D223" s="428">
        <v>11690000</v>
      </c>
      <c r="E223" s="428">
        <v>11703000</v>
      </c>
      <c r="F223" s="428">
        <v>11716000</v>
      </c>
      <c r="G223" s="428">
        <v>11728000</v>
      </c>
      <c r="H223" s="428">
        <v>11741000</v>
      </c>
      <c r="I223" s="428">
        <v>11754000</v>
      </c>
      <c r="J223" s="428">
        <v>11766000</v>
      </c>
      <c r="K223" s="428">
        <v>11779000</v>
      </c>
      <c r="L223" s="428">
        <v>11792000</v>
      </c>
      <c r="M223" s="428">
        <v>11804000</v>
      </c>
      <c r="N223" s="428">
        <v>11817000</v>
      </c>
      <c r="O223" s="1745">
        <f t="shared" si="21"/>
        <v>11741000</v>
      </c>
      <c r="P223" s="97"/>
    </row>
    <row r="224" spans="1:16">
      <c r="A224" s="1840" t="s">
        <v>510</v>
      </c>
      <c r="B224" s="428">
        <v>17561000</v>
      </c>
      <c r="C224" s="428">
        <v>17581000</v>
      </c>
      <c r="D224" s="428">
        <v>17600000</v>
      </c>
      <c r="E224" s="428">
        <v>17620000</v>
      </c>
      <c r="F224" s="428">
        <v>17639000</v>
      </c>
      <c r="G224" s="428">
        <v>17658000</v>
      </c>
      <c r="H224" s="428">
        <v>17678000</v>
      </c>
      <c r="I224" s="428">
        <v>17697000</v>
      </c>
      <c r="J224" s="428">
        <v>17717000</v>
      </c>
      <c r="K224" s="428">
        <v>17736000</v>
      </c>
      <c r="L224" s="428">
        <v>17755000</v>
      </c>
      <c r="M224" s="428">
        <v>17775000</v>
      </c>
      <c r="N224" s="428">
        <v>17794000</v>
      </c>
      <c r="O224" s="1745">
        <f t="shared" si="21"/>
        <v>17677769.230769232</v>
      </c>
      <c r="P224" s="97"/>
    </row>
    <row r="225" spans="1:16">
      <c r="A225" s="1840" t="s">
        <v>535</v>
      </c>
      <c r="B225" s="428">
        <v>88000</v>
      </c>
      <c r="C225" s="428">
        <v>88000</v>
      </c>
      <c r="D225" s="428">
        <v>88000</v>
      </c>
      <c r="E225" s="428">
        <v>88000</v>
      </c>
      <c r="F225" s="428">
        <v>88000</v>
      </c>
      <c r="G225" s="428">
        <v>88000</v>
      </c>
      <c r="H225" s="428">
        <v>89000</v>
      </c>
      <c r="I225" s="428">
        <v>89000</v>
      </c>
      <c r="J225" s="428">
        <v>89000</v>
      </c>
      <c r="K225" s="428">
        <v>89000</v>
      </c>
      <c r="L225" s="428">
        <v>89000</v>
      </c>
      <c r="M225" s="428">
        <v>89000</v>
      </c>
      <c r="N225" s="428">
        <v>89000</v>
      </c>
      <c r="O225" s="1745">
        <f t="shared" si="21"/>
        <v>88538.461538461532</v>
      </c>
      <c r="P225" s="97"/>
    </row>
    <row r="226" spans="1:16">
      <c r="A226" s="1840" t="s">
        <v>536</v>
      </c>
      <c r="B226" s="428">
        <v>253000</v>
      </c>
      <c r="C226" s="428">
        <v>253000</v>
      </c>
      <c r="D226" s="428">
        <v>254000</v>
      </c>
      <c r="E226" s="428">
        <v>254000</v>
      </c>
      <c r="F226" s="428">
        <v>254000</v>
      </c>
      <c r="G226" s="428">
        <v>255000</v>
      </c>
      <c r="H226" s="428">
        <v>255000</v>
      </c>
      <c r="I226" s="428">
        <v>255000</v>
      </c>
      <c r="J226" s="428">
        <v>256000</v>
      </c>
      <c r="K226" s="428">
        <v>256000</v>
      </c>
      <c r="L226" s="428">
        <v>256000</v>
      </c>
      <c r="M226" s="428">
        <v>257000</v>
      </c>
      <c r="N226" s="428">
        <v>257000</v>
      </c>
      <c r="O226" s="1745">
        <f>AVERAGE(B226:N226)</f>
        <v>255000</v>
      </c>
      <c r="P226" s="97"/>
    </row>
    <row r="227" spans="1:16">
      <c r="A227" s="1334" t="s">
        <v>1123</v>
      </c>
      <c r="B227" s="1808">
        <f t="shared" ref="B227:M227" si="22">SUM(B217:B226)</f>
        <v>73208000</v>
      </c>
      <c r="C227" s="1808">
        <f t="shared" si="22"/>
        <v>73330000</v>
      </c>
      <c r="D227" s="1808">
        <f t="shared" si="22"/>
        <v>73450000</v>
      </c>
      <c r="E227" s="1808">
        <f t="shared" si="22"/>
        <v>73573000</v>
      </c>
      <c r="F227" s="1808">
        <f t="shared" si="22"/>
        <v>73693000</v>
      </c>
      <c r="G227" s="1808">
        <f t="shared" si="22"/>
        <v>73814000</v>
      </c>
      <c r="H227" s="1808">
        <f t="shared" si="22"/>
        <v>73937000</v>
      </c>
      <c r="I227" s="1808">
        <f t="shared" si="22"/>
        <v>74058000</v>
      </c>
      <c r="J227" s="1808">
        <f t="shared" si="22"/>
        <v>74180000</v>
      </c>
      <c r="K227" s="1808">
        <f t="shared" si="22"/>
        <v>74302000</v>
      </c>
      <c r="L227" s="1808">
        <f t="shared" si="22"/>
        <v>74424000</v>
      </c>
      <c r="M227" s="1808">
        <f t="shared" si="22"/>
        <v>74544000</v>
      </c>
      <c r="N227" s="1808">
        <f>SUM(N217:N226)</f>
        <v>73696000</v>
      </c>
      <c r="O227" s="836">
        <f t="shared" si="21"/>
        <v>73862230.769230768</v>
      </c>
      <c r="P227" s="97"/>
    </row>
    <row r="228" spans="1:16">
      <c r="A228" s="97"/>
      <c r="B228" s="1807"/>
      <c r="C228" s="1807"/>
      <c r="D228" s="1807"/>
      <c r="E228" s="1807"/>
      <c r="F228" s="1807"/>
      <c r="G228" s="1807"/>
      <c r="H228" s="1807"/>
      <c r="I228" s="1807"/>
      <c r="J228" s="1807"/>
      <c r="K228" s="1807"/>
      <c r="L228" s="1807"/>
      <c r="M228" s="1807"/>
      <c r="N228" s="1807"/>
    </row>
    <row r="229" spans="1:16">
      <c r="A229" s="97"/>
      <c r="B229" s="1807"/>
      <c r="C229" s="1807"/>
      <c r="D229" s="1807"/>
      <c r="E229" s="1807"/>
      <c r="F229" s="1807"/>
      <c r="G229" s="1807"/>
      <c r="H229" s="1807"/>
      <c r="I229" s="1807"/>
      <c r="J229" s="1807"/>
      <c r="K229" s="1807"/>
      <c r="L229" s="1807"/>
      <c r="M229" s="1807"/>
      <c r="N229" s="1807"/>
      <c r="O229" s="1745"/>
    </row>
    <row r="230" spans="1:16">
      <c r="A230" s="1840" t="s">
        <v>489</v>
      </c>
      <c r="B230" s="428">
        <v>652000</v>
      </c>
      <c r="C230" s="428">
        <v>654000</v>
      </c>
      <c r="D230" s="428">
        <v>655000</v>
      </c>
      <c r="E230" s="428">
        <v>657000</v>
      </c>
      <c r="F230" s="428">
        <v>659000</v>
      </c>
      <c r="G230" s="428">
        <v>660000</v>
      </c>
      <c r="H230" s="428">
        <v>662000</v>
      </c>
      <c r="I230" s="428">
        <v>664000</v>
      </c>
      <c r="J230" s="428">
        <v>665000</v>
      </c>
      <c r="K230" s="428">
        <v>667000</v>
      </c>
      <c r="L230" s="428">
        <v>668000</v>
      </c>
      <c r="M230" s="428">
        <v>670000</v>
      </c>
      <c r="N230" s="428">
        <v>672000</v>
      </c>
      <c r="O230" s="1745">
        <f t="shared" si="21"/>
        <v>661923.07692307688</v>
      </c>
    </row>
    <row r="231" spans="1:16">
      <c r="A231" s="1840" t="s">
        <v>493</v>
      </c>
      <c r="B231" s="428">
        <v>22735000</v>
      </c>
      <c r="C231" s="428">
        <v>22820000</v>
      </c>
      <c r="D231" s="428">
        <v>22906000</v>
      </c>
      <c r="E231" s="428">
        <v>22993000</v>
      </c>
      <c r="F231" s="428">
        <v>23079000</v>
      </c>
      <c r="G231" s="428">
        <v>23166000</v>
      </c>
      <c r="H231" s="428">
        <v>23252000</v>
      </c>
      <c r="I231" s="428">
        <v>23339000</v>
      </c>
      <c r="J231" s="428">
        <v>23425000</v>
      </c>
      <c r="K231" s="428">
        <v>23511000</v>
      </c>
      <c r="L231" s="428">
        <v>23598000</v>
      </c>
      <c r="M231" s="428">
        <v>23684000</v>
      </c>
      <c r="N231" s="428">
        <v>23771000</v>
      </c>
      <c r="O231" s="1745">
        <f t="shared" si="21"/>
        <v>23252230.769230768</v>
      </c>
    </row>
    <row r="232" spans="1:16">
      <c r="A232" s="1840" t="s">
        <v>499</v>
      </c>
      <c r="B232" s="428">
        <v>11411000</v>
      </c>
      <c r="C232" s="428">
        <v>11434000</v>
      </c>
      <c r="D232" s="428">
        <v>11455000</v>
      </c>
      <c r="E232" s="428">
        <v>11477000</v>
      </c>
      <c r="F232" s="428">
        <v>11498000</v>
      </c>
      <c r="G232" s="428">
        <v>11520000</v>
      </c>
      <c r="H232" s="428">
        <v>11542000</v>
      </c>
      <c r="I232" s="428">
        <v>11563000</v>
      </c>
      <c r="J232" s="428">
        <v>11585000</v>
      </c>
      <c r="K232" s="428">
        <v>11607000</v>
      </c>
      <c r="L232" s="428">
        <v>11628000</v>
      </c>
      <c r="M232" s="428">
        <v>11650000</v>
      </c>
      <c r="N232" s="428">
        <v>11671000</v>
      </c>
      <c r="O232" s="1745">
        <f t="shared" si="21"/>
        <v>11541615.384615384</v>
      </c>
    </row>
    <row r="233" spans="1:16">
      <c r="A233" s="1840" t="s">
        <v>505</v>
      </c>
      <c r="B233" s="428">
        <v>147000</v>
      </c>
      <c r="C233" s="428">
        <v>148000</v>
      </c>
      <c r="D233" s="428">
        <v>148000</v>
      </c>
      <c r="E233" s="428">
        <v>149000</v>
      </c>
      <c r="F233" s="428">
        <v>149000</v>
      </c>
      <c r="G233" s="428">
        <v>149000</v>
      </c>
      <c r="H233" s="428">
        <v>150000</v>
      </c>
      <c r="I233" s="428">
        <v>150000</v>
      </c>
      <c r="J233" s="428">
        <v>151000</v>
      </c>
      <c r="K233" s="428">
        <v>151000</v>
      </c>
      <c r="L233" s="428">
        <v>151000</v>
      </c>
      <c r="M233" s="428">
        <v>152000</v>
      </c>
      <c r="N233" s="428">
        <v>152000</v>
      </c>
      <c r="O233" s="1745">
        <f t="shared" si="21"/>
        <v>149769.23076923078</v>
      </c>
    </row>
    <row r="234" spans="1:16">
      <c r="A234" s="1840" t="s">
        <v>508</v>
      </c>
      <c r="B234" s="428">
        <v>15176000</v>
      </c>
      <c r="C234" s="428">
        <v>15201000</v>
      </c>
      <c r="D234" s="428">
        <v>15225000</v>
      </c>
      <c r="E234" s="428">
        <v>15249000</v>
      </c>
      <c r="F234" s="428">
        <v>15273000</v>
      </c>
      <c r="G234" s="428">
        <v>15298000</v>
      </c>
      <c r="H234" s="428">
        <v>15322000</v>
      </c>
      <c r="I234" s="428">
        <v>15346000</v>
      </c>
      <c r="J234" s="428">
        <v>15371000</v>
      </c>
      <c r="K234" s="428">
        <v>15395000</v>
      </c>
      <c r="L234" s="428">
        <v>15419000</v>
      </c>
      <c r="M234" s="428">
        <v>15443000</v>
      </c>
      <c r="N234" s="428">
        <v>15468000</v>
      </c>
      <c r="O234" s="1745">
        <f t="shared" si="21"/>
        <v>15322000</v>
      </c>
    </row>
    <row r="235" spans="1:16">
      <c r="A235" s="1840" t="s">
        <v>534</v>
      </c>
      <c r="B235" s="428">
        <v>47000</v>
      </c>
      <c r="C235" s="428">
        <v>47000</v>
      </c>
      <c r="D235" s="428">
        <v>48000</v>
      </c>
      <c r="E235" s="428">
        <v>49000</v>
      </c>
      <c r="F235" s="428">
        <v>50000</v>
      </c>
      <c r="G235" s="428">
        <v>50000</v>
      </c>
      <c r="H235" s="428">
        <v>51000</v>
      </c>
      <c r="I235" s="428">
        <v>52000</v>
      </c>
      <c r="J235" s="428">
        <v>52000</v>
      </c>
      <c r="K235" s="428">
        <v>53000</v>
      </c>
      <c r="L235" s="428">
        <v>54000</v>
      </c>
      <c r="M235" s="428">
        <v>54000</v>
      </c>
      <c r="N235" s="428">
        <v>55000</v>
      </c>
      <c r="O235" s="1745">
        <f t="shared" si="21"/>
        <v>50923.076923076922</v>
      </c>
    </row>
    <row r="236" spans="1:16">
      <c r="A236" s="1334" t="s">
        <v>1139</v>
      </c>
      <c r="B236" s="836">
        <f>SUM(B230:B235)</f>
        <v>50168000</v>
      </c>
      <c r="C236" s="836">
        <f t="shared" ref="C236:O236" si="23">SUM(C230:C235)</f>
        <v>50304000</v>
      </c>
      <c r="D236" s="836">
        <f t="shared" si="23"/>
        <v>50437000</v>
      </c>
      <c r="E236" s="836">
        <f t="shared" si="23"/>
        <v>50574000</v>
      </c>
      <c r="F236" s="836">
        <f t="shared" si="23"/>
        <v>50708000</v>
      </c>
      <c r="G236" s="836">
        <f t="shared" si="23"/>
        <v>50843000</v>
      </c>
      <c r="H236" s="836">
        <f t="shared" si="23"/>
        <v>50979000</v>
      </c>
      <c r="I236" s="836">
        <f t="shared" si="23"/>
        <v>51114000</v>
      </c>
      <c r="J236" s="836">
        <f t="shared" si="23"/>
        <v>51249000</v>
      </c>
      <c r="K236" s="836">
        <f t="shared" si="23"/>
        <v>51384000</v>
      </c>
      <c r="L236" s="836">
        <f t="shared" si="23"/>
        <v>51518000</v>
      </c>
      <c r="M236" s="836">
        <f t="shared" si="23"/>
        <v>51653000</v>
      </c>
      <c r="N236" s="836">
        <f>SUM(N230:N235)</f>
        <v>51789000</v>
      </c>
      <c r="O236" s="836">
        <f t="shared" si="23"/>
        <v>50978461.538461544</v>
      </c>
    </row>
    <row r="237" spans="1:16">
      <c r="A237" s="2"/>
      <c r="B237" s="2"/>
      <c r="C237" s="2"/>
      <c r="D237" s="2"/>
      <c r="E237" s="2"/>
      <c r="F237" s="2"/>
      <c r="G237" s="2"/>
      <c r="H237" s="2"/>
      <c r="I237" s="2"/>
      <c r="J237" s="2"/>
      <c r="K237" s="2"/>
      <c r="L237" s="2"/>
      <c r="M237" s="2"/>
      <c r="N237" s="2"/>
    </row>
    <row r="238" spans="1:16">
      <c r="A238" s="2"/>
      <c r="B238" s="2"/>
      <c r="C238" s="2"/>
      <c r="D238" s="2"/>
      <c r="E238" s="2"/>
      <c r="F238" s="2"/>
      <c r="G238" s="2"/>
      <c r="H238" s="2"/>
      <c r="I238" s="2"/>
      <c r="J238" s="2"/>
      <c r="K238" s="2"/>
      <c r="L238" s="2"/>
      <c r="M238" s="2"/>
      <c r="N238" s="2"/>
    </row>
    <row r="239" spans="1:16">
      <c r="A239" s="1840" t="s">
        <v>1035</v>
      </c>
      <c r="B239" s="428">
        <v>10000</v>
      </c>
      <c r="C239" s="428">
        <v>10000</v>
      </c>
      <c r="D239" s="428">
        <v>10000</v>
      </c>
      <c r="E239" s="428">
        <v>10000</v>
      </c>
      <c r="F239" s="428">
        <v>10000</v>
      </c>
      <c r="G239" s="428">
        <v>10000</v>
      </c>
      <c r="H239" s="428">
        <v>10000</v>
      </c>
      <c r="I239" s="428">
        <v>10000</v>
      </c>
      <c r="J239" s="428">
        <v>10000</v>
      </c>
      <c r="K239" s="428">
        <v>10000</v>
      </c>
      <c r="L239" s="428">
        <v>10000</v>
      </c>
      <c r="M239" s="428">
        <v>10000</v>
      </c>
      <c r="N239" s="428">
        <v>10000</v>
      </c>
      <c r="O239" s="1745">
        <f t="shared" ref="O239:O269" si="24">AVERAGE(B239:N239)</f>
        <v>10000</v>
      </c>
    </row>
    <row r="240" spans="1:16">
      <c r="A240" s="1840" t="s">
        <v>1036</v>
      </c>
      <c r="B240" s="428">
        <v>39000</v>
      </c>
      <c r="C240" s="428">
        <v>39000</v>
      </c>
      <c r="D240" s="428">
        <v>39000</v>
      </c>
      <c r="E240" s="428">
        <v>39000</v>
      </c>
      <c r="F240" s="428">
        <v>39000</v>
      </c>
      <c r="G240" s="428">
        <v>39000</v>
      </c>
      <c r="H240" s="428">
        <v>39000</v>
      </c>
      <c r="I240" s="428">
        <v>39000</v>
      </c>
      <c r="J240" s="428">
        <v>40000</v>
      </c>
      <c r="K240" s="428">
        <v>40000</v>
      </c>
      <c r="L240" s="428">
        <v>40000</v>
      </c>
      <c r="M240" s="428">
        <v>40000</v>
      </c>
      <c r="N240" s="428">
        <v>40000</v>
      </c>
      <c r="O240" s="1745">
        <f t="shared" si="24"/>
        <v>39384.615384615383</v>
      </c>
    </row>
    <row r="241" spans="1:15">
      <c r="A241" s="1840" t="s">
        <v>1037</v>
      </c>
      <c r="B241" s="428">
        <v>1000</v>
      </c>
      <c r="C241" s="428">
        <v>1000</v>
      </c>
      <c r="D241" s="428">
        <v>1000</v>
      </c>
      <c r="E241" s="428">
        <v>1000</v>
      </c>
      <c r="F241" s="428">
        <v>1000</v>
      </c>
      <c r="G241" s="428">
        <v>1000</v>
      </c>
      <c r="H241" s="428">
        <v>1000</v>
      </c>
      <c r="I241" s="428">
        <v>1000</v>
      </c>
      <c r="J241" s="428">
        <v>1000</v>
      </c>
      <c r="K241" s="428">
        <v>1000</v>
      </c>
      <c r="L241" s="428">
        <v>1000</v>
      </c>
      <c r="M241" s="428">
        <v>1000</v>
      </c>
      <c r="N241" s="428">
        <v>1000</v>
      </c>
      <c r="O241" s="1745">
        <f t="shared" si="24"/>
        <v>1000</v>
      </c>
    </row>
    <row r="242" spans="1:15">
      <c r="A242" s="1840" t="s">
        <v>1038</v>
      </c>
      <c r="B242" s="428">
        <v>1000</v>
      </c>
      <c r="C242" s="428">
        <v>1000</v>
      </c>
      <c r="D242" s="428">
        <v>1000</v>
      </c>
      <c r="E242" s="428">
        <v>1000</v>
      </c>
      <c r="F242" s="428">
        <v>1000</v>
      </c>
      <c r="G242" s="428">
        <v>1000</v>
      </c>
      <c r="H242" s="428">
        <v>1000</v>
      </c>
      <c r="I242" s="428">
        <v>1000</v>
      </c>
      <c r="J242" s="428">
        <v>1000</v>
      </c>
      <c r="K242" s="428">
        <v>1000</v>
      </c>
      <c r="L242" s="428">
        <v>1000</v>
      </c>
      <c r="M242" s="428">
        <v>1000</v>
      </c>
      <c r="N242" s="428">
        <v>1000</v>
      </c>
      <c r="O242" s="1745">
        <f t="shared" si="24"/>
        <v>1000</v>
      </c>
    </row>
    <row r="243" spans="1:15">
      <c r="A243" s="1840" t="s">
        <v>1124</v>
      </c>
      <c r="B243" s="428">
        <v>30000</v>
      </c>
      <c r="C243" s="428">
        <v>30000</v>
      </c>
      <c r="D243" s="428">
        <v>30000</v>
      </c>
      <c r="E243" s="428">
        <v>30000</v>
      </c>
      <c r="F243" s="428">
        <v>30000</v>
      </c>
      <c r="G243" s="428">
        <v>30000</v>
      </c>
      <c r="H243" s="428">
        <v>30000</v>
      </c>
      <c r="I243" s="428">
        <v>31000</v>
      </c>
      <c r="J243" s="428">
        <v>31000</v>
      </c>
      <c r="K243" s="428">
        <v>31000</v>
      </c>
      <c r="L243" s="428">
        <v>31000</v>
      </c>
      <c r="M243" s="428">
        <v>31000</v>
      </c>
      <c r="N243" s="428">
        <v>31000</v>
      </c>
      <c r="O243" s="1745">
        <f t="shared" si="24"/>
        <v>30461.538461538461</v>
      </c>
    </row>
    <row r="244" spans="1:15">
      <c r="A244" s="1840" t="s">
        <v>1077</v>
      </c>
      <c r="B244" s="428">
        <v>396000</v>
      </c>
      <c r="C244" s="428">
        <v>398000</v>
      </c>
      <c r="D244" s="428">
        <v>400000</v>
      </c>
      <c r="E244" s="428">
        <v>402000</v>
      </c>
      <c r="F244" s="428">
        <v>405000</v>
      </c>
      <c r="G244" s="428">
        <v>407000</v>
      </c>
      <c r="H244" s="428">
        <v>409000</v>
      </c>
      <c r="I244" s="428">
        <v>411000</v>
      </c>
      <c r="J244" s="428">
        <v>413000</v>
      </c>
      <c r="K244" s="428">
        <v>415000</v>
      </c>
      <c r="L244" s="428">
        <v>417000</v>
      </c>
      <c r="M244" s="428">
        <v>419000</v>
      </c>
      <c r="N244" s="428">
        <v>421000</v>
      </c>
      <c r="O244" s="1745">
        <f t="shared" si="24"/>
        <v>408692.30769230769</v>
      </c>
    </row>
    <row r="245" spans="1:15">
      <c r="A245" s="1840" t="s">
        <v>1039</v>
      </c>
      <c r="B245" s="428">
        <v>46000</v>
      </c>
      <c r="C245" s="428">
        <v>46000</v>
      </c>
      <c r="D245" s="428">
        <v>46000</v>
      </c>
      <c r="E245" s="428">
        <v>46000</v>
      </c>
      <c r="F245" s="428">
        <v>47000</v>
      </c>
      <c r="G245" s="428">
        <v>47000</v>
      </c>
      <c r="H245" s="428">
        <v>47000</v>
      </c>
      <c r="I245" s="428">
        <v>47000</v>
      </c>
      <c r="J245" s="428">
        <v>47000</v>
      </c>
      <c r="K245" s="428">
        <v>48000</v>
      </c>
      <c r="L245" s="428">
        <v>48000</v>
      </c>
      <c r="M245" s="428">
        <v>48000</v>
      </c>
      <c r="N245" s="428">
        <v>48000</v>
      </c>
      <c r="O245" s="1745">
        <f t="shared" si="24"/>
        <v>47000</v>
      </c>
    </row>
    <row r="246" spans="1:15">
      <c r="A246" s="1840" t="s">
        <v>1040</v>
      </c>
      <c r="B246" s="428">
        <v>69000</v>
      </c>
      <c r="C246" s="428">
        <v>69000</v>
      </c>
      <c r="D246" s="428">
        <v>69000</v>
      </c>
      <c r="E246" s="428">
        <v>69000</v>
      </c>
      <c r="F246" s="428">
        <v>69000</v>
      </c>
      <c r="G246" s="428">
        <v>70000</v>
      </c>
      <c r="H246" s="428">
        <v>70000</v>
      </c>
      <c r="I246" s="428">
        <v>70000</v>
      </c>
      <c r="J246" s="428">
        <v>70000</v>
      </c>
      <c r="K246" s="428">
        <v>70000</v>
      </c>
      <c r="L246" s="428">
        <v>70000</v>
      </c>
      <c r="M246" s="428">
        <v>70000</v>
      </c>
      <c r="N246" s="428">
        <v>70000</v>
      </c>
      <c r="O246" s="1745">
        <f t="shared" si="24"/>
        <v>69615.38461538461</v>
      </c>
    </row>
    <row r="247" spans="1:15">
      <c r="A247" s="1840" t="s">
        <v>1041</v>
      </c>
      <c r="B247" s="428">
        <v>254000</v>
      </c>
      <c r="C247" s="428">
        <v>255000</v>
      </c>
      <c r="D247" s="428">
        <v>255000</v>
      </c>
      <c r="E247" s="428">
        <v>256000</v>
      </c>
      <c r="F247" s="428">
        <v>257000</v>
      </c>
      <c r="G247" s="428">
        <v>258000</v>
      </c>
      <c r="H247" s="428">
        <v>259000</v>
      </c>
      <c r="I247" s="428">
        <v>260000</v>
      </c>
      <c r="J247" s="428">
        <v>260000</v>
      </c>
      <c r="K247" s="428">
        <v>261000</v>
      </c>
      <c r="L247" s="428">
        <v>262000</v>
      </c>
      <c r="M247" s="428">
        <v>263000</v>
      </c>
      <c r="N247" s="428">
        <v>264000</v>
      </c>
      <c r="O247" s="1745">
        <f t="shared" si="24"/>
        <v>258769.23076923078</v>
      </c>
    </row>
    <row r="248" spans="1:15">
      <c r="A248" s="1840" t="s">
        <v>1042</v>
      </c>
      <c r="B248" s="428">
        <v>97000</v>
      </c>
      <c r="C248" s="428">
        <v>98000</v>
      </c>
      <c r="D248" s="428">
        <v>98000</v>
      </c>
      <c r="E248" s="428">
        <v>98000</v>
      </c>
      <c r="F248" s="428">
        <v>98000</v>
      </c>
      <c r="G248" s="428">
        <v>99000</v>
      </c>
      <c r="H248" s="428">
        <v>99000</v>
      </c>
      <c r="I248" s="428">
        <v>99000</v>
      </c>
      <c r="J248" s="428">
        <v>99000</v>
      </c>
      <c r="K248" s="428">
        <v>100000</v>
      </c>
      <c r="L248" s="428">
        <v>100000</v>
      </c>
      <c r="M248" s="428">
        <v>100000</v>
      </c>
      <c r="N248" s="428">
        <v>100000</v>
      </c>
      <c r="O248" s="1745">
        <f t="shared" si="24"/>
        <v>98846.153846153844</v>
      </c>
    </row>
    <row r="249" spans="1:15">
      <c r="A249" s="1840" t="s">
        <v>1043</v>
      </c>
      <c r="B249" s="428">
        <v>90000</v>
      </c>
      <c r="C249" s="428">
        <v>90000</v>
      </c>
      <c r="D249" s="428">
        <v>91000</v>
      </c>
      <c r="E249" s="428">
        <v>91000</v>
      </c>
      <c r="F249" s="428">
        <v>91000</v>
      </c>
      <c r="G249" s="428">
        <v>91000</v>
      </c>
      <c r="H249" s="428">
        <v>92000</v>
      </c>
      <c r="I249" s="428">
        <v>92000</v>
      </c>
      <c r="J249" s="428">
        <v>92000</v>
      </c>
      <c r="K249" s="428">
        <v>92000</v>
      </c>
      <c r="L249" s="428">
        <v>92000</v>
      </c>
      <c r="M249" s="428">
        <v>93000</v>
      </c>
      <c r="N249" s="428">
        <v>93000</v>
      </c>
      <c r="O249" s="1745">
        <f t="shared" si="24"/>
        <v>91538.461538461532</v>
      </c>
    </row>
    <row r="250" spans="1:15">
      <c r="A250" s="1840" t="s">
        <v>1044</v>
      </c>
      <c r="B250" s="428">
        <v>86000</v>
      </c>
      <c r="C250" s="428">
        <v>86000</v>
      </c>
      <c r="D250" s="428">
        <v>86000</v>
      </c>
      <c r="E250" s="428">
        <v>86000</v>
      </c>
      <c r="F250" s="428">
        <v>87000</v>
      </c>
      <c r="G250" s="428">
        <v>87000</v>
      </c>
      <c r="H250" s="428">
        <v>87000</v>
      </c>
      <c r="I250" s="428">
        <v>87000</v>
      </c>
      <c r="J250" s="428">
        <v>87000</v>
      </c>
      <c r="K250" s="428">
        <v>88000</v>
      </c>
      <c r="L250" s="428">
        <v>88000</v>
      </c>
      <c r="M250" s="428">
        <v>88000</v>
      </c>
      <c r="N250" s="428">
        <v>88000</v>
      </c>
      <c r="O250" s="1745">
        <f t="shared" si="24"/>
        <v>87000</v>
      </c>
    </row>
    <row r="251" spans="1:15">
      <c r="A251" s="1840" t="s">
        <v>1045</v>
      </c>
      <c r="B251" s="428">
        <v>5213000</v>
      </c>
      <c r="C251" s="428">
        <v>5223000</v>
      </c>
      <c r="D251" s="428">
        <v>5232000</v>
      </c>
      <c r="E251" s="428">
        <v>5242000</v>
      </c>
      <c r="F251" s="428">
        <v>5251000</v>
      </c>
      <c r="G251" s="428">
        <v>5261000</v>
      </c>
      <c r="H251" s="428">
        <v>5270000</v>
      </c>
      <c r="I251" s="428">
        <v>5279000</v>
      </c>
      <c r="J251" s="428">
        <v>5289000</v>
      </c>
      <c r="K251" s="428">
        <v>5298000</v>
      </c>
      <c r="L251" s="428">
        <v>5308000</v>
      </c>
      <c r="M251" s="428">
        <v>5317000</v>
      </c>
      <c r="N251" s="428">
        <v>5327000</v>
      </c>
      <c r="O251" s="1745">
        <f t="shared" si="24"/>
        <v>5270000</v>
      </c>
    </row>
    <row r="252" spans="1:15">
      <c r="A252" s="1840" t="s">
        <v>1063</v>
      </c>
      <c r="B252" s="428">
        <v>4271000</v>
      </c>
      <c r="C252" s="428">
        <v>4281000</v>
      </c>
      <c r="D252" s="428">
        <v>4291000</v>
      </c>
      <c r="E252" s="428">
        <v>4301000</v>
      </c>
      <c r="F252" s="428">
        <v>4310000</v>
      </c>
      <c r="G252" s="428">
        <v>4320000</v>
      </c>
      <c r="H252" s="428">
        <v>4330000</v>
      </c>
      <c r="I252" s="428">
        <v>4340000</v>
      </c>
      <c r="J252" s="428">
        <v>4350000</v>
      </c>
      <c r="K252" s="428">
        <v>4359000</v>
      </c>
      <c r="L252" s="428">
        <v>4369000</v>
      </c>
      <c r="M252" s="428">
        <v>4379000</v>
      </c>
      <c r="N252" s="428">
        <v>4389000</v>
      </c>
      <c r="O252" s="1745">
        <f t="shared" si="24"/>
        <v>4330000</v>
      </c>
    </row>
    <row r="253" spans="1:15">
      <c r="A253" s="1840" t="s">
        <v>1165</v>
      </c>
      <c r="B253" s="428">
        <v>1940000</v>
      </c>
      <c r="C253" s="428">
        <v>1949000</v>
      </c>
      <c r="D253" s="428">
        <v>1958000</v>
      </c>
      <c r="E253" s="428">
        <v>1967000</v>
      </c>
      <c r="F253" s="428">
        <v>1975000</v>
      </c>
      <c r="G253" s="428">
        <v>1984000</v>
      </c>
      <c r="H253" s="428">
        <v>1993000</v>
      </c>
      <c r="I253" s="428">
        <v>2002000</v>
      </c>
      <c r="J253" s="428">
        <v>2010000</v>
      </c>
      <c r="K253" s="428">
        <v>2019000</v>
      </c>
      <c r="L253" s="428">
        <v>2028000</v>
      </c>
      <c r="M253" s="428">
        <v>2037000</v>
      </c>
      <c r="N253" s="428">
        <v>2045000</v>
      </c>
      <c r="O253" s="1745">
        <f t="shared" si="24"/>
        <v>1992846.1538461538</v>
      </c>
    </row>
    <row r="254" spans="1:15">
      <c r="A254" s="1840" t="s">
        <v>1046</v>
      </c>
      <c r="B254" s="428">
        <v>777000</v>
      </c>
      <c r="C254" s="428">
        <v>783000</v>
      </c>
      <c r="D254" s="428">
        <v>789000</v>
      </c>
      <c r="E254" s="428">
        <v>794000</v>
      </c>
      <c r="F254" s="428">
        <v>800000</v>
      </c>
      <c r="G254" s="428">
        <v>805000</v>
      </c>
      <c r="H254" s="428">
        <v>811000</v>
      </c>
      <c r="I254" s="428">
        <v>816000</v>
      </c>
      <c r="J254" s="428">
        <v>822000</v>
      </c>
      <c r="K254" s="428">
        <v>827000</v>
      </c>
      <c r="L254" s="428">
        <v>833000</v>
      </c>
      <c r="M254" s="428">
        <v>838000</v>
      </c>
      <c r="N254" s="428">
        <v>844000</v>
      </c>
      <c r="O254" s="1745">
        <f t="shared" si="24"/>
        <v>810692.30769230775</v>
      </c>
    </row>
    <row r="255" spans="1:15">
      <c r="A255" s="1840" t="s">
        <v>1047</v>
      </c>
      <c r="B255" s="428">
        <v>1730000</v>
      </c>
      <c r="C255" s="428">
        <v>1736000</v>
      </c>
      <c r="D255" s="428">
        <v>1743000</v>
      </c>
      <c r="E255" s="428">
        <v>1750000</v>
      </c>
      <c r="F255" s="428">
        <v>1756000</v>
      </c>
      <c r="G255" s="428">
        <v>1763000</v>
      </c>
      <c r="H255" s="428">
        <v>1770000</v>
      </c>
      <c r="I255" s="428">
        <v>1776000</v>
      </c>
      <c r="J255" s="428">
        <v>1783000</v>
      </c>
      <c r="K255" s="428">
        <v>1790000</v>
      </c>
      <c r="L255" s="428">
        <v>1796000</v>
      </c>
      <c r="M255" s="428">
        <v>1803000</v>
      </c>
      <c r="N255" s="428">
        <v>1810000</v>
      </c>
      <c r="O255" s="1745">
        <f t="shared" si="24"/>
        <v>1769692.3076923077</v>
      </c>
    </row>
    <row r="256" spans="1:15">
      <c r="A256" s="1840" t="s">
        <v>1048</v>
      </c>
      <c r="B256" s="428">
        <v>743000</v>
      </c>
      <c r="C256" s="428">
        <v>746000</v>
      </c>
      <c r="D256" s="428">
        <v>749000</v>
      </c>
      <c r="E256" s="428">
        <v>752000</v>
      </c>
      <c r="F256" s="428">
        <v>755000</v>
      </c>
      <c r="G256" s="428">
        <v>758000</v>
      </c>
      <c r="H256" s="428">
        <v>761000</v>
      </c>
      <c r="I256" s="428">
        <v>764000</v>
      </c>
      <c r="J256" s="428">
        <v>767000</v>
      </c>
      <c r="K256" s="428">
        <v>770000</v>
      </c>
      <c r="L256" s="428">
        <v>773000</v>
      </c>
      <c r="M256" s="428">
        <v>776000</v>
      </c>
      <c r="N256" s="428">
        <v>779000</v>
      </c>
      <c r="O256" s="1745">
        <f t="shared" si="24"/>
        <v>761000</v>
      </c>
    </row>
    <row r="257" spans="1:15">
      <c r="A257" s="1840" t="s">
        <v>1049</v>
      </c>
      <c r="B257" s="428">
        <v>123000</v>
      </c>
      <c r="C257" s="428">
        <v>123000</v>
      </c>
      <c r="D257" s="428">
        <v>124000</v>
      </c>
      <c r="E257" s="428">
        <v>125000</v>
      </c>
      <c r="F257" s="428">
        <v>126000</v>
      </c>
      <c r="G257" s="428">
        <v>126000</v>
      </c>
      <c r="H257" s="428">
        <v>127000</v>
      </c>
      <c r="I257" s="428">
        <v>128000</v>
      </c>
      <c r="J257" s="428">
        <v>128000</v>
      </c>
      <c r="K257" s="428">
        <v>129000</v>
      </c>
      <c r="L257" s="428">
        <v>130000</v>
      </c>
      <c r="M257" s="428">
        <v>131000</v>
      </c>
      <c r="N257" s="428">
        <v>131000</v>
      </c>
      <c r="O257" s="1745">
        <f t="shared" si="24"/>
        <v>127000</v>
      </c>
    </row>
    <row r="258" spans="1:15">
      <c r="A258" s="1840" t="s">
        <v>1050</v>
      </c>
      <c r="B258" s="428">
        <v>2676000</v>
      </c>
      <c r="C258" s="428">
        <v>2692000</v>
      </c>
      <c r="D258" s="428">
        <v>2707000</v>
      </c>
      <c r="E258" s="428">
        <v>2723000</v>
      </c>
      <c r="F258" s="428">
        <v>2738000</v>
      </c>
      <c r="G258" s="428">
        <v>2754000</v>
      </c>
      <c r="H258" s="428">
        <v>2769000</v>
      </c>
      <c r="I258" s="428">
        <v>2785000</v>
      </c>
      <c r="J258" s="428">
        <v>2800000</v>
      </c>
      <c r="K258" s="428">
        <v>2816000</v>
      </c>
      <c r="L258" s="428">
        <v>2832000</v>
      </c>
      <c r="M258" s="428">
        <v>2847000</v>
      </c>
      <c r="N258" s="428">
        <v>2863000</v>
      </c>
      <c r="O258" s="1745">
        <f t="shared" si="24"/>
        <v>2769384.6153846155</v>
      </c>
    </row>
    <row r="259" spans="1:15">
      <c r="A259" s="1840" t="s">
        <v>1051</v>
      </c>
      <c r="B259" s="428">
        <v>3341000</v>
      </c>
      <c r="C259" s="428">
        <v>3357000</v>
      </c>
      <c r="D259" s="428">
        <v>3373000</v>
      </c>
      <c r="E259" s="428">
        <v>3390000</v>
      </c>
      <c r="F259" s="428">
        <v>3406000</v>
      </c>
      <c r="G259" s="428">
        <v>3422000</v>
      </c>
      <c r="H259" s="428">
        <v>3439000</v>
      </c>
      <c r="I259" s="428">
        <v>3455000</v>
      </c>
      <c r="J259" s="428">
        <v>3471000</v>
      </c>
      <c r="K259" s="428">
        <v>3488000</v>
      </c>
      <c r="L259" s="428">
        <v>3504000</v>
      </c>
      <c r="M259" s="428">
        <v>3520000</v>
      </c>
      <c r="N259" s="428">
        <v>3537000</v>
      </c>
      <c r="O259" s="1745">
        <f t="shared" si="24"/>
        <v>3438692.3076923075</v>
      </c>
    </row>
    <row r="260" spans="1:15">
      <c r="A260" s="1840" t="s">
        <v>1052</v>
      </c>
      <c r="B260" s="428">
        <v>816000</v>
      </c>
      <c r="C260" s="428">
        <v>820000</v>
      </c>
      <c r="D260" s="428">
        <v>825000</v>
      </c>
      <c r="E260" s="428">
        <v>830000</v>
      </c>
      <c r="F260" s="428">
        <v>835000</v>
      </c>
      <c r="G260" s="428">
        <v>839000</v>
      </c>
      <c r="H260" s="428">
        <v>844000</v>
      </c>
      <c r="I260" s="428">
        <v>849000</v>
      </c>
      <c r="J260" s="428">
        <v>853000</v>
      </c>
      <c r="K260" s="428">
        <v>858000</v>
      </c>
      <c r="L260" s="428">
        <v>863000</v>
      </c>
      <c r="M260" s="428">
        <v>867000</v>
      </c>
      <c r="N260" s="428">
        <v>872000</v>
      </c>
      <c r="O260" s="1745">
        <f t="shared" si="24"/>
        <v>843923.07692307688</v>
      </c>
    </row>
    <row r="261" spans="1:15">
      <c r="A261" s="1840" t="s">
        <v>1078</v>
      </c>
      <c r="B261" s="428">
        <v>9651000</v>
      </c>
      <c r="C261" s="428">
        <v>9693000</v>
      </c>
      <c r="D261" s="428">
        <v>9736000</v>
      </c>
      <c r="E261" s="428">
        <v>9778000</v>
      </c>
      <c r="F261" s="428">
        <v>9820000</v>
      </c>
      <c r="G261" s="428">
        <v>9862000</v>
      </c>
      <c r="H261" s="428">
        <v>9904000</v>
      </c>
      <c r="I261" s="428">
        <v>9946000</v>
      </c>
      <c r="J261" s="428">
        <v>9988000</v>
      </c>
      <c r="K261" s="428">
        <v>10030000</v>
      </c>
      <c r="L261" s="428">
        <v>10073000</v>
      </c>
      <c r="M261" s="428">
        <v>10115000</v>
      </c>
      <c r="N261" s="428">
        <v>10157000</v>
      </c>
      <c r="O261" s="1745">
        <f t="shared" si="24"/>
        <v>9904076.9230769239</v>
      </c>
    </row>
    <row r="262" spans="1:15">
      <c r="A262" s="1840" t="s">
        <v>1053</v>
      </c>
      <c r="B262" s="428">
        <v>571000</v>
      </c>
      <c r="C262" s="428">
        <v>574000</v>
      </c>
      <c r="D262" s="428">
        <v>577000</v>
      </c>
      <c r="E262" s="428">
        <v>580000</v>
      </c>
      <c r="F262" s="428">
        <v>583000</v>
      </c>
      <c r="G262" s="428">
        <v>586000</v>
      </c>
      <c r="H262" s="428">
        <v>589000</v>
      </c>
      <c r="I262" s="428">
        <v>593000</v>
      </c>
      <c r="J262" s="428">
        <v>596000</v>
      </c>
      <c r="K262" s="428">
        <v>599000</v>
      </c>
      <c r="L262" s="428">
        <v>602000</v>
      </c>
      <c r="M262" s="428">
        <v>605000</v>
      </c>
      <c r="N262" s="428">
        <v>608000</v>
      </c>
      <c r="O262" s="1745">
        <f t="shared" si="24"/>
        <v>589461.5384615385</v>
      </c>
    </row>
    <row r="263" spans="1:15">
      <c r="A263" s="1840" t="s">
        <v>1054</v>
      </c>
      <c r="B263" s="428">
        <v>11000</v>
      </c>
      <c r="C263" s="428">
        <v>11000</v>
      </c>
      <c r="D263" s="428">
        <v>11000</v>
      </c>
      <c r="E263" s="428">
        <v>11000</v>
      </c>
      <c r="F263" s="428">
        <v>11000</v>
      </c>
      <c r="G263" s="428">
        <v>11000</v>
      </c>
      <c r="H263" s="428">
        <v>12000</v>
      </c>
      <c r="I263" s="428">
        <v>12000</v>
      </c>
      <c r="J263" s="428">
        <v>12000</v>
      </c>
      <c r="K263" s="428">
        <v>12000</v>
      </c>
      <c r="L263" s="428">
        <v>12000</v>
      </c>
      <c r="M263" s="428">
        <v>12000</v>
      </c>
      <c r="N263" s="428">
        <v>12000</v>
      </c>
      <c r="O263" s="1745">
        <f t="shared" si="24"/>
        <v>11538.461538461539</v>
      </c>
    </row>
    <row r="264" spans="1:15">
      <c r="A264" s="1840" t="s">
        <v>1055</v>
      </c>
      <c r="B264" s="428">
        <v>45000</v>
      </c>
      <c r="C264" s="428">
        <v>45000</v>
      </c>
      <c r="D264" s="428">
        <v>46000</v>
      </c>
      <c r="E264" s="428">
        <v>46000</v>
      </c>
      <c r="F264" s="428">
        <v>46000</v>
      </c>
      <c r="G264" s="428">
        <v>47000</v>
      </c>
      <c r="H264" s="428">
        <v>47000</v>
      </c>
      <c r="I264" s="428">
        <v>47000</v>
      </c>
      <c r="J264" s="428">
        <v>48000</v>
      </c>
      <c r="K264" s="428">
        <v>48000</v>
      </c>
      <c r="L264" s="428">
        <v>48000</v>
      </c>
      <c r="M264" s="428">
        <v>49000</v>
      </c>
      <c r="N264" s="428">
        <v>49000</v>
      </c>
      <c r="O264" s="1745">
        <f t="shared" si="24"/>
        <v>47000</v>
      </c>
    </row>
    <row r="265" spans="1:15">
      <c r="A265" s="1840" t="s">
        <v>1056</v>
      </c>
      <c r="B265" s="428">
        <v>43000</v>
      </c>
      <c r="C265" s="428">
        <v>43000</v>
      </c>
      <c r="D265" s="428">
        <v>43000</v>
      </c>
      <c r="E265" s="428">
        <v>43000</v>
      </c>
      <c r="F265" s="428">
        <v>44000</v>
      </c>
      <c r="G265" s="428">
        <v>44000</v>
      </c>
      <c r="H265" s="428">
        <v>44000</v>
      </c>
      <c r="I265" s="428">
        <v>44000</v>
      </c>
      <c r="J265" s="428">
        <v>45000</v>
      </c>
      <c r="K265" s="428">
        <v>45000</v>
      </c>
      <c r="L265" s="428">
        <v>45000</v>
      </c>
      <c r="M265" s="428">
        <v>45000</v>
      </c>
      <c r="N265" s="428">
        <v>45000</v>
      </c>
      <c r="O265" s="1745">
        <f t="shared" si="24"/>
        <v>44076.923076923078</v>
      </c>
    </row>
    <row r="266" spans="1:15">
      <c r="A266" s="1840" t="s">
        <v>1064</v>
      </c>
      <c r="B266" s="428">
        <v>979000</v>
      </c>
      <c r="C266" s="428">
        <v>986000</v>
      </c>
      <c r="D266" s="428">
        <v>993000</v>
      </c>
      <c r="E266" s="428">
        <v>1000000</v>
      </c>
      <c r="F266" s="428">
        <v>1007000</v>
      </c>
      <c r="G266" s="428">
        <v>1014000</v>
      </c>
      <c r="H266" s="428">
        <v>1021000</v>
      </c>
      <c r="I266" s="428">
        <v>1028000</v>
      </c>
      <c r="J266" s="428">
        <v>1036000</v>
      </c>
      <c r="K266" s="428">
        <v>1043000</v>
      </c>
      <c r="L266" s="428">
        <v>1050000</v>
      </c>
      <c r="M266" s="428">
        <v>1057000</v>
      </c>
      <c r="N266" s="428">
        <v>1064000</v>
      </c>
      <c r="O266" s="1745">
        <f t="shared" si="24"/>
        <v>1021384.6153846154</v>
      </c>
    </row>
    <row r="267" spans="1:15">
      <c r="A267" s="1840" t="s">
        <v>1065</v>
      </c>
      <c r="B267" s="428">
        <v>1005000</v>
      </c>
      <c r="C267" s="428">
        <v>1013000</v>
      </c>
      <c r="D267" s="428">
        <v>1022000</v>
      </c>
      <c r="E267" s="428">
        <v>1030000</v>
      </c>
      <c r="F267" s="428">
        <v>1038000</v>
      </c>
      <c r="G267" s="428">
        <v>1046000</v>
      </c>
      <c r="H267" s="428">
        <v>1055000</v>
      </c>
      <c r="I267" s="428">
        <v>1063000</v>
      </c>
      <c r="J267" s="428">
        <v>1071000</v>
      </c>
      <c r="K267" s="428">
        <v>1079000</v>
      </c>
      <c r="L267" s="428">
        <v>1088000</v>
      </c>
      <c r="M267" s="428">
        <v>1096000</v>
      </c>
      <c r="N267" s="428">
        <v>1104000</v>
      </c>
      <c r="O267" s="1745">
        <f t="shared" si="24"/>
        <v>1054615.3846153845</v>
      </c>
    </row>
    <row r="268" spans="1:15">
      <c r="A268" s="1840" t="s">
        <v>1057</v>
      </c>
      <c r="B268" s="428">
        <v>156000</v>
      </c>
      <c r="C268" s="428">
        <v>157000</v>
      </c>
      <c r="D268" s="428">
        <v>157000</v>
      </c>
      <c r="E268" s="428">
        <v>158000</v>
      </c>
      <c r="F268" s="428">
        <v>158000</v>
      </c>
      <c r="G268" s="428">
        <v>158000</v>
      </c>
      <c r="H268" s="428">
        <v>159000</v>
      </c>
      <c r="I268" s="428">
        <v>159000</v>
      </c>
      <c r="J268" s="428">
        <v>159000</v>
      </c>
      <c r="K268" s="428">
        <v>160000</v>
      </c>
      <c r="L268" s="428">
        <v>160000</v>
      </c>
      <c r="M268" s="428">
        <v>160000</v>
      </c>
      <c r="N268" s="428">
        <v>161000</v>
      </c>
      <c r="O268" s="1745">
        <f t="shared" si="24"/>
        <v>158615.38461538462</v>
      </c>
    </row>
    <row r="269" spans="1:15">
      <c r="A269" s="1840" t="s">
        <v>1058</v>
      </c>
      <c r="B269" s="428">
        <v>-36000</v>
      </c>
      <c r="C269" s="428">
        <v>-36000</v>
      </c>
      <c r="D269" s="428">
        <v>-36000</v>
      </c>
      <c r="E269" s="428">
        <v>-35000</v>
      </c>
      <c r="F269" s="428">
        <v>-35000</v>
      </c>
      <c r="G269" s="428">
        <v>-35000</v>
      </c>
      <c r="H269" s="428">
        <v>-35000</v>
      </c>
      <c r="I269" s="428">
        <v>-35000</v>
      </c>
      <c r="J269" s="428">
        <v>-35000</v>
      </c>
      <c r="K269" s="428">
        <v>-34000</v>
      </c>
      <c r="L269" s="428">
        <v>-34000</v>
      </c>
      <c r="M269" s="428">
        <v>-34000</v>
      </c>
      <c r="N269" s="428">
        <v>-34000</v>
      </c>
      <c r="O269" s="1745">
        <f t="shared" si="24"/>
        <v>-34923.076923076922</v>
      </c>
    </row>
    <row r="270" spans="1:15">
      <c r="A270" s="1840" t="s">
        <v>1059</v>
      </c>
      <c r="B270" s="428">
        <v>14000</v>
      </c>
      <c r="C270" s="428">
        <v>14000</v>
      </c>
      <c r="D270" s="428">
        <v>14000</v>
      </c>
      <c r="E270" s="428">
        <v>14000</v>
      </c>
      <c r="F270" s="428">
        <v>14000</v>
      </c>
      <c r="G270" s="428">
        <v>14000</v>
      </c>
      <c r="H270" s="428">
        <v>14000</v>
      </c>
      <c r="I270" s="428">
        <v>14000</v>
      </c>
      <c r="J270" s="428">
        <v>14000</v>
      </c>
      <c r="K270" s="428">
        <v>14000</v>
      </c>
      <c r="L270" s="428">
        <v>14000</v>
      </c>
      <c r="M270" s="428">
        <v>14000</v>
      </c>
      <c r="N270" s="428">
        <v>14000</v>
      </c>
      <c r="O270" s="1745">
        <f t="shared" ref="O270:O309" si="25">AVERAGE(B270:N270)</f>
        <v>14000</v>
      </c>
    </row>
    <row r="271" spans="1:15">
      <c r="A271" s="1840" t="s">
        <v>1079</v>
      </c>
      <c r="B271" s="428">
        <v>570000</v>
      </c>
      <c r="C271" s="428">
        <v>575000</v>
      </c>
      <c r="D271" s="428">
        <v>580000</v>
      </c>
      <c r="E271" s="428">
        <v>585000</v>
      </c>
      <c r="F271" s="428">
        <v>590000</v>
      </c>
      <c r="G271" s="428">
        <v>595000</v>
      </c>
      <c r="H271" s="428">
        <v>600000</v>
      </c>
      <c r="I271" s="428">
        <v>605000</v>
      </c>
      <c r="J271" s="428">
        <v>610000</v>
      </c>
      <c r="K271" s="428">
        <v>615000</v>
      </c>
      <c r="L271" s="428">
        <v>620000</v>
      </c>
      <c r="M271" s="428">
        <v>625000</v>
      </c>
      <c r="N271" s="428">
        <v>629000</v>
      </c>
      <c r="O271" s="1745">
        <f t="shared" si="25"/>
        <v>599923.07692307688</v>
      </c>
    </row>
    <row r="272" spans="1:15">
      <c r="A272" s="1840" t="s">
        <v>1060</v>
      </c>
      <c r="B272" s="428">
        <v>3592000</v>
      </c>
      <c r="C272" s="428">
        <v>3598000</v>
      </c>
      <c r="D272" s="428">
        <v>3604000</v>
      </c>
      <c r="E272" s="428">
        <v>3611000</v>
      </c>
      <c r="F272" s="428">
        <v>3617000</v>
      </c>
      <c r="G272" s="428">
        <v>3623000</v>
      </c>
      <c r="H272" s="428">
        <v>3629000</v>
      </c>
      <c r="I272" s="428">
        <v>3635000</v>
      </c>
      <c r="J272" s="428">
        <v>3641000</v>
      </c>
      <c r="K272" s="428">
        <v>3647000</v>
      </c>
      <c r="L272" s="428">
        <v>3653000</v>
      </c>
      <c r="M272" s="428">
        <v>3660000</v>
      </c>
      <c r="N272" s="428">
        <v>3666000</v>
      </c>
      <c r="O272" s="1745">
        <f t="shared" si="25"/>
        <v>3628923.076923077</v>
      </c>
    </row>
    <row r="273" spans="1:15">
      <c r="A273" s="1840" t="s">
        <v>1061</v>
      </c>
      <c r="B273" s="428">
        <v>81000</v>
      </c>
      <c r="C273" s="428">
        <v>81000</v>
      </c>
      <c r="D273" s="428">
        <v>81000</v>
      </c>
      <c r="E273" s="428">
        <v>82000</v>
      </c>
      <c r="F273" s="428">
        <v>82000</v>
      </c>
      <c r="G273" s="428">
        <v>82000</v>
      </c>
      <c r="H273" s="428">
        <v>82000</v>
      </c>
      <c r="I273" s="428">
        <v>83000</v>
      </c>
      <c r="J273" s="428">
        <v>83000</v>
      </c>
      <c r="K273" s="428">
        <v>83000</v>
      </c>
      <c r="L273" s="428">
        <v>83000</v>
      </c>
      <c r="M273" s="428">
        <v>84000</v>
      </c>
      <c r="N273" s="428">
        <v>84000</v>
      </c>
      <c r="O273" s="1745">
        <f t="shared" si="25"/>
        <v>82384.61538461539</v>
      </c>
    </row>
    <row r="274" spans="1:15">
      <c r="A274" s="1840" t="s">
        <v>1062</v>
      </c>
      <c r="B274" s="428">
        <v>9000</v>
      </c>
      <c r="C274" s="428">
        <v>9000</v>
      </c>
      <c r="D274" s="428">
        <v>9000</v>
      </c>
      <c r="E274" s="428">
        <v>9000</v>
      </c>
      <c r="F274" s="428">
        <v>9000</v>
      </c>
      <c r="G274" s="428">
        <v>9000</v>
      </c>
      <c r="H274" s="428">
        <v>9000</v>
      </c>
      <c r="I274" s="428">
        <v>9000</v>
      </c>
      <c r="J274" s="428">
        <v>9000</v>
      </c>
      <c r="K274" s="428">
        <v>9000</v>
      </c>
      <c r="L274" s="428">
        <v>9000</v>
      </c>
      <c r="M274" s="428">
        <v>9000</v>
      </c>
      <c r="N274" s="428">
        <v>9000</v>
      </c>
      <c r="O274" s="1745">
        <f t="shared" si="25"/>
        <v>9000</v>
      </c>
    </row>
    <row r="275" spans="1:15">
      <c r="A275" s="1840" t="s">
        <v>0</v>
      </c>
      <c r="B275" s="428">
        <v>829000</v>
      </c>
      <c r="C275" s="428">
        <v>834000</v>
      </c>
      <c r="D275" s="428">
        <v>839000</v>
      </c>
      <c r="E275" s="428">
        <v>844000</v>
      </c>
      <c r="F275" s="428">
        <v>848000</v>
      </c>
      <c r="G275" s="428">
        <v>853000</v>
      </c>
      <c r="H275" s="428">
        <v>858000</v>
      </c>
      <c r="I275" s="428">
        <v>862000</v>
      </c>
      <c r="J275" s="428">
        <v>867000</v>
      </c>
      <c r="K275" s="428">
        <v>872000</v>
      </c>
      <c r="L275" s="428">
        <v>877000</v>
      </c>
      <c r="M275" s="428">
        <v>881000</v>
      </c>
      <c r="N275" s="428">
        <v>886000</v>
      </c>
      <c r="O275" s="1745">
        <f t="shared" si="25"/>
        <v>857692.30769230775</v>
      </c>
    </row>
    <row r="276" spans="1:15">
      <c r="A276" s="1840" t="s">
        <v>1</v>
      </c>
      <c r="B276" s="428">
        <v>742000</v>
      </c>
      <c r="C276" s="428">
        <v>747000</v>
      </c>
      <c r="D276" s="428">
        <v>752000</v>
      </c>
      <c r="E276" s="428">
        <v>757000</v>
      </c>
      <c r="F276" s="428">
        <v>762000</v>
      </c>
      <c r="G276" s="428">
        <v>767000</v>
      </c>
      <c r="H276" s="428">
        <v>772000</v>
      </c>
      <c r="I276" s="428">
        <v>777000</v>
      </c>
      <c r="J276" s="428">
        <v>782000</v>
      </c>
      <c r="K276" s="428">
        <v>787000</v>
      </c>
      <c r="L276" s="428">
        <v>792000</v>
      </c>
      <c r="M276" s="428">
        <v>797000</v>
      </c>
      <c r="N276" s="428">
        <v>802000</v>
      </c>
      <c r="O276" s="1745">
        <f t="shared" si="25"/>
        <v>772000</v>
      </c>
    </row>
    <row r="277" spans="1:15">
      <c r="A277" s="1840" t="s">
        <v>2</v>
      </c>
      <c r="B277" s="428">
        <v>1648000</v>
      </c>
      <c r="C277" s="428">
        <v>1651000</v>
      </c>
      <c r="D277" s="428">
        <v>1655000</v>
      </c>
      <c r="E277" s="428">
        <v>1658000</v>
      </c>
      <c r="F277" s="428">
        <v>1662000</v>
      </c>
      <c r="G277" s="428">
        <v>1665000</v>
      </c>
      <c r="H277" s="428">
        <v>1669000</v>
      </c>
      <c r="I277" s="428">
        <v>1673000</v>
      </c>
      <c r="J277" s="428">
        <v>1676000</v>
      </c>
      <c r="K277" s="428">
        <v>1680000</v>
      </c>
      <c r="L277" s="428">
        <v>1683000</v>
      </c>
      <c r="M277" s="428">
        <v>1687000</v>
      </c>
      <c r="N277" s="428">
        <v>1690000</v>
      </c>
      <c r="O277" s="1745">
        <f t="shared" si="25"/>
        <v>1669000</v>
      </c>
    </row>
    <row r="278" spans="1:15">
      <c r="A278" s="1840" t="s">
        <v>3</v>
      </c>
      <c r="B278" s="428">
        <v>3752000</v>
      </c>
      <c r="C278" s="428">
        <v>3771000</v>
      </c>
      <c r="D278" s="428">
        <v>3790000</v>
      </c>
      <c r="E278" s="428">
        <v>3809000</v>
      </c>
      <c r="F278" s="428">
        <v>3828000</v>
      </c>
      <c r="G278" s="428">
        <v>3847000</v>
      </c>
      <c r="H278" s="428">
        <v>3865000</v>
      </c>
      <c r="I278" s="428">
        <v>3884000</v>
      </c>
      <c r="J278" s="428">
        <v>3903000</v>
      </c>
      <c r="K278" s="428">
        <v>3922000</v>
      </c>
      <c r="L278" s="428">
        <v>3941000</v>
      </c>
      <c r="M278" s="428">
        <v>3960000</v>
      </c>
      <c r="N278" s="428">
        <v>3978000</v>
      </c>
      <c r="O278" s="1745">
        <f t="shared" si="25"/>
        <v>3865384.6153846155</v>
      </c>
    </row>
    <row r="279" spans="1:15">
      <c r="A279" s="1840" t="s">
        <v>1159</v>
      </c>
      <c r="B279" s="428">
        <v>3236000</v>
      </c>
      <c r="C279" s="428">
        <v>3253000</v>
      </c>
      <c r="D279" s="428">
        <v>3270000</v>
      </c>
      <c r="E279" s="428">
        <v>3287000</v>
      </c>
      <c r="F279" s="428">
        <v>3303000</v>
      </c>
      <c r="G279" s="428">
        <v>3320000</v>
      </c>
      <c r="H279" s="428">
        <v>3337000</v>
      </c>
      <c r="I279" s="428">
        <v>3354000</v>
      </c>
      <c r="J279" s="428">
        <v>3371000</v>
      </c>
      <c r="K279" s="428">
        <v>3388000</v>
      </c>
      <c r="L279" s="428">
        <v>3405000</v>
      </c>
      <c r="M279" s="428">
        <v>3422000</v>
      </c>
      <c r="N279" s="428">
        <v>3438000</v>
      </c>
      <c r="O279" s="1745">
        <f t="shared" si="25"/>
        <v>3337230.769230769</v>
      </c>
    </row>
    <row r="280" spans="1:15">
      <c r="A280" s="1840" t="s">
        <v>4</v>
      </c>
      <c r="B280" s="428">
        <v>2115000</v>
      </c>
      <c r="C280" s="428">
        <v>2129000</v>
      </c>
      <c r="D280" s="428">
        <v>2143000</v>
      </c>
      <c r="E280" s="428">
        <v>2158000</v>
      </c>
      <c r="F280" s="428">
        <v>2172000</v>
      </c>
      <c r="G280" s="428">
        <v>2187000</v>
      </c>
      <c r="H280" s="428">
        <v>2201000</v>
      </c>
      <c r="I280" s="428">
        <v>2216000</v>
      </c>
      <c r="J280" s="428">
        <v>2230000</v>
      </c>
      <c r="K280" s="428">
        <v>2244000</v>
      </c>
      <c r="L280" s="428">
        <v>2259000</v>
      </c>
      <c r="M280" s="428">
        <v>2273000</v>
      </c>
      <c r="N280" s="428">
        <v>2288000</v>
      </c>
      <c r="O280" s="1745">
        <f t="shared" si="25"/>
        <v>2201153.846153846</v>
      </c>
    </row>
    <row r="281" spans="1:15">
      <c r="A281" s="1840" t="s">
        <v>5</v>
      </c>
      <c r="B281" s="428">
        <v>52000</v>
      </c>
      <c r="C281" s="428">
        <v>52000</v>
      </c>
      <c r="D281" s="428">
        <v>53000</v>
      </c>
      <c r="E281" s="428">
        <v>53000</v>
      </c>
      <c r="F281" s="428">
        <v>53000</v>
      </c>
      <c r="G281" s="428">
        <v>53000</v>
      </c>
      <c r="H281" s="428">
        <v>54000</v>
      </c>
      <c r="I281" s="428">
        <v>54000</v>
      </c>
      <c r="J281" s="428">
        <v>54000</v>
      </c>
      <c r="K281" s="428">
        <v>54000</v>
      </c>
      <c r="L281" s="428">
        <v>55000</v>
      </c>
      <c r="M281" s="428">
        <v>55000</v>
      </c>
      <c r="N281" s="428">
        <v>55000</v>
      </c>
      <c r="O281" s="1745">
        <f t="shared" si="25"/>
        <v>53615.384615384617</v>
      </c>
    </row>
    <row r="282" spans="1:15">
      <c r="A282" s="1840" t="s">
        <v>6</v>
      </c>
      <c r="B282" s="428">
        <v>53000</v>
      </c>
      <c r="C282" s="428">
        <v>53000</v>
      </c>
      <c r="D282" s="428">
        <v>53000</v>
      </c>
      <c r="E282" s="428">
        <v>53000</v>
      </c>
      <c r="F282" s="428">
        <v>54000</v>
      </c>
      <c r="G282" s="428">
        <v>54000</v>
      </c>
      <c r="H282" s="428">
        <v>54000</v>
      </c>
      <c r="I282" s="428">
        <v>55000</v>
      </c>
      <c r="J282" s="428">
        <v>55000</v>
      </c>
      <c r="K282" s="428">
        <v>55000</v>
      </c>
      <c r="L282" s="428">
        <v>55000</v>
      </c>
      <c r="M282" s="428">
        <v>56000</v>
      </c>
      <c r="N282" s="428">
        <v>56000</v>
      </c>
      <c r="O282" s="1745">
        <f t="shared" si="25"/>
        <v>54307.692307692305</v>
      </c>
    </row>
    <row r="283" spans="1:15">
      <c r="A283" s="1840" t="s">
        <v>1066</v>
      </c>
      <c r="B283" s="428">
        <v>32000</v>
      </c>
      <c r="C283" s="428">
        <v>32000</v>
      </c>
      <c r="D283" s="428">
        <v>32000</v>
      </c>
      <c r="E283" s="428">
        <v>32000</v>
      </c>
      <c r="F283" s="428">
        <v>32000</v>
      </c>
      <c r="G283" s="428">
        <v>32000</v>
      </c>
      <c r="H283" s="428">
        <v>32000</v>
      </c>
      <c r="I283" s="428">
        <v>32000</v>
      </c>
      <c r="J283" s="428">
        <v>33000</v>
      </c>
      <c r="K283" s="428">
        <v>33000</v>
      </c>
      <c r="L283" s="428">
        <v>33000</v>
      </c>
      <c r="M283" s="428">
        <v>33000</v>
      </c>
      <c r="N283" s="428">
        <v>33000</v>
      </c>
      <c r="O283" s="1745">
        <f t="shared" si="25"/>
        <v>32384.615384615383</v>
      </c>
    </row>
    <row r="284" spans="1:15">
      <c r="A284" s="1840" t="s">
        <v>7</v>
      </c>
      <c r="B284" s="428">
        <v>737000</v>
      </c>
      <c r="C284" s="428">
        <v>740000</v>
      </c>
      <c r="D284" s="428">
        <v>743000</v>
      </c>
      <c r="E284" s="428">
        <v>747000</v>
      </c>
      <c r="F284" s="428">
        <v>750000</v>
      </c>
      <c r="G284" s="428">
        <v>753000</v>
      </c>
      <c r="H284" s="428">
        <v>756000</v>
      </c>
      <c r="I284" s="428">
        <v>760000</v>
      </c>
      <c r="J284" s="428">
        <v>763000</v>
      </c>
      <c r="K284" s="428">
        <v>766000</v>
      </c>
      <c r="L284" s="428">
        <v>769000</v>
      </c>
      <c r="M284" s="428">
        <v>772000</v>
      </c>
      <c r="N284" s="428">
        <v>776000</v>
      </c>
      <c r="O284" s="1745">
        <f t="shared" si="25"/>
        <v>756307.69230769225</v>
      </c>
    </row>
    <row r="285" spans="1:15">
      <c r="A285" s="1840" t="s">
        <v>8</v>
      </c>
      <c r="B285" s="428">
        <v>13000</v>
      </c>
      <c r="C285" s="428">
        <v>13000</v>
      </c>
      <c r="D285" s="428">
        <v>13000</v>
      </c>
      <c r="E285" s="428">
        <v>13000</v>
      </c>
      <c r="F285" s="428">
        <v>13000</v>
      </c>
      <c r="G285" s="428">
        <v>13000</v>
      </c>
      <c r="H285" s="428">
        <v>13000</v>
      </c>
      <c r="I285" s="428">
        <v>13000</v>
      </c>
      <c r="J285" s="428">
        <v>13000</v>
      </c>
      <c r="K285" s="428">
        <v>13000</v>
      </c>
      <c r="L285" s="428">
        <v>13000</v>
      </c>
      <c r="M285" s="428">
        <v>13000</v>
      </c>
      <c r="N285" s="428">
        <v>13000</v>
      </c>
      <c r="O285" s="1745">
        <f t="shared" si="25"/>
        <v>13000</v>
      </c>
    </row>
    <row r="286" spans="1:15">
      <c r="A286" s="1840" t="s">
        <v>9</v>
      </c>
      <c r="B286" s="428">
        <v>356000</v>
      </c>
      <c r="C286" s="428">
        <v>358000</v>
      </c>
      <c r="D286" s="428">
        <v>360000</v>
      </c>
      <c r="E286" s="428">
        <v>362000</v>
      </c>
      <c r="F286" s="428">
        <v>364000</v>
      </c>
      <c r="G286" s="428">
        <v>366000</v>
      </c>
      <c r="H286" s="428">
        <v>368000</v>
      </c>
      <c r="I286" s="428">
        <v>370000</v>
      </c>
      <c r="J286" s="428">
        <v>372000</v>
      </c>
      <c r="K286" s="428">
        <v>374000</v>
      </c>
      <c r="L286" s="428">
        <v>375000</v>
      </c>
      <c r="M286" s="428">
        <v>377000</v>
      </c>
      <c r="N286" s="428">
        <v>379000</v>
      </c>
      <c r="O286" s="1745">
        <f t="shared" si="25"/>
        <v>367769.23076923075</v>
      </c>
    </row>
    <row r="287" spans="1:15">
      <c r="A287" s="1840" t="s">
        <v>10</v>
      </c>
      <c r="B287" s="428">
        <v>12000</v>
      </c>
      <c r="C287" s="428">
        <v>12000</v>
      </c>
      <c r="D287" s="428">
        <v>12000</v>
      </c>
      <c r="E287" s="428">
        <v>12000</v>
      </c>
      <c r="F287" s="428">
        <v>13000</v>
      </c>
      <c r="G287" s="428">
        <v>13000</v>
      </c>
      <c r="H287" s="428">
        <v>13000</v>
      </c>
      <c r="I287" s="428">
        <v>13000</v>
      </c>
      <c r="J287" s="428">
        <v>13000</v>
      </c>
      <c r="K287" s="428">
        <v>13000</v>
      </c>
      <c r="L287" s="428">
        <v>13000</v>
      </c>
      <c r="M287" s="428">
        <v>13000</v>
      </c>
      <c r="N287" s="428">
        <v>13000</v>
      </c>
      <c r="O287" s="1745">
        <f t="shared" si="25"/>
        <v>12692.307692307691</v>
      </c>
    </row>
    <row r="288" spans="1:15">
      <c r="A288" s="1840" t="s">
        <v>11</v>
      </c>
      <c r="B288" s="428">
        <v>72000</v>
      </c>
      <c r="C288" s="428">
        <v>73000</v>
      </c>
      <c r="D288" s="428">
        <v>73000</v>
      </c>
      <c r="E288" s="428">
        <v>73000</v>
      </c>
      <c r="F288" s="428">
        <v>74000</v>
      </c>
      <c r="G288" s="428">
        <v>74000</v>
      </c>
      <c r="H288" s="428">
        <v>75000</v>
      </c>
      <c r="I288" s="428">
        <v>75000</v>
      </c>
      <c r="J288" s="428">
        <v>75000</v>
      </c>
      <c r="K288" s="428">
        <v>76000</v>
      </c>
      <c r="L288" s="428">
        <v>76000</v>
      </c>
      <c r="M288" s="428">
        <v>77000</v>
      </c>
      <c r="N288" s="428">
        <v>77000</v>
      </c>
      <c r="O288" s="1745">
        <f t="shared" si="25"/>
        <v>74615.38461538461</v>
      </c>
    </row>
    <row r="289" spans="1:15">
      <c r="A289" s="1840" t="s">
        <v>12</v>
      </c>
      <c r="B289" s="428">
        <v>72000</v>
      </c>
      <c r="C289" s="428">
        <v>72000</v>
      </c>
      <c r="D289" s="428">
        <v>72000</v>
      </c>
      <c r="E289" s="428">
        <v>72000</v>
      </c>
      <c r="F289" s="428">
        <v>73000</v>
      </c>
      <c r="G289" s="428">
        <v>73000</v>
      </c>
      <c r="H289" s="428">
        <v>73000</v>
      </c>
      <c r="I289" s="428">
        <v>73000</v>
      </c>
      <c r="J289" s="428">
        <v>73000</v>
      </c>
      <c r="K289" s="428">
        <v>73000</v>
      </c>
      <c r="L289" s="428">
        <v>73000</v>
      </c>
      <c r="M289" s="428">
        <v>73000</v>
      </c>
      <c r="N289" s="428">
        <v>74000</v>
      </c>
      <c r="O289" s="1745">
        <f t="shared" si="25"/>
        <v>72769.230769230766</v>
      </c>
    </row>
    <row r="290" spans="1:15">
      <c r="A290" s="1840" t="s">
        <v>1125</v>
      </c>
      <c r="B290" s="428">
        <v>45000</v>
      </c>
      <c r="C290" s="428">
        <v>45000</v>
      </c>
      <c r="D290" s="428">
        <v>45000</v>
      </c>
      <c r="E290" s="428">
        <v>45000</v>
      </c>
      <c r="F290" s="428">
        <v>45000</v>
      </c>
      <c r="G290" s="428">
        <v>46000</v>
      </c>
      <c r="H290" s="428">
        <v>46000</v>
      </c>
      <c r="I290" s="428">
        <v>46000</v>
      </c>
      <c r="J290" s="428">
        <v>46000</v>
      </c>
      <c r="K290" s="428">
        <v>46000</v>
      </c>
      <c r="L290" s="428">
        <v>46000</v>
      </c>
      <c r="M290" s="428">
        <v>47000</v>
      </c>
      <c r="N290" s="428">
        <v>47000</v>
      </c>
      <c r="O290" s="1745">
        <f t="shared" si="25"/>
        <v>45769.230769230766</v>
      </c>
    </row>
    <row r="291" spans="1:15">
      <c r="A291" s="1840" t="s">
        <v>13</v>
      </c>
      <c r="B291" s="428">
        <v>151000</v>
      </c>
      <c r="C291" s="428">
        <v>151000</v>
      </c>
      <c r="D291" s="428">
        <v>152000</v>
      </c>
      <c r="E291" s="428">
        <v>152000</v>
      </c>
      <c r="F291" s="428">
        <v>152000</v>
      </c>
      <c r="G291" s="428">
        <v>153000</v>
      </c>
      <c r="H291" s="428">
        <v>153000</v>
      </c>
      <c r="I291" s="428">
        <v>153000</v>
      </c>
      <c r="J291" s="428">
        <v>154000</v>
      </c>
      <c r="K291" s="428">
        <v>154000</v>
      </c>
      <c r="L291" s="428">
        <v>154000</v>
      </c>
      <c r="M291" s="428">
        <v>154000</v>
      </c>
      <c r="N291" s="428">
        <v>155000</v>
      </c>
      <c r="O291" s="1745">
        <f t="shared" si="25"/>
        <v>152923.07692307694</v>
      </c>
    </row>
    <row r="292" spans="1:15">
      <c r="A292" s="1840" t="s">
        <v>14</v>
      </c>
      <c r="B292" s="428">
        <v>521000</v>
      </c>
      <c r="C292" s="428">
        <v>524000</v>
      </c>
      <c r="D292" s="428">
        <v>526000</v>
      </c>
      <c r="E292" s="428">
        <v>529000</v>
      </c>
      <c r="F292" s="428">
        <v>531000</v>
      </c>
      <c r="G292" s="428">
        <v>533000</v>
      </c>
      <c r="H292" s="428">
        <v>536000</v>
      </c>
      <c r="I292" s="428">
        <v>538000</v>
      </c>
      <c r="J292" s="428">
        <v>541000</v>
      </c>
      <c r="K292" s="428">
        <v>543000</v>
      </c>
      <c r="L292" s="428">
        <v>546000</v>
      </c>
      <c r="M292" s="428">
        <v>548000</v>
      </c>
      <c r="N292" s="428">
        <v>551000</v>
      </c>
      <c r="O292" s="1745">
        <f t="shared" si="25"/>
        <v>535923.07692307688</v>
      </c>
    </row>
    <row r="293" spans="1:15">
      <c r="A293" s="1840" t="s">
        <v>1080</v>
      </c>
      <c r="B293" s="428">
        <v>1713000</v>
      </c>
      <c r="C293" s="428">
        <v>1724000</v>
      </c>
      <c r="D293" s="428">
        <v>1733000</v>
      </c>
      <c r="E293" s="428">
        <v>1742000</v>
      </c>
      <c r="F293" s="428">
        <v>1752000</v>
      </c>
      <c r="G293" s="428">
        <v>1761000</v>
      </c>
      <c r="H293" s="428">
        <v>1771000</v>
      </c>
      <c r="I293" s="428">
        <v>1780000</v>
      </c>
      <c r="J293" s="428">
        <v>1790000</v>
      </c>
      <c r="K293" s="428">
        <v>1799000</v>
      </c>
      <c r="L293" s="428">
        <v>1809000</v>
      </c>
      <c r="M293" s="428">
        <v>1818000</v>
      </c>
      <c r="N293" s="428">
        <v>1828000</v>
      </c>
      <c r="O293" s="1745">
        <f t="shared" si="25"/>
        <v>1770769.2307692308</v>
      </c>
    </row>
    <row r="294" spans="1:15">
      <c r="A294" s="1840" t="s">
        <v>15</v>
      </c>
      <c r="B294" s="428">
        <v>729000</v>
      </c>
      <c r="C294" s="428">
        <v>731000</v>
      </c>
      <c r="D294" s="428">
        <v>733000</v>
      </c>
      <c r="E294" s="428">
        <v>735000</v>
      </c>
      <c r="F294" s="428">
        <v>737000</v>
      </c>
      <c r="G294" s="428">
        <v>739000</v>
      </c>
      <c r="H294" s="428">
        <v>741000</v>
      </c>
      <c r="I294" s="428">
        <v>743000</v>
      </c>
      <c r="J294" s="428">
        <v>745000</v>
      </c>
      <c r="K294" s="428">
        <v>747000</v>
      </c>
      <c r="L294" s="428">
        <v>749000</v>
      </c>
      <c r="M294" s="428">
        <v>751000</v>
      </c>
      <c r="N294" s="428">
        <v>753000</v>
      </c>
      <c r="O294" s="1745">
        <f t="shared" si="25"/>
        <v>741000</v>
      </c>
    </row>
    <row r="295" spans="1:15">
      <c r="A295" s="1840" t="s">
        <v>1166</v>
      </c>
      <c r="B295" s="428">
        <v>5000</v>
      </c>
      <c r="C295" s="428">
        <v>5000</v>
      </c>
      <c r="D295" s="428">
        <v>5000</v>
      </c>
      <c r="E295" s="428">
        <v>5000</v>
      </c>
      <c r="F295" s="428">
        <v>5000</v>
      </c>
      <c r="G295" s="428">
        <v>5000</v>
      </c>
      <c r="H295" s="428">
        <v>5000</v>
      </c>
      <c r="I295" s="428">
        <v>5000</v>
      </c>
      <c r="J295" s="428">
        <v>5000</v>
      </c>
      <c r="K295" s="428">
        <v>5000</v>
      </c>
      <c r="L295" s="428">
        <v>5000</v>
      </c>
      <c r="M295" s="428">
        <v>5000</v>
      </c>
      <c r="N295" s="428">
        <v>5000</v>
      </c>
      <c r="O295" s="1745">
        <f t="shared" si="25"/>
        <v>5000</v>
      </c>
    </row>
    <row r="296" spans="1:15">
      <c r="A296" s="1840" t="s">
        <v>16</v>
      </c>
      <c r="B296" s="428">
        <v>82000</v>
      </c>
      <c r="C296" s="428">
        <v>82000</v>
      </c>
      <c r="D296" s="428">
        <v>82000</v>
      </c>
      <c r="E296" s="428">
        <v>83000</v>
      </c>
      <c r="F296" s="428">
        <v>83000</v>
      </c>
      <c r="G296" s="428">
        <v>83000</v>
      </c>
      <c r="H296" s="428">
        <v>83000</v>
      </c>
      <c r="I296" s="428">
        <v>84000</v>
      </c>
      <c r="J296" s="428">
        <v>84000</v>
      </c>
      <c r="K296" s="428">
        <v>84000</v>
      </c>
      <c r="L296" s="428">
        <v>85000</v>
      </c>
      <c r="M296" s="428">
        <v>85000</v>
      </c>
      <c r="N296" s="428">
        <v>85000</v>
      </c>
      <c r="O296" s="1745">
        <f t="shared" si="25"/>
        <v>83461.538461538468</v>
      </c>
    </row>
    <row r="297" spans="1:15">
      <c r="A297" s="1840" t="s">
        <v>17</v>
      </c>
      <c r="B297" s="428">
        <v>6000</v>
      </c>
      <c r="C297" s="428">
        <v>6000</v>
      </c>
      <c r="D297" s="428">
        <v>6000</v>
      </c>
      <c r="E297" s="428">
        <v>6000</v>
      </c>
      <c r="F297" s="428">
        <v>6000</v>
      </c>
      <c r="G297" s="428">
        <v>6000</v>
      </c>
      <c r="H297" s="428">
        <v>6000</v>
      </c>
      <c r="I297" s="428">
        <v>6000</v>
      </c>
      <c r="J297" s="428">
        <v>6000</v>
      </c>
      <c r="K297" s="428">
        <v>6000</v>
      </c>
      <c r="L297" s="428">
        <v>6000</v>
      </c>
      <c r="M297" s="428">
        <v>6000</v>
      </c>
      <c r="N297" s="428">
        <v>6000</v>
      </c>
      <c r="O297" s="1745">
        <f t="shared" si="25"/>
        <v>6000</v>
      </c>
    </row>
    <row r="298" spans="1:15">
      <c r="A298" s="1840" t="s">
        <v>18</v>
      </c>
      <c r="B298" s="428">
        <v>28000</v>
      </c>
      <c r="C298" s="428">
        <v>29000</v>
      </c>
      <c r="D298" s="428">
        <v>29000</v>
      </c>
      <c r="E298" s="428">
        <v>29000</v>
      </c>
      <c r="F298" s="428">
        <v>29000</v>
      </c>
      <c r="G298" s="428">
        <v>29000</v>
      </c>
      <c r="H298" s="428">
        <v>30000</v>
      </c>
      <c r="I298" s="428">
        <v>30000</v>
      </c>
      <c r="J298" s="428">
        <v>30000</v>
      </c>
      <c r="K298" s="428">
        <v>30000</v>
      </c>
      <c r="L298" s="428">
        <v>30000</v>
      </c>
      <c r="M298" s="428">
        <v>31000</v>
      </c>
      <c r="N298" s="428">
        <v>31000</v>
      </c>
      <c r="O298" s="1745">
        <f t="shared" si="25"/>
        <v>29615.384615384617</v>
      </c>
    </row>
    <row r="299" spans="1:15">
      <c r="A299" s="1840" t="s">
        <v>19</v>
      </c>
      <c r="B299" s="428">
        <v>71000</v>
      </c>
      <c r="C299" s="428">
        <v>71000</v>
      </c>
      <c r="D299" s="428">
        <v>71000</v>
      </c>
      <c r="E299" s="428">
        <v>71000</v>
      </c>
      <c r="F299" s="428">
        <v>71000</v>
      </c>
      <c r="G299" s="428">
        <v>71000</v>
      </c>
      <c r="H299" s="428">
        <v>71000</v>
      </c>
      <c r="I299" s="428">
        <v>72000</v>
      </c>
      <c r="J299" s="428">
        <v>72000</v>
      </c>
      <c r="K299" s="428">
        <v>72000</v>
      </c>
      <c r="L299" s="428">
        <v>72000</v>
      </c>
      <c r="M299" s="428">
        <v>72000</v>
      </c>
      <c r="N299" s="428">
        <v>72000</v>
      </c>
      <c r="O299" s="1745">
        <f t="shared" si="25"/>
        <v>71461.538461538468</v>
      </c>
    </row>
    <row r="300" spans="1:15">
      <c r="A300" s="1840" t="s">
        <v>20</v>
      </c>
      <c r="B300" s="428">
        <v>64000</v>
      </c>
      <c r="C300" s="428">
        <v>64000</v>
      </c>
      <c r="D300" s="428">
        <v>64000</v>
      </c>
      <c r="E300" s="428">
        <v>64000</v>
      </c>
      <c r="F300" s="428">
        <v>64000</v>
      </c>
      <c r="G300" s="428">
        <v>64000</v>
      </c>
      <c r="H300" s="428">
        <v>64000</v>
      </c>
      <c r="I300" s="428">
        <v>64000</v>
      </c>
      <c r="J300" s="428">
        <v>64000</v>
      </c>
      <c r="K300" s="428">
        <v>64000</v>
      </c>
      <c r="L300" s="428">
        <v>65000</v>
      </c>
      <c r="M300" s="428">
        <v>65000</v>
      </c>
      <c r="N300" s="428">
        <v>65000</v>
      </c>
      <c r="O300" s="1745">
        <f t="shared" si="25"/>
        <v>64230.769230769234</v>
      </c>
    </row>
    <row r="301" spans="1:15">
      <c r="A301" s="1840" t="s">
        <v>1126</v>
      </c>
      <c r="B301" s="428">
        <v>15000</v>
      </c>
      <c r="C301" s="428">
        <v>15000</v>
      </c>
      <c r="D301" s="428">
        <v>15000</v>
      </c>
      <c r="E301" s="428">
        <v>15000</v>
      </c>
      <c r="F301" s="428">
        <v>15000</v>
      </c>
      <c r="G301" s="428">
        <v>16000</v>
      </c>
      <c r="H301" s="428">
        <v>16000</v>
      </c>
      <c r="I301" s="428">
        <v>16000</v>
      </c>
      <c r="J301" s="428">
        <v>16000</v>
      </c>
      <c r="K301" s="428">
        <v>16000</v>
      </c>
      <c r="L301" s="428">
        <v>16000</v>
      </c>
      <c r="M301" s="428">
        <v>16000</v>
      </c>
      <c r="N301" s="428">
        <v>16000</v>
      </c>
      <c r="O301" s="1745">
        <f t="shared" si="25"/>
        <v>15615.384615384615</v>
      </c>
    </row>
    <row r="302" spans="1:15">
      <c r="A302" s="1840" t="s">
        <v>21</v>
      </c>
      <c r="B302" s="428">
        <v>54000</v>
      </c>
      <c r="C302" s="428">
        <v>54000</v>
      </c>
      <c r="D302" s="428">
        <v>54000</v>
      </c>
      <c r="E302" s="428">
        <v>54000</v>
      </c>
      <c r="F302" s="428">
        <v>54000</v>
      </c>
      <c r="G302" s="428">
        <v>54000</v>
      </c>
      <c r="H302" s="428">
        <v>54000</v>
      </c>
      <c r="I302" s="428">
        <v>54000</v>
      </c>
      <c r="J302" s="428">
        <v>54000</v>
      </c>
      <c r="K302" s="428">
        <v>54000</v>
      </c>
      <c r="L302" s="428">
        <v>54000</v>
      </c>
      <c r="M302" s="428">
        <v>54000</v>
      </c>
      <c r="N302" s="428">
        <v>54000</v>
      </c>
      <c r="O302" s="1745">
        <f t="shared" si="25"/>
        <v>54000</v>
      </c>
    </row>
    <row r="303" spans="1:15">
      <c r="A303" s="1840" t="s">
        <v>22</v>
      </c>
      <c r="B303" s="428">
        <v>121000</v>
      </c>
      <c r="C303" s="428">
        <v>121000</v>
      </c>
      <c r="D303" s="428">
        <v>122000</v>
      </c>
      <c r="E303" s="428">
        <v>122000</v>
      </c>
      <c r="F303" s="428">
        <v>123000</v>
      </c>
      <c r="G303" s="428">
        <v>123000</v>
      </c>
      <c r="H303" s="428">
        <v>124000</v>
      </c>
      <c r="I303" s="428">
        <v>124000</v>
      </c>
      <c r="J303" s="428">
        <v>125000</v>
      </c>
      <c r="K303" s="428">
        <v>125000</v>
      </c>
      <c r="L303" s="428">
        <v>125000</v>
      </c>
      <c r="M303" s="428">
        <v>126000</v>
      </c>
      <c r="N303" s="428">
        <v>126000</v>
      </c>
      <c r="O303" s="1745">
        <f t="shared" si="25"/>
        <v>123615.38461538461</v>
      </c>
    </row>
    <row r="304" spans="1:15">
      <c r="A304" s="1840" t="s">
        <v>1081</v>
      </c>
      <c r="B304" s="428">
        <v>791000</v>
      </c>
      <c r="C304" s="428">
        <v>794000</v>
      </c>
      <c r="D304" s="428">
        <v>798000</v>
      </c>
      <c r="E304" s="428">
        <v>801000</v>
      </c>
      <c r="F304" s="428">
        <v>805000</v>
      </c>
      <c r="G304" s="428">
        <v>809000</v>
      </c>
      <c r="H304" s="428">
        <v>812000</v>
      </c>
      <c r="I304" s="428">
        <v>816000</v>
      </c>
      <c r="J304" s="428">
        <v>819000</v>
      </c>
      <c r="K304" s="428">
        <v>823000</v>
      </c>
      <c r="L304" s="428">
        <v>826000</v>
      </c>
      <c r="M304" s="428">
        <v>830000</v>
      </c>
      <c r="N304" s="428">
        <v>834000</v>
      </c>
      <c r="O304" s="1745">
        <f t="shared" si="25"/>
        <v>812153.84615384613</v>
      </c>
    </row>
    <row r="305" spans="1:15">
      <c r="A305" s="1840" t="s">
        <v>1127</v>
      </c>
      <c r="B305" s="428">
        <v>173000</v>
      </c>
      <c r="C305" s="428">
        <v>174000</v>
      </c>
      <c r="D305" s="428">
        <v>174000</v>
      </c>
      <c r="E305" s="428">
        <v>175000</v>
      </c>
      <c r="F305" s="428">
        <v>176000</v>
      </c>
      <c r="G305" s="428">
        <v>177000</v>
      </c>
      <c r="H305" s="428">
        <v>177000</v>
      </c>
      <c r="I305" s="428">
        <v>178000</v>
      </c>
      <c r="J305" s="428">
        <v>179000</v>
      </c>
      <c r="K305" s="428">
        <v>179000</v>
      </c>
      <c r="L305" s="428">
        <v>180000</v>
      </c>
      <c r="M305" s="428">
        <v>181000</v>
      </c>
      <c r="N305" s="428">
        <v>182000</v>
      </c>
      <c r="O305" s="1745">
        <f t="shared" si="25"/>
        <v>177307.69230769231</v>
      </c>
    </row>
    <row r="306" spans="1:15">
      <c r="A306" s="1840" t="s">
        <v>1167</v>
      </c>
      <c r="B306" s="428">
        <v>1387000</v>
      </c>
      <c r="C306" s="428">
        <v>1391000</v>
      </c>
      <c r="D306" s="428">
        <v>1396000</v>
      </c>
      <c r="E306" s="428">
        <v>1400000</v>
      </c>
      <c r="F306" s="428">
        <v>1404000</v>
      </c>
      <c r="G306" s="428">
        <v>1409000</v>
      </c>
      <c r="H306" s="428">
        <v>1413000</v>
      </c>
      <c r="I306" s="428">
        <v>1417000</v>
      </c>
      <c r="J306" s="428">
        <v>1421000</v>
      </c>
      <c r="K306" s="428">
        <v>1426000</v>
      </c>
      <c r="L306" s="428">
        <v>1430000</v>
      </c>
      <c r="M306" s="428">
        <v>1434000</v>
      </c>
      <c r="N306" s="428">
        <v>1439000</v>
      </c>
      <c r="O306" s="1745">
        <f t="shared" si="25"/>
        <v>1412846.1538461538</v>
      </c>
    </row>
    <row r="307" spans="1:15">
      <c r="A307" s="1840" t="s">
        <v>1082</v>
      </c>
      <c r="B307" s="428">
        <v>7673000</v>
      </c>
      <c r="C307" s="428">
        <v>7702000</v>
      </c>
      <c r="D307" s="428">
        <v>7730000</v>
      </c>
      <c r="E307" s="428">
        <v>7758000</v>
      </c>
      <c r="F307" s="428">
        <v>7786000</v>
      </c>
      <c r="G307" s="428">
        <v>7814000</v>
      </c>
      <c r="H307" s="428">
        <v>7842000</v>
      </c>
      <c r="I307" s="428">
        <v>7870000</v>
      </c>
      <c r="J307" s="428">
        <v>7898000</v>
      </c>
      <c r="K307" s="428">
        <v>7926000</v>
      </c>
      <c r="L307" s="428">
        <v>7954000</v>
      </c>
      <c r="M307" s="428">
        <v>7982000</v>
      </c>
      <c r="N307" s="428">
        <v>8010000</v>
      </c>
      <c r="O307" s="1745">
        <f t="shared" si="25"/>
        <v>7841923.076923077</v>
      </c>
    </row>
    <row r="308" spans="1:15">
      <c r="A308" s="1840" t="s">
        <v>1128</v>
      </c>
      <c r="B308" s="428">
        <v>1880000</v>
      </c>
      <c r="C308" s="428">
        <v>1885000</v>
      </c>
      <c r="D308" s="428">
        <v>1890000</v>
      </c>
      <c r="E308" s="428">
        <v>1894000</v>
      </c>
      <c r="F308" s="428">
        <v>1899000</v>
      </c>
      <c r="G308" s="428">
        <v>1904000</v>
      </c>
      <c r="H308" s="428">
        <v>1909000</v>
      </c>
      <c r="I308" s="428">
        <v>1913000</v>
      </c>
      <c r="J308" s="428">
        <v>1918000</v>
      </c>
      <c r="K308" s="428">
        <v>1923000</v>
      </c>
      <c r="L308" s="428">
        <v>1928000</v>
      </c>
      <c r="M308" s="428">
        <v>1933000</v>
      </c>
      <c r="N308" s="428">
        <v>1937000</v>
      </c>
      <c r="O308" s="1745">
        <f t="shared" si="25"/>
        <v>1908692.3076923077</v>
      </c>
    </row>
    <row r="309" spans="1:15">
      <c r="A309" s="1840" t="s">
        <v>1129</v>
      </c>
      <c r="B309" s="428">
        <v>459000</v>
      </c>
      <c r="C309" s="428">
        <v>461000</v>
      </c>
      <c r="D309" s="428">
        <v>462000</v>
      </c>
      <c r="E309" s="428">
        <v>463000</v>
      </c>
      <c r="F309" s="428">
        <v>465000</v>
      </c>
      <c r="G309" s="428">
        <v>466000</v>
      </c>
      <c r="H309" s="428">
        <v>467000</v>
      </c>
      <c r="I309" s="428">
        <v>469000</v>
      </c>
      <c r="J309" s="428">
        <v>470000</v>
      </c>
      <c r="K309" s="428">
        <v>471000</v>
      </c>
      <c r="L309" s="428">
        <v>473000</v>
      </c>
      <c r="M309" s="428">
        <v>474000</v>
      </c>
      <c r="N309" s="428">
        <v>475000</v>
      </c>
      <c r="O309" s="1745">
        <f t="shared" si="25"/>
        <v>467307.69230769231</v>
      </c>
    </row>
    <row r="310" spans="1:15">
      <c r="A310" s="1840" t="s">
        <v>1130</v>
      </c>
      <c r="B310" s="428">
        <v>1019000</v>
      </c>
      <c r="C310" s="428">
        <v>1023000</v>
      </c>
      <c r="D310" s="428">
        <v>1027000</v>
      </c>
      <c r="E310" s="428">
        <v>1031000</v>
      </c>
      <c r="F310" s="428">
        <v>1034000</v>
      </c>
      <c r="G310" s="428">
        <v>1038000</v>
      </c>
      <c r="H310" s="428">
        <v>1042000</v>
      </c>
      <c r="I310" s="428">
        <v>1046000</v>
      </c>
      <c r="J310" s="428">
        <v>1050000</v>
      </c>
      <c r="K310" s="428">
        <v>1054000</v>
      </c>
      <c r="L310" s="428">
        <v>1057000</v>
      </c>
      <c r="M310" s="428">
        <v>1061000</v>
      </c>
      <c r="N310" s="428">
        <v>1065000</v>
      </c>
      <c r="O310" s="1745">
        <f>AVERAGE(B310:N310)</f>
        <v>1042076.9230769231</v>
      </c>
    </row>
    <row r="311" spans="1:15">
      <c r="A311" s="1840" t="s">
        <v>23</v>
      </c>
      <c r="B311" s="428">
        <v>4000</v>
      </c>
      <c r="C311" s="428">
        <v>4000</v>
      </c>
      <c r="D311" s="428">
        <v>4000</v>
      </c>
      <c r="E311" s="428">
        <v>4000</v>
      </c>
      <c r="F311" s="428">
        <v>4000</v>
      </c>
      <c r="G311" s="428">
        <v>4000</v>
      </c>
      <c r="H311" s="428">
        <v>4000</v>
      </c>
      <c r="I311" s="428">
        <v>4000</v>
      </c>
      <c r="J311" s="428">
        <v>4000</v>
      </c>
      <c r="K311" s="428">
        <v>4000</v>
      </c>
      <c r="L311" s="428">
        <v>4000</v>
      </c>
      <c r="M311" s="428">
        <v>4000</v>
      </c>
      <c r="N311" s="428">
        <v>4000</v>
      </c>
      <c r="O311" s="1745">
        <f>AVERAGE(B311:N311)</f>
        <v>4000</v>
      </c>
    </row>
    <row r="312" spans="1:15">
      <c r="A312" s="1334" t="s">
        <v>1149</v>
      </c>
      <c r="B312" s="1808">
        <f t="shared" ref="B312:O312" si="26">SUM(B239:B311)</f>
        <v>70152000</v>
      </c>
      <c r="C312" s="1808">
        <f t="shared" si="26"/>
        <v>70442000</v>
      </c>
      <c r="D312" s="1808">
        <f t="shared" si="26"/>
        <v>70732000</v>
      </c>
      <c r="E312" s="1808">
        <f t="shared" si="26"/>
        <v>71023000</v>
      </c>
      <c r="F312" s="1808">
        <f t="shared" si="26"/>
        <v>71312000</v>
      </c>
      <c r="G312" s="1808">
        <f t="shared" si="26"/>
        <v>71602000</v>
      </c>
      <c r="H312" s="1808">
        <f t="shared" si="26"/>
        <v>71894000</v>
      </c>
      <c r="I312" s="1808">
        <f t="shared" si="26"/>
        <v>72184000</v>
      </c>
      <c r="J312" s="1808">
        <f t="shared" si="26"/>
        <v>72472000</v>
      </c>
      <c r="K312" s="1808">
        <f t="shared" si="26"/>
        <v>72762000</v>
      </c>
      <c r="L312" s="1808">
        <f t="shared" si="26"/>
        <v>73052000</v>
      </c>
      <c r="M312" s="1808">
        <f t="shared" si="26"/>
        <v>73342000</v>
      </c>
      <c r="N312" s="1808">
        <f>SUM(N239:N311)</f>
        <v>73630000</v>
      </c>
      <c r="O312" s="1808">
        <f t="shared" si="26"/>
        <v>71892230.769230783</v>
      </c>
    </row>
    <row r="313" spans="1:15">
      <c r="A313" s="97"/>
      <c r="B313" s="1807"/>
      <c r="C313" s="1807"/>
      <c r="D313" s="1807"/>
      <c r="E313" s="1807"/>
      <c r="F313" s="1807"/>
      <c r="G313" s="1807"/>
      <c r="H313" s="1807"/>
      <c r="I313" s="1807"/>
      <c r="J313" s="1807"/>
      <c r="K313" s="1807"/>
      <c r="L313" s="1807"/>
      <c r="M313" s="1807"/>
      <c r="N313" s="1807"/>
    </row>
    <row r="314" spans="1:15">
      <c r="A314" s="97"/>
      <c r="B314" s="1807"/>
      <c r="C314" s="1807"/>
      <c r="D314" s="1807"/>
      <c r="E314" s="1807"/>
      <c r="F314" s="1807"/>
      <c r="G314" s="1807"/>
      <c r="H314" s="1807"/>
      <c r="I314" s="1807"/>
      <c r="J314" s="1807"/>
      <c r="K314" s="1807"/>
      <c r="L314" s="1807"/>
      <c r="M314" s="1807"/>
      <c r="N314" s="1807"/>
    </row>
    <row r="315" spans="1:15">
      <c r="A315" s="1840" t="s">
        <v>1168</v>
      </c>
      <c r="B315" s="428">
        <v>3128000</v>
      </c>
      <c r="C315" s="428">
        <v>3135000</v>
      </c>
      <c r="D315" s="428">
        <v>3141000</v>
      </c>
      <c r="E315" s="428">
        <v>3147000</v>
      </c>
      <c r="F315" s="428">
        <v>3153000</v>
      </c>
      <c r="G315" s="428">
        <v>3159000</v>
      </c>
      <c r="H315" s="428">
        <v>3165000</v>
      </c>
      <c r="I315" s="428">
        <v>3171000</v>
      </c>
      <c r="J315" s="428">
        <v>3177000</v>
      </c>
      <c r="K315" s="428">
        <v>3184000</v>
      </c>
      <c r="L315" s="428">
        <v>3190000</v>
      </c>
      <c r="M315" s="428">
        <v>3196000</v>
      </c>
      <c r="N315" s="428">
        <v>3202000</v>
      </c>
      <c r="O315" s="1745">
        <f t="shared" ref="O315:O316" si="27">AVERAGE(B315:N315)</f>
        <v>3165230.769230769</v>
      </c>
    </row>
    <row r="316" spans="1:15">
      <c r="A316" s="1840" t="s">
        <v>1169</v>
      </c>
      <c r="B316" s="428">
        <v>68000</v>
      </c>
      <c r="C316" s="428">
        <v>68000</v>
      </c>
      <c r="D316" s="428">
        <v>68000</v>
      </c>
      <c r="E316" s="428">
        <v>69000</v>
      </c>
      <c r="F316" s="428">
        <v>69000</v>
      </c>
      <c r="G316" s="428">
        <v>69000</v>
      </c>
      <c r="H316" s="428">
        <v>69000</v>
      </c>
      <c r="I316" s="428">
        <v>69000</v>
      </c>
      <c r="J316" s="428">
        <v>70000</v>
      </c>
      <c r="K316" s="428">
        <v>70000</v>
      </c>
      <c r="L316" s="428">
        <v>70000</v>
      </c>
      <c r="M316" s="428">
        <v>70000</v>
      </c>
      <c r="N316" s="428">
        <v>70000</v>
      </c>
      <c r="O316" s="1745">
        <f t="shared" si="27"/>
        <v>69153.846153846156</v>
      </c>
    </row>
    <row r="317" spans="1:15">
      <c r="A317" s="1840" t="s">
        <v>1170</v>
      </c>
      <c r="B317" s="428">
        <v>213000</v>
      </c>
      <c r="C317" s="428">
        <v>214000</v>
      </c>
      <c r="D317" s="428">
        <v>214000</v>
      </c>
      <c r="E317" s="428">
        <v>214000</v>
      </c>
      <c r="F317" s="428">
        <v>215000</v>
      </c>
      <c r="G317" s="428">
        <v>215000</v>
      </c>
      <c r="H317" s="428">
        <v>215000</v>
      </c>
      <c r="I317" s="428">
        <v>216000</v>
      </c>
      <c r="J317" s="428">
        <v>216000</v>
      </c>
      <c r="K317" s="428">
        <v>216000</v>
      </c>
      <c r="L317" s="428">
        <v>217000</v>
      </c>
      <c r="M317" s="428">
        <v>217000</v>
      </c>
      <c r="N317" s="428">
        <v>217000</v>
      </c>
      <c r="O317" s="1745">
        <f>AVERAGE(B317:N317)</f>
        <v>215307.69230769231</v>
      </c>
    </row>
    <row r="318" spans="1:15">
      <c r="A318" s="1334" t="s">
        <v>1150</v>
      </c>
      <c r="B318" s="1808">
        <f t="shared" ref="B318:O318" si="28">SUM(B315:B317)</f>
        <v>3409000</v>
      </c>
      <c r="C318" s="1808">
        <f t="shared" si="28"/>
        <v>3417000</v>
      </c>
      <c r="D318" s="1808">
        <f t="shared" si="28"/>
        <v>3423000</v>
      </c>
      <c r="E318" s="1808">
        <f t="shared" si="28"/>
        <v>3430000</v>
      </c>
      <c r="F318" s="1808">
        <f t="shared" si="28"/>
        <v>3437000</v>
      </c>
      <c r="G318" s="1808">
        <f t="shared" si="28"/>
        <v>3443000</v>
      </c>
      <c r="H318" s="1808">
        <f t="shared" si="28"/>
        <v>3449000</v>
      </c>
      <c r="I318" s="1808">
        <f t="shared" si="28"/>
        <v>3456000</v>
      </c>
      <c r="J318" s="1808">
        <f t="shared" si="28"/>
        <v>3463000</v>
      </c>
      <c r="K318" s="1808">
        <f t="shared" si="28"/>
        <v>3470000</v>
      </c>
      <c r="L318" s="1808">
        <f t="shared" si="28"/>
        <v>3477000</v>
      </c>
      <c r="M318" s="1808">
        <f t="shared" si="28"/>
        <v>3483000</v>
      </c>
      <c r="N318" s="1808">
        <f>SUM(N315:N317)</f>
        <v>3489000</v>
      </c>
      <c r="O318" s="1808">
        <f t="shared" si="28"/>
        <v>3449692.3076923075</v>
      </c>
    </row>
    <row r="320" spans="1:15">
      <c r="A320" s="1804" t="s">
        <v>1140</v>
      </c>
      <c r="B320" s="374">
        <f t="shared" ref="B320:O320" si="29">B312+B213</f>
        <v>505577000</v>
      </c>
      <c r="C320" s="374">
        <f t="shared" si="29"/>
        <v>510933000</v>
      </c>
      <c r="D320" s="374">
        <f t="shared" si="29"/>
        <v>513523000</v>
      </c>
      <c r="E320" s="374">
        <f t="shared" si="29"/>
        <v>515941000</v>
      </c>
      <c r="F320" s="374">
        <f t="shared" si="29"/>
        <v>518202000</v>
      </c>
      <c r="G320" s="374">
        <f t="shared" si="29"/>
        <v>520906000</v>
      </c>
      <c r="H320" s="374">
        <f t="shared" si="29"/>
        <v>523558000</v>
      </c>
      <c r="I320" s="374">
        <f t="shared" si="29"/>
        <v>524527000</v>
      </c>
      <c r="J320" s="374">
        <f t="shared" si="29"/>
        <v>526439000</v>
      </c>
      <c r="K320" s="374">
        <f t="shared" si="29"/>
        <v>529320000</v>
      </c>
      <c r="L320" s="374">
        <f t="shared" si="29"/>
        <v>531875000</v>
      </c>
      <c r="M320" s="374">
        <f t="shared" si="29"/>
        <v>534529000</v>
      </c>
      <c r="N320" s="374">
        <f t="shared" si="29"/>
        <v>533815000</v>
      </c>
      <c r="O320" s="374">
        <f t="shared" si="29"/>
        <v>544356636.71384621</v>
      </c>
    </row>
    <row r="321" spans="1:15">
      <c r="A321" s="1804" t="s">
        <v>1160</v>
      </c>
      <c r="B321" s="374">
        <f t="shared" ref="B321:O321" si="30">B318+B227</f>
        <v>76617000</v>
      </c>
      <c r="C321" s="374">
        <f t="shared" si="30"/>
        <v>76747000</v>
      </c>
      <c r="D321" s="374">
        <f t="shared" si="30"/>
        <v>76873000</v>
      </c>
      <c r="E321" s="374">
        <f t="shared" si="30"/>
        <v>77003000</v>
      </c>
      <c r="F321" s="374">
        <f t="shared" si="30"/>
        <v>77130000</v>
      </c>
      <c r="G321" s="374">
        <f t="shared" si="30"/>
        <v>77257000</v>
      </c>
      <c r="H321" s="374">
        <f t="shared" si="30"/>
        <v>77386000</v>
      </c>
      <c r="I321" s="374">
        <f t="shared" si="30"/>
        <v>77514000</v>
      </c>
      <c r="J321" s="374">
        <f t="shared" si="30"/>
        <v>77643000</v>
      </c>
      <c r="K321" s="374">
        <f t="shared" si="30"/>
        <v>77772000</v>
      </c>
      <c r="L321" s="374">
        <f t="shared" si="30"/>
        <v>77901000</v>
      </c>
      <c r="M321" s="374">
        <f t="shared" si="30"/>
        <v>78027000</v>
      </c>
      <c r="N321" s="374">
        <f t="shared" si="30"/>
        <v>77185000</v>
      </c>
      <c r="O321" s="374">
        <f t="shared" si="30"/>
        <v>77311923.076923072</v>
      </c>
    </row>
    <row r="322" spans="1:15">
      <c r="A322" s="1804" t="s">
        <v>1141</v>
      </c>
      <c r="B322" s="374">
        <f t="shared" ref="B322:O322" si="31">B236</f>
        <v>50168000</v>
      </c>
      <c r="C322" s="374">
        <f t="shared" si="31"/>
        <v>50304000</v>
      </c>
      <c r="D322" s="374">
        <f t="shared" si="31"/>
        <v>50437000</v>
      </c>
      <c r="E322" s="374">
        <f t="shared" si="31"/>
        <v>50574000</v>
      </c>
      <c r="F322" s="374">
        <f t="shared" si="31"/>
        <v>50708000</v>
      </c>
      <c r="G322" s="374">
        <f t="shared" si="31"/>
        <v>50843000</v>
      </c>
      <c r="H322" s="374">
        <f t="shared" si="31"/>
        <v>50979000</v>
      </c>
      <c r="I322" s="374">
        <f t="shared" si="31"/>
        <v>51114000</v>
      </c>
      <c r="J322" s="374">
        <f t="shared" si="31"/>
        <v>51249000</v>
      </c>
      <c r="K322" s="374">
        <f t="shared" si="31"/>
        <v>51384000</v>
      </c>
      <c r="L322" s="374">
        <f t="shared" si="31"/>
        <v>51518000</v>
      </c>
      <c r="M322" s="374">
        <f t="shared" si="31"/>
        <v>51653000</v>
      </c>
      <c r="N322" s="374">
        <f t="shared" si="31"/>
        <v>51789000</v>
      </c>
      <c r="O322" s="374">
        <f t="shared" si="31"/>
        <v>50978461.538461544</v>
      </c>
    </row>
    <row r="323" spans="1:15">
      <c r="A323" s="1804" t="s">
        <v>1178</v>
      </c>
      <c r="B323" s="374">
        <f t="shared" ref="B323:O323" si="32">B215</f>
        <v>551000</v>
      </c>
      <c r="C323" s="374">
        <f t="shared" si="32"/>
        <v>557000</v>
      </c>
      <c r="D323" s="374">
        <f t="shared" si="32"/>
        <v>562000</v>
      </c>
      <c r="E323" s="374">
        <f t="shared" si="32"/>
        <v>568000</v>
      </c>
      <c r="F323" s="374">
        <f t="shared" si="32"/>
        <v>574000</v>
      </c>
      <c r="G323" s="374">
        <f t="shared" si="32"/>
        <v>580000</v>
      </c>
      <c r="H323" s="374">
        <f t="shared" si="32"/>
        <v>585000</v>
      </c>
      <c r="I323" s="374">
        <f t="shared" si="32"/>
        <v>591000</v>
      </c>
      <c r="J323" s="374">
        <f t="shared" si="32"/>
        <v>597000</v>
      </c>
      <c r="K323" s="374">
        <f t="shared" si="32"/>
        <v>603000</v>
      </c>
      <c r="L323" s="374">
        <f t="shared" si="32"/>
        <v>608000</v>
      </c>
      <c r="M323" s="374">
        <f t="shared" si="32"/>
        <v>614000</v>
      </c>
      <c r="N323" s="374">
        <f t="shared" si="32"/>
        <v>619000</v>
      </c>
      <c r="O323" s="374">
        <f t="shared" si="32"/>
        <v>585307.69230769225</v>
      </c>
    </row>
    <row r="324" spans="1:15">
      <c r="A324" s="1804" t="s">
        <v>1142</v>
      </c>
      <c r="B324" s="836">
        <f>SUM(B320:B323)</f>
        <v>632913000</v>
      </c>
      <c r="C324" s="836">
        <f t="shared" ref="C324:O324" si="33">SUM(C320:C323)</f>
        <v>638541000</v>
      </c>
      <c r="D324" s="836">
        <f t="shared" si="33"/>
        <v>641395000</v>
      </c>
      <c r="E324" s="836">
        <f t="shared" si="33"/>
        <v>644086000</v>
      </c>
      <c r="F324" s="836">
        <f t="shared" si="33"/>
        <v>646614000</v>
      </c>
      <c r="G324" s="836">
        <f t="shared" si="33"/>
        <v>649586000</v>
      </c>
      <c r="H324" s="836">
        <f t="shared" si="33"/>
        <v>652508000</v>
      </c>
      <c r="I324" s="836">
        <f t="shared" si="33"/>
        <v>653746000</v>
      </c>
      <c r="J324" s="836">
        <f t="shared" si="33"/>
        <v>655928000</v>
      </c>
      <c r="K324" s="836">
        <f t="shared" si="33"/>
        <v>659079000</v>
      </c>
      <c r="L324" s="836">
        <f t="shared" si="33"/>
        <v>661902000</v>
      </c>
      <c r="M324" s="836">
        <f t="shared" si="33"/>
        <v>664823000</v>
      </c>
      <c r="N324" s="836">
        <f>SUM(N320:N323)</f>
        <v>663408000</v>
      </c>
      <c r="O324" s="836">
        <f t="shared" si="33"/>
        <v>673232329.02153862</v>
      </c>
    </row>
    <row r="329" spans="1:15">
      <c r="B329" s="183"/>
      <c r="N329" s="183" t="s">
        <v>1143</v>
      </c>
    </row>
    <row r="331" spans="1:15">
      <c r="B331" s="445"/>
      <c r="C331" s="445"/>
      <c r="D331" s="445"/>
      <c r="E331" s="445"/>
      <c r="F331" s="445"/>
      <c r="G331" s="445"/>
      <c r="H331" s="445"/>
      <c r="I331" s="445"/>
      <c r="J331" s="445"/>
      <c r="K331" s="445"/>
      <c r="L331" s="445"/>
      <c r="M331" s="445"/>
      <c r="N331" s="445"/>
    </row>
    <row r="332" spans="1:15">
      <c r="N332" s="445"/>
    </row>
    <row r="334" spans="1:15">
      <c r="B334" s="445"/>
      <c r="C334" s="445"/>
      <c r="D334" s="445"/>
      <c r="E334" s="445"/>
      <c r="F334" s="445"/>
      <c r="G334" s="445"/>
      <c r="H334" s="445"/>
      <c r="I334" s="445"/>
      <c r="J334" s="445"/>
      <c r="K334" s="445"/>
      <c r="L334" s="445"/>
      <c r="M334" s="445"/>
      <c r="N334" s="445"/>
    </row>
  </sheetData>
  <sortState ref="A74:O147">
    <sortCondition ref="A74:A147"/>
  </sortState>
  <phoneticPr fontId="73" type="noConversion"/>
  <conditionalFormatting sqref="A6:A49">
    <cfRule type="containsText" dxfId="0" priority="1" operator="containsText" text="105">
      <formula>NOT(ISERROR(SEARCH("105",A6)))</formula>
    </cfRule>
  </conditionalFormatting>
  <pageMargins left="1" right="1" top="0" bottom="0" header="0.17" footer="0.16"/>
  <pageSetup paperSize="5" scale="52" fitToHeight="0" orientation="landscape" r:id="rId1"/>
  <headerFooter alignWithMargins="0"/>
  <rowBreaks count="1" manualBreakCount="1">
    <brk id="16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4"/>
  <sheetViews>
    <sheetView zoomScale="75" zoomScaleNormal="75" zoomScaleSheetLayoutView="75" workbookViewId="0">
      <pane xSplit="1" ySplit="3" topLeftCell="B4" activePane="bottomRight" state="frozen"/>
      <selection activeCell="C309" sqref="C309"/>
      <selection pane="topRight" activeCell="C309" sqref="C309"/>
      <selection pane="bottomLeft" activeCell="C309" sqref="C309"/>
      <selection pane="bottomRight" activeCell="H21" sqref="H21"/>
    </sheetView>
  </sheetViews>
  <sheetFormatPr defaultRowHeight="12.75"/>
  <cols>
    <col min="1" max="1" width="40.5703125" customWidth="1"/>
    <col min="2" max="2" width="22.5703125" customWidth="1"/>
    <col min="3" max="3" width="16.5703125" bestFit="1" customWidth="1"/>
    <col min="4" max="4" width="15.140625" bestFit="1" customWidth="1"/>
    <col min="5" max="5" width="15.42578125" bestFit="1" customWidth="1"/>
    <col min="6" max="8" width="15.5703125" bestFit="1" customWidth="1"/>
    <col min="9" max="11" width="15.42578125" bestFit="1" customWidth="1"/>
    <col min="12" max="12" width="17" bestFit="1" customWidth="1"/>
    <col min="13" max="13" width="15.5703125" bestFit="1" customWidth="1"/>
    <col min="14" max="14" width="16.42578125" customWidth="1"/>
    <col min="15" max="15" width="19.7109375" customWidth="1"/>
    <col min="16" max="16" width="15.5703125" bestFit="1" customWidth="1"/>
    <col min="17" max="17" width="14" bestFit="1" customWidth="1"/>
    <col min="25" max="25" width="12.140625" customWidth="1"/>
    <col min="26" max="26" width="13.5703125" customWidth="1"/>
  </cols>
  <sheetData>
    <row r="1" spans="1:26">
      <c r="A1" s="774" t="s">
        <v>549</v>
      </c>
    </row>
    <row r="2" spans="1:26">
      <c r="P2" s="157" t="s">
        <v>978</v>
      </c>
    </row>
    <row r="3" spans="1:26">
      <c r="A3" s="145" t="s">
        <v>845</v>
      </c>
      <c r="B3" t="s">
        <v>26</v>
      </c>
      <c r="C3" s="897">
        <v>44926</v>
      </c>
      <c r="D3" s="897">
        <v>44927</v>
      </c>
      <c r="E3" s="897">
        <v>44958</v>
      </c>
      <c r="F3" s="897">
        <v>44986</v>
      </c>
      <c r="G3" s="897">
        <v>45017</v>
      </c>
      <c r="H3" s="897">
        <v>45047</v>
      </c>
      <c r="I3" s="897">
        <v>45078</v>
      </c>
      <c r="J3" s="897">
        <v>45108</v>
      </c>
      <c r="K3" s="897">
        <v>45139</v>
      </c>
      <c r="L3" s="897">
        <v>45170</v>
      </c>
      <c r="M3" s="897">
        <v>45200</v>
      </c>
      <c r="N3" s="897">
        <v>45231</v>
      </c>
      <c r="O3" s="897">
        <v>45261</v>
      </c>
      <c r="P3" s="896" t="s">
        <v>79</v>
      </c>
    </row>
    <row r="4" spans="1:26">
      <c r="A4" s="822" t="s">
        <v>753</v>
      </c>
    </row>
    <row r="5" spans="1:26">
      <c r="A5" t="s">
        <v>678</v>
      </c>
      <c r="B5" t="s">
        <v>31</v>
      </c>
      <c r="C5" s="1750">
        <v>4823860000</v>
      </c>
      <c r="D5" s="1750">
        <v>4823860000</v>
      </c>
      <c r="E5" s="1750">
        <v>4823860000</v>
      </c>
      <c r="F5" s="1750">
        <v>4823860000</v>
      </c>
      <c r="G5" s="1750">
        <v>4823860000</v>
      </c>
      <c r="H5" s="1750">
        <v>5223860000</v>
      </c>
      <c r="I5" s="1750">
        <v>5223860000</v>
      </c>
      <c r="J5" s="1750">
        <v>5223860000</v>
      </c>
      <c r="K5" s="1750">
        <v>5223860000</v>
      </c>
      <c r="L5" s="1750">
        <v>5223860000</v>
      </c>
      <c r="M5" s="1750">
        <v>5223860000</v>
      </c>
      <c r="N5" s="1750">
        <v>5223860000</v>
      </c>
      <c r="O5" s="1750">
        <v>5223860000</v>
      </c>
      <c r="P5" s="823">
        <f>AVERAGE(C5:O5)</f>
        <v>5070013846.1538458</v>
      </c>
      <c r="Q5" s="107"/>
    </row>
    <row r="6" spans="1:26">
      <c r="A6" t="s">
        <v>680</v>
      </c>
      <c r="B6" t="s">
        <v>32</v>
      </c>
      <c r="C6" s="1750">
        <v>0</v>
      </c>
      <c r="D6" s="1750">
        <v>0</v>
      </c>
      <c r="E6" s="1750">
        <v>0</v>
      </c>
      <c r="F6" s="1750">
        <v>0</v>
      </c>
      <c r="G6" s="1750">
        <v>0</v>
      </c>
      <c r="H6" s="1750">
        <v>0</v>
      </c>
      <c r="I6" s="1750">
        <v>0</v>
      </c>
      <c r="J6" s="1750">
        <v>0</v>
      </c>
      <c r="K6" s="1750">
        <v>0</v>
      </c>
      <c r="L6" s="1750">
        <v>0</v>
      </c>
      <c r="M6" s="1750">
        <v>0</v>
      </c>
      <c r="N6" s="1750">
        <v>0</v>
      </c>
      <c r="O6" s="1750">
        <v>0</v>
      </c>
      <c r="P6" s="823">
        <f>AVERAGE(C6:O6)</f>
        <v>0</v>
      </c>
      <c r="Q6" s="823"/>
    </row>
    <row r="7" spans="1:26">
      <c r="C7" s="823"/>
      <c r="D7" s="823"/>
      <c r="E7" s="823"/>
      <c r="F7" s="823"/>
      <c r="G7" s="823"/>
      <c r="H7" s="823"/>
      <c r="I7" s="823"/>
      <c r="J7" s="823"/>
      <c r="K7" s="823"/>
      <c r="L7" s="823"/>
      <c r="M7" s="823"/>
      <c r="N7" s="823"/>
      <c r="O7" s="823"/>
      <c r="P7" s="823"/>
    </row>
    <row r="8" spans="1:26">
      <c r="A8" t="s">
        <v>679</v>
      </c>
      <c r="B8" t="s">
        <v>27</v>
      </c>
      <c r="C8" s="1750">
        <v>0</v>
      </c>
      <c r="D8" s="1750">
        <v>0</v>
      </c>
      <c r="E8" s="1750">
        <v>0</v>
      </c>
      <c r="F8" s="1750">
        <v>0</v>
      </c>
      <c r="G8" s="1750">
        <v>0</v>
      </c>
      <c r="H8" s="1750">
        <v>0</v>
      </c>
      <c r="I8" s="1750">
        <v>0</v>
      </c>
      <c r="J8" s="1750">
        <v>0</v>
      </c>
      <c r="K8" s="1750">
        <v>0</v>
      </c>
      <c r="L8" s="1750">
        <v>0</v>
      </c>
      <c r="M8" s="1750">
        <v>0</v>
      </c>
      <c r="N8" s="1750">
        <v>0</v>
      </c>
      <c r="O8" s="1750">
        <v>0</v>
      </c>
      <c r="P8" s="823">
        <f>AVERAGE(C8:O8)</f>
        <v>0</v>
      </c>
    </row>
    <row r="9" spans="1:26">
      <c r="A9" t="s">
        <v>681</v>
      </c>
      <c r="B9" t="s">
        <v>33</v>
      </c>
      <c r="C9" s="1751">
        <v>0</v>
      </c>
      <c r="D9" s="1751">
        <v>0</v>
      </c>
      <c r="E9" s="1751">
        <v>0</v>
      </c>
      <c r="F9" s="1751">
        <v>0</v>
      </c>
      <c r="G9" s="1751">
        <v>0</v>
      </c>
      <c r="H9" s="1751">
        <v>0</v>
      </c>
      <c r="I9" s="1751">
        <v>0</v>
      </c>
      <c r="J9" s="1751">
        <v>0</v>
      </c>
      <c r="K9" s="1751">
        <v>0</v>
      </c>
      <c r="L9" s="1751">
        <v>0</v>
      </c>
      <c r="M9" s="1751">
        <v>0</v>
      </c>
      <c r="N9" s="1751">
        <v>0</v>
      </c>
      <c r="O9" s="1751">
        <v>0</v>
      </c>
      <c r="P9" s="823">
        <f>AVERAGE(C9:O9)</f>
        <v>0</v>
      </c>
    </row>
    <row r="10" spans="1:26">
      <c r="A10" s="144" t="s">
        <v>673</v>
      </c>
      <c r="C10" s="1714"/>
      <c r="D10" s="1713"/>
      <c r="E10" s="1713"/>
      <c r="F10" s="1713"/>
      <c r="G10" s="1713"/>
      <c r="H10" s="1713"/>
      <c r="I10" s="1713"/>
      <c r="J10" s="1713"/>
      <c r="K10" s="1713"/>
      <c r="L10" s="1713"/>
      <c r="M10" s="1713"/>
      <c r="N10" s="1713"/>
      <c r="O10" s="1713"/>
      <c r="P10" s="824">
        <f>SUM(P5:P9)</f>
        <v>5070013846.1538458</v>
      </c>
    </row>
    <row r="11" spans="1:26">
      <c r="C11" s="1714"/>
      <c r="D11" s="1713"/>
      <c r="E11" s="1713"/>
      <c r="F11" s="1713"/>
      <c r="G11" s="1713"/>
      <c r="H11" s="1713"/>
      <c r="I11" s="1713"/>
      <c r="J11" s="1713"/>
      <c r="K11" s="1713"/>
      <c r="L11" s="1713"/>
      <c r="M11" s="1713"/>
      <c r="N11" s="1713"/>
      <c r="O11" s="1713"/>
      <c r="P11" s="823"/>
    </row>
    <row r="12" spans="1:26">
      <c r="A12" t="s">
        <v>682</v>
      </c>
      <c r="B12" t="s">
        <v>34</v>
      </c>
      <c r="C12" s="1750">
        <v>-15729451.260000004</v>
      </c>
      <c r="D12" s="1750">
        <v>-15679551</v>
      </c>
      <c r="E12" s="1750">
        <v>-15629651</v>
      </c>
      <c r="F12" s="1750">
        <v>-15579751</v>
      </c>
      <c r="G12" s="1750">
        <v>-15529851</v>
      </c>
      <c r="H12" s="1750">
        <v>-18987859</v>
      </c>
      <c r="I12" s="1750">
        <v>-18928204</v>
      </c>
      <c r="J12" s="1750">
        <v>-18868548</v>
      </c>
      <c r="K12" s="1750">
        <v>-18808892</v>
      </c>
      <c r="L12" s="1750">
        <v>-18749236</v>
      </c>
      <c r="M12" s="1750">
        <v>-18689581</v>
      </c>
      <c r="N12" s="1750">
        <v>-18629925</v>
      </c>
      <c r="O12" s="1750">
        <v>-18570269</v>
      </c>
      <c r="P12" s="823">
        <f>AVERAGE(C12:O12)</f>
        <v>-17567751.48153846</v>
      </c>
      <c r="Z12" s="1887"/>
    </row>
    <row r="13" spans="1:26">
      <c r="A13" t="s">
        <v>683</v>
      </c>
      <c r="B13" t="s">
        <v>35</v>
      </c>
      <c r="C13" s="1750">
        <v>-24172621.350000001</v>
      </c>
      <c r="D13" s="1750">
        <v>-24009947</v>
      </c>
      <c r="E13" s="1750">
        <v>-23847272</v>
      </c>
      <c r="F13" s="1750">
        <v>-23684597</v>
      </c>
      <c r="G13" s="1750">
        <v>-23521922</v>
      </c>
      <c r="H13" s="1750">
        <v>-24317156</v>
      </c>
      <c r="I13" s="1750">
        <v>-24336042</v>
      </c>
      <c r="J13" s="1750">
        <v>-24232532</v>
      </c>
      <c r="K13" s="1750">
        <v>-24068674</v>
      </c>
      <c r="L13" s="1750">
        <v>-23902598</v>
      </c>
      <c r="M13" s="1750">
        <v>-23737548</v>
      </c>
      <c r="N13" s="1750">
        <v>-23573618</v>
      </c>
      <c r="O13" s="1750">
        <v>-23407807</v>
      </c>
      <c r="P13" s="823">
        <f>AVERAGE(C13:O13)</f>
        <v>-23908641.103846155</v>
      </c>
    </row>
    <row r="14" spans="1:26">
      <c r="A14" t="s">
        <v>684</v>
      </c>
      <c r="B14" t="s">
        <v>36</v>
      </c>
      <c r="C14" s="1752">
        <v>-33731648.289999999</v>
      </c>
      <c r="D14" s="1750">
        <v>-33555766</v>
      </c>
      <c r="E14" s="1750">
        <v>-33379884</v>
      </c>
      <c r="F14" s="1750">
        <v>-33204002</v>
      </c>
      <c r="G14" s="1750">
        <v>-33028120</v>
      </c>
      <c r="H14" s="1750">
        <v>-32852238</v>
      </c>
      <c r="I14" s="1750">
        <v>-32676356</v>
      </c>
      <c r="J14" s="1750">
        <v>-32500475</v>
      </c>
      <c r="K14" s="1750">
        <v>-32325478</v>
      </c>
      <c r="L14" s="1750">
        <v>-32150484</v>
      </c>
      <c r="M14" s="1750">
        <v>-31975491</v>
      </c>
      <c r="N14" s="1750">
        <v>-31800497</v>
      </c>
      <c r="O14" s="1750">
        <v>-31625503</v>
      </c>
      <c r="P14" s="823">
        <f>AVERAGE(C14:O14)</f>
        <v>-32677380.176153842</v>
      </c>
    </row>
    <row r="15" spans="1:26">
      <c r="A15" t="s">
        <v>685</v>
      </c>
      <c r="B15" t="s">
        <v>28</v>
      </c>
      <c r="C15" s="1752">
        <v>0</v>
      </c>
      <c r="D15" s="1750">
        <v>0</v>
      </c>
      <c r="E15" s="1750">
        <v>0</v>
      </c>
      <c r="F15" s="1752">
        <v>0</v>
      </c>
      <c r="G15" s="1752">
        <v>0</v>
      </c>
      <c r="H15" s="1752">
        <v>0</v>
      </c>
      <c r="I15" s="1752">
        <v>0</v>
      </c>
      <c r="J15" s="1752">
        <v>0</v>
      </c>
      <c r="K15" s="1752">
        <v>0</v>
      </c>
      <c r="M15" s="1752">
        <v>0</v>
      </c>
      <c r="N15" s="1752">
        <v>0</v>
      </c>
      <c r="O15" s="1752">
        <v>0</v>
      </c>
      <c r="P15" s="823">
        <f>AVERAGE(C15:O15)</f>
        <v>0</v>
      </c>
      <c r="Z15" s="1888"/>
    </row>
    <row r="16" spans="1:26">
      <c r="A16" t="s">
        <v>686</v>
      </c>
      <c r="B16" t="s">
        <v>29</v>
      </c>
      <c r="C16" s="1751">
        <v>0</v>
      </c>
      <c r="D16" s="1751">
        <v>0</v>
      </c>
      <c r="E16" s="1751">
        <v>0</v>
      </c>
      <c r="F16" s="1751">
        <v>0</v>
      </c>
      <c r="G16" s="1751">
        <v>0</v>
      </c>
      <c r="H16" s="1751">
        <v>0</v>
      </c>
      <c r="I16" s="1751">
        <v>0</v>
      </c>
      <c r="J16" s="1751">
        <v>0</v>
      </c>
      <c r="K16" s="1751">
        <v>0</v>
      </c>
      <c r="L16" s="1751">
        <v>0</v>
      </c>
      <c r="M16" s="1751">
        <v>0</v>
      </c>
      <c r="N16" s="1751">
        <v>0</v>
      </c>
      <c r="O16" s="1751">
        <v>0</v>
      </c>
      <c r="P16" s="823">
        <f>AVERAGE(C16:O16)</f>
        <v>0</v>
      </c>
    </row>
    <row r="17" spans="1:18">
      <c r="A17" s="144" t="s">
        <v>674</v>
      </c>
      <c r="C17" s="107"/>
      <c r="D17" s="107"/>
      <c r="E17" s="107"/>
      <c r="F17" s="107"/>
      <c r="G17" s="107"/>
      <c r="H17" s="107"/>
      <c r="I17" s="107"/>
      <c r="J17" s="107"/>
      <c r="K17" s="107"/>
      <c r="L17" s="107"/>
      <c r="M17" s="107"/>
      <c r="N17" s="107"/>
      <c r="O17" s="107"/>
      <c r="P17" s="824">
        <f>SUM(P10:P16)</f>
        <v>4995860073.3923063</v>
      </c>
    </row>
    <row r="18" spans="1:18">
      <c r="C18" s="107"/>
      <c r="D18" s="107"/>
      <c r="E18" s="107"/>
      <c r="F18" s="107"/>
      <c r="G18" s="107"/>
      <c r="H18" s="107"/>
      <c r="I18" s="107"/>
      <c r="J18" s="107"/>
      <c r="K18" s="107"/>
      <c r="L18" s="107"/>
      <c r="M18" s="107"/>
      <c r="N18" s="107"/>
      <c r="O18" s="107"/>
      <c r="P18" s="823"/>
    </row>
    <row r="19" spans="1:18">
      <c r="A19" s="822" t="s">
        <v>687</v>
      </c>
      <c r="C19" s="107"/>
      <c r="D19" s="1750"/>
      <c r="E19" s="1750"/>
      <c r="F19" s="1750"/>
      <c r="G19" s="1750"/>
      <c r="H19" s="1750"/>
      <c r="I19" s="1750"/>
      <c r="J19" s="1750"/>
      <c r="K19" s="1750"/>
      <c r="L19" s="1750"/>
      <c r="M19" s="1750"/>
      <c r="N19" s="1750"/>
      <c r="O19" s="1750"/>
      <c r="P19" s="823"/>
    </row>
    <row r="20" spans="1:18">
      <c r="A20" s="183" t="s">
        <v>1033</v>
      </c>
      <c r="C20" s="1460"/>
      <c r="D20" s="1750">
        <v>20016945</v>
      </c>
      <c r="E20" s="1750">
        <v>20016945</v>
      </c>
      <c r="F20" s="1750">
        <v>20016945</v>
      </c>
      <c r="G20" s="1750">
        <v>20016945</v>
      </c>
      <c r="H20" s="1750">
        <v>20803872</v>
      </c>
      <c r="I20" s="1750">
        <v>21832945</v>
      </c>
      <c r="J20" s="1750">
        <v>21832945</v>
      </c>
      <c r="K20" s="1750">
        <v>21832945</v>
      </c>
      <c r="L20" s="1750">
        <v>21832945</v>
      </c>
      <c r="M20" s="1750">
        <v>21832945</v>
      </c>
      <c r="N20" s="1750">
        <v>21832945</v>
      </c>
      <c r="O20" s="1750">
        <v>21832945</v>
      </c>
      <c r="P20" s="823">
        <f>SUM(C20:O20)</f>
        <v>253702267</v>
      </c>
    </row>
    <row r="21" spans="1:18">
      <c r="A21" s="183" t="s">
        <v>710</v>
      </c>
      <c r="C21" s="1460"/>
      <c r="D21" s="1752">
        <v>-40637</v>
      </c>
      <c r="E21" s="1752">
        <v>-40637</v>
      </c>
      <c r="F21" s="1752">
        <v>-40637</v>
      </c>
      <c r="G21" s="1752">
        <v>-40637</v>
      </c>
      <c r="H21" s="1752">
        <v>-40637</v>
      </c>
      <c r="I21" s="1752">
        <v>-40637</v>
      </c>
      <c r="J21" s="1752">
        <v>-40637</v>
      </c>
      <c r="K21" s="1752">
        <v>-40637</v>
      </c>
      <c r="L21" s="1752">
        <v>-40637</v>
      </c>
      <c r="M21" s="1752">
        <v>-40637</v>
      </c>
      <c r="N21" s="1752">
        <v>-40637</v>
      </c>
      <c r="O21" s="1752">
        <v>-40637</v>
      </c>
      <c r="P21" s="823">
        <f t="shared" ref="P21:P28" si="0">SUM(C21:O21)</f>
        <v>-487644</v>
      </c>
      <c r="Q21" s="834"/>
    </row>
    <row r="22" spans="1:18">
      <c r="A22" s="183" t="s">
        <v>711</v>
      </c>
      <c r="C22" s="1460"/>
      <c r="D22" s="1752">
        <v>98084</v>
      </c>
      <c r="E22" s="1752">
        <v>98084</v>
      </c>
      <c r="F22" s="1752">
        <v>98084</v>
      </c>
      <c r="G22" s="1752">
        <v>98084</v>
      </c>
      <c r="H22" s="1752">
        <v>98084</v>
      </c>
      <c r="I22" s="1752">
        <v>98084</v>
      </c>
      <c r="J22" s="1752">
        <v>98084</v>
      </c>
      <c r="K22" s="1752">
        <v>98084</v>
      </c>
      <c r="L22" s="1752">
        <v>98084</v>
      </c>
      <c r="M22" s="1752">
        <v>98084</v>
      </c>
      <c r="N22" s="1752">
        <v>98084</v>
      </c>
      <c r="O22" s="1752">
        <v>98084</v>
      </c>
      <c r="P22" s="823">
        <f t="shared" si="0"/>
        <v>1177008</v>
      </c>
      <c r="Q22" s="834"/>
    </row>
    <row r="23" spans="1:18">
      <c r="A23" s="183" t="s">
        <v>1076</v>
      </c>
      <c r="C23" s="1460"/>
      <c r="D23" s="1751">
        <f>-59224+1777</f>
        <v>-57447</v>
      </c>
      <c r="E23" s="1751">
        <f t="shared" ref="E23:O23" si="1">-59224+1777</f>
        <v>-57447</v>
      </c>
      <c r="F23" s="1751">
        <f t="shared" si="1"/>
        <v>-57447</v>
      </c>
      <c r="G23" s="1751">
        <f t="shared" si="1"/>
        <v>-57447</v>
      </c>
      <c r="H23" s="1751">
        <f t="shared" si="1"/>
        <v>-57447</v>
      </c>
      <c r="I23" s="1751">
        <f t="shared" si="1"/>
        <v>-57447</v>
      </c>
      <c r="J23" s="1751">
        <f t="shared" si="1"/>
        <v>-57447</v>
      </c>
      <c r="K23" s="1751">
        <f t="shared" si="1"/>
        <v>-57447</v>
      </c>
      <c r="L23" s="1751">
        <f t="shared" si="1"/>
        <v>-57447</v>
      </c>
      <c r="M23" s="1751">
        <f t="shared" si="1"/>
        <v>-57447</v>
      </c>
      <c r="N23" s="1751">
        <f t="shared" si="1"/>
        <v>-57447</v>
      </c>
      <c r="O23" s="1751">
        <f t="shared" si="1"/>
        <v>-57447</v>
      </c>
      <c r="P23" s="1751">
        <f>SUM(C23:O23)</f>
        <v>-689364</v>
      </c>
      <c r="Q23" s="834"/>
    </row>
    <row r="24" spans="1:18">
      <c r="A24" s="176" t="s">
        <v>879</v>
      </c>
      <c r="B24" t="s">
        <v>30</v>
      </c>
      <c r="C24" s="1460"/>
      <c r="D24" s="1750">
        <v>19976308</v>
      </c>
      <c r="E24" s="1750">
        <v>19976308</v>
      </c>
      <c r="F24" s="1750">
        <v>19976308</v>
      </c>
      <c r="G24" s="1750">
        <v>19976308</v>
      </c>
      <c r="H24" s="1750">
        <v>20763241</v>
      </c>
      <c r="I24" s="1750">
        <v>21792308</v>
      </c>
      <c r="J24" s="1750">
        <v>21792308</v>
      </c>
      <c r="K24" s="1750">
        <v>21792308</v>
      </c>
      <c r="L24" s="1750">
        <v>21792308</v>
      </c>
      <c r="M24" s="1750">
        <v>21792308</v>
      </c>
      <c r="N24" s="1750">
        <v>21792308</v>
      </c>
      <c r="O24" s="1750">
        <v>21792308</v>
      </c>
      <c r="P24" s="823">
        <f>SUM(C24:O24)</f>
        <v>253214629</v>
      </c>
      <c r="Q24" s="125"/>
      <c r="R24" s="823"/>
    </row>
    <row r="25" spans="1:18">
      <c r="A25" t="s">
        <v>688</v>
      </c>
      <c r="B25" t="s">
        <v>37</v>
      </c>
      <c r="C25" s="1460"/>
      <c r="D25" s="1837">
        <v>212575</v>
      </c>
      <c r="E25" s="1837">
        <v>212575</v>
      </c>
      <c r="F25" s="1837">
        <v>212575</v>
      </c>
      <c r="G25" s="1837">
        <v>212575</v>
      </c>
      <c r="H25" s="1837">
        <v>217783</v>
      </c>
      <c r="I25" s="1837">
        <v>225517</v>
      </c>
      <c r="J25" s="1837">
        <v>225717</v>
      </c>
      <c r="K25" s="1837">
        <v>225732</v>
      </c>
      <c r="L25" s="1837">
        <v>225732</v>
      </c>
      <c r="M25" s="1837">
        <v>225735</v>
      </c>
      <c r="N25" s="1837">
        <v>225886</v>
      </c>
      <c r="O25" s="1837">
        <v>225794</v>
      </c>
      <c r="P25" s="107">
        <f>SUM(C25:O25)</f>
        <v>2648196</v>
      </c>
      <c r="Q25" s="823"/>
    </row>
    <row r="26" spans="1:18">
      <c r="A26" t="s">
        <v>689</v>
      </c>
      <c r="B26" t="s">
        <v>38</v>
      </c>
      <c r="C26" s="1460"/>
      <c r="D26" s="1750">
        <v>175882</v>
      </c>
      <c r="E26" s="1750">
        <v>175882</v>
      </c>
      <c r="F26" s="1750">
        <v>175882</v>
      </c>
      <c r="G26" s="1750">
        <v>175882</v>
      </c>
      <c r="H26" s="1750">
        <v>175882</v>
      </c>
      <c r="I26" s="1750">
        <v>175882</v>
      </c>
      <c r="J26" s="1750">
        <v>175882</v>
      </c>
      <c r="K26" s="1750">
        <v>174996</v>
      </c>
      <c r="L26" s="1750">
        <v>174994</v>
      </c>
      <c r="M26" s="1750">
        <v>174994</v>
      </c>
      <c r="N26" s="1750">
        <v>174994</v>
      </c>
      <c r="O26" s="1750">
        <v>174994</v>
      </c>
      <c r="P26" s="107">
        <f t="shared" si="0"/>
        <v>2106146</v>
      </c>
      <c r="Q26" s="445"/>
    </row>
    <row r="27" spans="1:18">
      <c r="A27" t="s">
        <v>691</v>
      </c>
      <c r="B27" t="s">
        <v>39</v>
      </c>
      <c r="C27" s="1460"/>
      <c r="D27" s="1750">
        <v>0</v>
      </c>
      <c r="E27" s="1750">
        <v>0</v>
      </c>
      <c r="F27" s="1750">
        <v>0</v>
      </c>
      <c r="G27" s="1750">
        <v>0</v>
      </c>
      <c r="H27" s="1750">
        <v>0</v>
      </c>
      <c r="I27" s="1750">
        <v>0</v>
      </c>
      <c r="J27" s="1750">
        <v>0</v>
      </c>
      <c r="K27" s="1750">
        <v>0</v>
      </c>
      <c r="L27" s="1750">
        <v>0</v>
      </c>
      <c r="M27" s="1750">
        <v>0</v>
      </c>
      <c r="N27" s="1750">
        <v>0</v>
      </c>
      <c r="O27" s="1750">
        <v>0</v>
      </c>
      <c r="P27" s="823">
        <f t="shared" si="0"/>
        <v>0</v>
      </c>
    </row>
    <row r="28" spans="1:18">
      <c r="A28" t="s">
        <v>692</v>
      </c>
      <c r="B28" t="s">
        <v>40</v>
      </c>
      <c r="C28" s="1460"/>
      <c r="D28" s="1751">
        <v>0</v>
      </c>
      <c r="E28" s="1751">
        <v>0</v>
      </c>
      <c r="F28" s="1751">
        <v>0</v>
      </c>
      <c r="G28" s="1751">
        <v>0</v>
      </c>
      <c r="H28" s="1751">
        <v>0</v>
      </c>
      <c r="I28" s="1751">
        <v>0</v>
      </c>
      <c r="J28" s="1751">
        <v>0</v>
      </c>
      <c r="K28" s="1751">
        <v>0</v>
      </c>
      <c r="L28" s="1751">
        <v>0</v>
      </c>
      <c r="M28" s="1751">
        <v>0</v>
      </c>
      <c r="N28" s="1751">
        <v>0</v>
      </c>
      <c r="O28" s="1751">
        <v>0</v>
      </c>
      <c r="P28" s="823">
        <f t="shared" si="0"/>
        <v>0</v>
      </c>
    </row>
    <row r="29" spans="1:18">
      <c r="A29" s="144" t="s">
        <v>675</v>
      </c>
      <c r="C29" s="107"/>
      <c r="D29" s="1752"/>
      <c r="E29" s="1752"/>
      <c r="F29" s="1752"/>
      <c r="G29" s="1752"/>
      <c r="H29" s="1752"/>
      <c r="I29" s="1752"/>
      <c r="J29" s="1752"/>
      <c r="K29" s="1752"/>
      <c r="L29" s="1752"/>
      <c r="M29" s="1752"/>
      <c r="N29" s="1752"/>
      <c r="O29" s="1752"/>
      <c r="P29" s="824">
        <f>SUM(P24:P28)</f>
        <v>257968971</v>
      </c>
    </row>
    <row r="30" spans="1:18">
      <c r="C30" s="107"/>
      <c r="D30" s="146"/>
      <c r="E30" s="146"/>
      <c r="F30" s="146"/>
      <c r="G30" s="146"/>
      <c r="H30" s="146"/>
      <c r="I30" s="146"/>
      <c r="J30" s="146"/>
      <c r="K30" s="146"/>
      <c r="L30" s="146"/>
      <c r="M30" s="146"/>
      <c r="N30" s="146"/>
      <c r="O30" s="146"/>
      <c r="P30" s="823"/>
    </row>
    <row r="31" spans="1:18">
      <c r="A31" s="822" t="s">
        <v>693</v>
      </c>
      <c r="C31" s="107"/>
      <c r="D31" s="146"/>
      <c r="E31" s="146"/>
      <c r="F31" s="146"/>
      <c r="G31" s="146"/>
      <c r="H31" s="146"/>
      <c r="I31" s="146"/>
      <c r="J31" s="146"/>
      <c r="K31" s="146"/>
      <c r="L31" s="146"/>
      <c r="M31" s="146"/>
      <c r="N31" s="146"/>
      <c r="O31" s="146"/>
      <c r="P31" s="823"/>
      <c r="Q31" s="823"/>
    </row>
    <row r="32" spans="1:18">
      <c r="A32" t="s">
        <v>694</v>
      </c>
      <c r="B32" t="s">
        <v>41</v>
      </c>
      <c r="C32" s="1750">
        <v>0</v>
      </c>
      <c r="D32" s="1750">
        <v>0</v>
      </c>
      <c r="E32" s="1750">
        <v>0</v>
      </c>
      <c r="F32" s="1750">
        <v>0</v>
      </c>
      <c r="G32" s="1750">
        <v>0</v>
      </c>
      <c r="H32" s="1750">
        <v>0</v>
      </c>
      <c r="I32" s="1750">
        <v>0</v>
      </c>
      <c r="J32" s="1750">
        <v>0</v>
      </c>
      <c r="K32" s="1750">
        <v>0</v>
      </c>
      <c r="L32" s="1750">
        <v>0</v>
      </c>
      <c r="M32" s="1750">
        <v>0</v>
      </c>
      <c r="N32" s="1750">
        <v>0</v>
      </c>
      <c r="O32" s="1750">
        <v>0</v>
      </c>
      <c r="P32" s="823">
        <f>AVERAGE(C32:O32)</f>
        <v>0</v>
      </c>
    </row>
    <row r="33" spans="1:17">
      <c r="A33" t="s">
        <v>695</v>
      </c>
      <c r="B33" t="s">
        <v>42</v>
      </c>
      <c r="C33" s="1750">
        <v>0</v>
      </c>
      <c r="D33" s="1750">
        <v>0</v>
      </c>
      <c r="E33" s="1750">
        <v>0</v>
      </c>
      <c r="F33" s="1750">
        <v>0</v>
      </c>
      <c r="G33" s="1750">
        <v>0</v>
      </c>
      <c r="H33" s="1750">
        <v>0</v>
      </c>
      <c r="I33" s="1750">
        <v>0</v>
      </c>
      <c r="J33" s="1750">
        <v>0</v>
      </c>
      <c r="K33" s="1750">
        <v>0</v>
      </c>
      <c r="L33" s="1750">
        <v>0</v>
      </c>
      <c r="M33" s="1750">
        <v>0</v>
      </c>
      <c r="N33" s="1750">
        <v>0</v>
      </c>
      <c r="O33" s="1750">
        <v>0</v>
      </c>
      <c r="P33" s="823">
        <f>AVERAGE(C33:O33)</f>
        <v>0</v>
      </c>
    </row>
    <row r="34" spans="1:17">
      <c r="A34" t="s">
        <v>696</v>
      </c>
      <c r="B34" t="s">
        <v>43</v>
      </c>
      <c r="C34" s="1750">
        <v>0</v>
      </c>
      <c r="D34" s="1750">
        <v>0</v>
      </c>
      <c r="E34" s="1750">
        <v>0</v>
      </c>
      <c r="F34" s="1750">
        <v>0</v>
      </c>
      <c r="G34" s="1750">
        <v>0</v>
      </c>
      <c r="H34" s="1750">
        <v>0</v>
      </c>
      <c r="I34" s="1750">
        <v>0</v>
      </c>
      <c r="J34" s="1750">
        <v>0</v>
      </c>
      <c r="K34" s="1750">
        <v>0</v>
      </c>
      <c r="L34" s="1750">
        <v>0</v>
      </c>
      <c r="M34" s="1750">
        <v>0</v>
      </c>
      <c r="N34" s="1750">
        <v>0</v>
      </c>
      <c r="O34" s="1750">
        <v>0</v>
      </c>
      <c r="P34" s="823">
        <f t="shared" ref="P34:P39" si="2">AVERAGE(C34:O34)</f>
        <v>0</v>
      </c>
    </row>
    <row r="35" spans="1:17">
      <c r="A35" t="s">
        <v>51</v>
      </c>
      <c r="B35" t="s">
        <v>44</v>
      </c>
      <c r="C35" s="1750">
        <v>0</v>
      </c>
      <c r="D35" s="1750">
        <v>0</v>
      </c>
      <c r="E35" s="1750">
        <v>0</v>
      </c>
      <c r="F35" s="1750">
        <v>0</v>
      </c>
      <c r="G35" s="1750">
        <v>0</v>
      </c>
      <c r="H35" s="1750">
        <v>0</v>
      </c>
      <c r="I35" s="1750">
        <v>0</v>
      </c>
      <c r="J35" s="1750">
        <v>0</v>
      </c>
      <c r="K35" s="1750">
        <v>0</v>
      </c>
      <c r="L35" s="1750">
        <v>0</v>
      </c>
      <c r="M35" s="1750">
        <v>0</v>
      </c>
      <c r="N35" s="1750">
        <v>0</v>
      </c>
      <c r="O35" s="1750">
        <v>0</v>
      </c>
      <c r="P35" s="823">
        <f t="shared" si="2"/>
        <v>0</v>
      </c>
    </row>
    <row r="36" spans="1:17">
      <c r="A36" t="s">
        <v>697</v>
      </c>
      <c r="B36" t="s">
        <v>45</v>
      </c>
      <c r="C36" s="1750">
        <v>0</v>
      </c>
      <c r="D36" s="1750">
        <v>0</v>
      </c>
      <c r="E36" s="1750">
        <v>0</v>
      </c>
      <c r="F36" s="1750">
        <v>0</v>
      </c>
      <c r="G36" s="1750">
        <v>0</v>
      </c>
      <c r="H36" s="1750">
        <v>0</v>
      </c>
      <c r="I36" s="1750">
        <v>0</v>
      </c>
      <c r="J36" s="1750">
        <v>0</v>
      </c>
      <c r="K36" s="1750">
        <v>0</v>
      </c>
      <c r="L36" s="1750">
        <v>0</v>
      </c>
      <c r="M36" s="1750">
        <v>0</v>
      </c>
      <c r="N36" s="1750">
        <v>0</v>
      </c>
      <c r="O36" s="1750">
        <v>0</v>
      </c>
      <c r="P36" s="823">
        <f t="shared" si="2"/>
        <v>0</v>
      </c>
    </row>
    <row r="37" spans="1:17">
      <c r="A37" t="s">
        <v>698</v>
      </c>
      <c r="B37" s="2" t="s">
        <v>50</v>
      </c>
      <c r="C37" s="1751">
        <v>0</v>
      </c>
      <c r="D37" s="1751">
        <v>0</v>
      </c>
      <c r="E37" s="1751">
        <v>0</v>
      </c>
      <c r="F37" s="1751">
        <v>0</v>
      </c>
      <c r="G37" s="1751">
        <v>0</v>
      </c>
      <c r="H37" s="1751">
        <v>0</v>
      </c>
      <c r="I37" s="1751">
        <v>0</v>
      </c>
      <c r="J37" s="1751">
        <v>0</v>
      </c>
      <c r="K37" s="1751">
        <v>0</v>
      </c>
      <c r="L37" s="1751">
        <v>0</v>
      </c>
      <c r="M37" s="1751">
        <v>0</v>
      </c>
      <c r="N37" s="1751">
        <v>0</v>
      </c>
      <c r="O37" s="1751">
        <v>0</v>
      </c>
      <c r="P37" s="1795">
        <f t="shared" si="2"/>
        <v>0</v>
      </c>
    </row>
    <row r="38" spans="1:17">
      <c r="A38" s="144" t="s">
        <v>699</v>
      </c>
      <c r="C38" s="107"/>
      <c r="D38" s="107"/>
      <c r="E38" s="107"/>
      <c r="F38" s="107"/>
      <c r="G38" s="107"/>
      <c r="H38" s="107"/>
      <c r="I38" s="107"/>
      <c r="J38" s="107"/>
      <c r="K38" s="107"/>
      <c r="L38" s="107"/>
      <c r="M38" s="107"/>
      <c r="N38" s="107"/>
      <c r="O38" s="107"/>
      <c r="P38" s="823"/>
    </row>
    <row r="39" spans="1:17">
      <c r="A39" s="104" t="s">
        <v>676</v>
      </c>
      <c r="B39" t="s">
        <v>46</v>
      </c>
      <c r="C39" s="1714">
        <v>0</v>
      </c>
      <c r="D39" s="1714">
        <v>0</v>
      </c>
      <c r="E39" s="1714">
        <v>0</v>
      </c>
      <c r="F39" s="1714">
        <v>0</v>
      </c>
      <c r="G39" s="1714">
        <v>0</v>
      </c>
      <c r="H39" s="1714">
        <v>0</v>
      </c>
      <c r="I39" s="1714">
        <v>0</v>
      </c>
      <c r="J39" s="1714">
        <v>0</v>
      </c>
      <c r="K39" s="1714">
        <v>0</v>
      </c>
      <c r="L39" s="1714">
        <v>0</v>
      </c>
      <c r="M39" s="1714">
        <v>0</v>
      </c>
      <c r="N39" s="1714">
        <v>0</v>
      </c>
      <c r="O39" s="1714">
        <v>0</v>
      </c>
      <c r="P39" s="823">
        <f t="shared" si="2"/>
        <v>0</v>
      </c>
    </row>
    <row r="40" spans="1:17">
      <c r="C40" s="107"/>
      <c r="D40" s="107"/>
      <c r="E40" s="107"/>
      <c r="F40" s="107"/>
      <c r="G40" s="107"/>
      <c r="H40" s="107"/>
      <c r="I40" s="107"/>
      <c r="J40" s="107"/>
      <c r="K40" s="107"/>
      <c r="L40" s="107"/>
      <c r="M40" s="107"/>
      <c r="N40" s="107"/>
      <c r="O40" s="107"/>
      <c r="P40" s="823"/>
    </row>
    <row r="41" spans="1:17">
      <c r="A41" s="822" t="s">
        <v>740</v>
      </c>
      <c r="C41" s="107"/>
      <c r="D41" s="107"/>
      <c r="E41" s="107"/>
      <c r="F41" s="107"/>
      <c r="G41" s="107"/>
      <c r="H41" s="107"/>
      <c r="I41" s="107"/>
      <c r="J41" s="107"/>
      <c r="K41" s="107"/>
      <c r="L41" s="107"/>
      <c r="M41" s="107"/>
      <c r="N41" s="107"/>
      <c r="O41" s="107"/>
      <c r="P41" s="823"/>
    </row>
    <row r="42" spans="1:17">
      <c r="A42" t="s">
        <v>853</v>
      </c>
      <c r="B42" t="s">
        <v>47</v>
      </c>
      <c r="C42" s="823">
        <v>4871081451.249999</v>
      </c>
      <c r="D42" s="823">
        <v>4716892002</v>
      </c>
      <c r="E42" s="823">
        <v>4814754525</v>
      </c>
      <c r="F42" s="823">
        <v>4870748124</v>
      </c>
      <c r="G42" s="823">
        <v>4846375197</v>
      </c>
      <c r="H42" s="823">
        <v>4845081454</v>
      </c>
      <c r="I42" s="823">
        <v>4843527391</v>
      </c>
      <c r="J42" s="823">
        <v>4876365400</v>
      </c>
      <c r="K42" s="823">
        <v>4966398738</v>
      </c>
      <c r="L42" s="823">
        <v>4947954160</v>
      </c>
      <c r="M42" s="823">
        <v>5030763150</v>
      </c>
      <c r="N42" s="823">
        <v>5011527661</v>
      </c>
      <c r="O42" s="823">
        <v>5050789342</v>
      </c>
      <c r="P42" s="823">
        <f>AVERAGE(C42:O42)</f>
        <v>4899404507.3269234</v>
      </c>
      <c r="Q42" s="823"/>
    </row>
    <row r="43" spans="1:17">
      <c r="A43" t="s">
        <v>700</v>
      </c>
      <c r="B43" t="s">
        <v>41</v>
      </c>
      <c r="C43" s="823">
        <v>0</v>
      </c>
      <c r="D43" s="823"/>
      <c r="E43" s="823"/>
      <c r="F43" s="823"/>
      <c r="G43" s="823"/>
      <c r="H43" s="823"/>
      <c r="I43" s="823"/>
      <c r="J43" s="823"/>
      <c r="K43" s="823"/>
      <c r="L43" s="823"/>
      <c r="M43" s="823"/>
      <c r="N43" s="823"/>
      <c r="O43" s="823"/>
      <c r="P43" s="823">
        <f>AVERAGE(C43:O43)</f>
        <v>0</v>
      </c>
      <c r="Q43" s="823"/>
    </row>
    <row r="44" spans="1:17">
      <c r="A44" t="s">
        <v>701</v>
      </c>
      <c r="B44" t="s">
        <v>48</v>
      </c>
      <c r="C44" s="823">
        <v>-13264969.68</v>
      </c>
      <c r="D44" s="823">
        <f>-13264970</f>
        <v>-13264970</v>
      </c>
      <c r="E44" s="823">
        <v>-13264970</v>
      </c>
      <c r="F44" s="823">
        <v>-12670774</v>
      </c>
      <c r="G44" s="823">
        <v>-12670774</v>
      </c>
      <c r="H44" s="823">
        <v>-12670774</v>
      </c>
      <c r="I44" s="823">
        <v>-12793670</v>
      </c>
      <c r="J44" s="823">
        <v>-12793670</v>
      </c>
      <c r="K44" s="823">
        <v>-12793670</v>
      </c>
      <c r="L44" s="823">
        <v>-12912630</v>
      </c>
      <c r="M44" s="823">
        <v>-12912630</v>
      </c>
      <c r="N44" s="823">
        <v>-12912630</v>
      </c>
      <c r="O44" s="823">
        <v>-13054602</v>
      </c>
      <c r="P44" s="823">
        <f>AVERAGE(C44:O44)</f>
        <v>-12921594.898461539</v>
      </c>
    </row>
    <row r="45" spans="1:17">
      <c r="A45" t="s">
        <v>702</v>
      </c>
      <c r="B45" t="s">
        <v>49</v>
      </c>
      <c r="C45" s="823">
        <v>-103045030.33</v>
      </c>
      <c r="D45" s="823">
        <v>-103000630</v>
      </c>
      <c r="E45" s="823">
        <v>-102956229</v>
      </c>
      <c r="F45" s="823">
        <v>-102911829</v>
      </c>
      <c r="G45" s="823">
        <v>-102867428</v>
      </c>
      <c r="H45" s="823">
        <v>-102823028</v>
      </c>
      <c r="I45" s="823">
        <v>-109600472</v>
      </c>
      <c r="J45" s="823">
        <v>-109580851</v>
      </c>
      <c r="K45" s="823">
        <v>-109561229</v>
      </c>
      <c r="L45" s="823">
        <v>-109541608</v>
      </c>
      <c r="M45" s="823">
        <v>-109458654</v>
      </c>
      <c r="N45" s="823">
        <v>-109439889</v>
      </c>
      <c r="O45" s="823">
        <v>-58396308</v>
      </c>
      <c r="P45" s="823">
        <f>AVERAGE(C45:O45)</f>
        <v>-102552552.7176923</v>
      </c>
    </row>
    <row r="46" spans="1:17">
      <c r="A46" s="144" t="s">
        <v>677</v>
      </c>
      <c r="C46" s="1084">
        <f t="shared" ref="C46" si="3">C42-C43-C44-C45</f>
        <v>4987391451.2599993</v>
      </c>
      <c r="D46" s="1084"/>
      <c r="E46" s="1084"/>
      <c r="F46" s="1084"/>
      <c r="G46" s="1084"/>
      <c r="H46" s="1084"/>
      <c r="I46" s="1084"/>
      <c r="J46" s="1084"/>
      <c r="K46" s="1084"/>
      <c r="L46" s="1084"/>
      <c r="M46" s="1084"/>
      <c r="N46" s="1084"/>
      <c r="O46" s="1084"/>
      <c r="P46" s="824">
        <f>P42-P43-P44-P45</f>
        <v>5014878654.9430771</v>
      </c>
    </row>
    <row r="47" spans="1:17">
      <c r="C47" s="107"/>
      <c r="D47" s="107"/>
      <c r="E47" s="107"/>
      <c r="F47" s="107"/>
      <c r="G47" s="107"/>
      <c r="H47" s="107"/>
      <c r="I47" s="107"/>
      <c r="J47" s="107"/>
      <c r="K47" s="107"/>
      <c r="L47" s="107"/>
      <c r="M47" s="107"/>
      <c r="N47" s="107"/>
      <c r="O47" s="107"/>
      <c r="P47" s="823"/>
    </row>
    <row r="48" spans="1:17">
      <c r="C48" s="107"/>
      <c r="D48" s="107"/>
      <c r="E48" s="107"/>
      <c r="F48" s="107"/>
      <c r="G48" s="107"/>
      <c r="H48" s="107"/>
      <c r="I48" s="107"/>
      <c r="J48" s="107"/>
      <c r="K48" s="107"/>
      <c r="L48" s="107"/>
      <c r="M48" s="107"/>
      <c r="N48" s="107"/>
      <c r="O48" s="107"/>
      <c r="P48" s="823"/>
    </row>
    <row r="49" spans="1:17">
      <c r="A49" t="s">
        <v>853</v>
      </c>
      <c r="C49" s="107"/>
      <c r="D49" s="107"/>
      <c r="E49" s="107"/>
      <c r="F49" s="107"/>
      <c r="G49" s="107"/>
      <c r="H49" s="107"/>
      <c r="I49" s="107"/>
      <c r="J49" s="107"/>
      <c r="K49" s="107"/>
      <c r="L49" s="107"/>
      <c r="M49" s="107"/>
      <c r="N49" s="107"/>
      <c r="O49" s="107"/>
      <c r="P49" s="823"/>
    </row>
    <row r="50" spans="1:17">
      <c r="A50" t="s">
        <v>703</v>
      </c>
      <c r="B50" t="s">
        <v>52</v>
      </c>
      <c r="C50" s="1750">
        <v>859037.91</v>
      </c>
      <c r="D50" s="1750">
        <v>859037.91</v>
      </c>
      <c r="E50" s="1750">
        <v>859037.91</v>
      </c>
      <c r="F50" s="1750">
        <v>859037.91</v>
      </c>
      <c r="G50" s="1750">
        <v>859037.91</v>
      </c>
      <c r="H50" s="1750">
        <v>859037.91</v>
      </c>
      <c r="I50" s="1750">
        <v>859037.91</v>
      </c>
      <c r="J50" s="1750">
        <v>859037.91</v>
      </c>
      <c r="K50" s="1750">
        <v>859037.91</v>
      </c>
      <c r="L50" s="1750">
        <v>859037.91</v>
      </c>
      <c r="M50" s="1750">
        <v>859037.91</v>
      </c>
      <c r="N50" s="1750">
        <v>859037.91</v>
      </c>
      <c r="O50" s="1750">
        <v>859037.91</v>
      </c>
      <c r="P50" s="823">
        <f>AVERAGE(C50:O50)</f>
        <v>859037.91</v>
      </c>
      <c r="Q50" s="823"/>
    </row>
    <row r="51" spans="1:17">
      <c r="A51" t="s">
        <v>704</v>
      </c>
      <c r="B51" t="s">
        <v>54</v>
      </c>
      <c r="C51" s="1750">
        <v>478145250</v>
      </c>
      <c r="D51" s="1750">
        <v>478145250</v>
      </c>
      <c r="E51" s="1750">
        <v>478145250</v>
      </c>
      <c r="F51" s="1750">
        <v>478145250</v>
      </c>
      <c r="G51" s="1750">
        <v>478145250</v>
      </c>
      <c r="H51" s="1750">
        <v>478145250</v>
      </c>
      <c r="I51" s="1750">
        <v>478145250</v>
      </c>
      <c r="J51" s="1750">
        <v>478145250</v>
      </c>
      <c r="K51" s="1750">
        <v>478145250</v>
      </c>
      <c r="L51" s="1750">
        <v>478145250</v>
      </c>
      <c r="M51" s="1750">
        <v>478145250</v>
      </c>
      <c r="N51" s="1750">
        <v>478145250</v>
      </c>
      <c r="O51" s="1750">
        <v>478145250</v>
      </c>
      <c r="P51" s="823">
        <f>AVERAGE(C51:O51)</f>
        <v>478145250</v>
      </c>
      <c r="Q51" s="823"/>
    </row>
    <row r="52" spans="1:17">
      <c r="A52" t="s">
        <v>705</v>
      </c>
      <c r="B52" t="s">
        <v>44</v>
      </c>
      <c r="C52" s="1750">
        <v>3064096691.4699998</v>
      </c>
      <c r="D52" s="1750">
        <v>3064096691.4699998</v>
      </c>
      <c r="E52" s="1750">
        <v>3064096691.4699998</v>
      </c>
      <c r="F52" s="1750">
        <v>3064096691.4699998</v>
      </c>
      <c r="G52" s="1750">
        <v>3064096691.4699998</v>
      </c>
      <c r="H52" s="1750">
        <v>3064096691.4699998</v>
      </c>
      <c r="I52" s="1750">
        <v>3064096691.4699998</v>
      </c>
      <c r="J52" s="1750">
        <v>3064096691.4699998</v>
      </c>
      <c r="K52" s="1750">
        <v>3064096691.4699998</v>
      </c>
      <c r="L52" s="1750">
        <v>3064096691.4699998</v>
      </c>
      <c r="M52" s="1750">
        <v>3164096691</v>
      </c>
      <c r="N52" s="1750">
        <v>3164096691</v>
      </c>
      <c r="O52" s="1750">
        <v>3164096691</v>
      </c>
      <c r="P52" s="823">
        <f>AVERAGE(C52:O52)</f>
        <v>3087173614.4384618</v>
      </c>
      <c r="Q52" s="823"/>
    </row>
    <row r="53" spans="1:17">
      <c r="A53" t="s">
        <v>470</v>
      </c>
      <c r="B53" t="s">
        <v>45</v>
      </c>
      <c r="C53" s="1750">
        <v>0</v>
      </c>
      <c r="D53" s="1750"/>
      <c r="E53" s="1750"/>
      <c r="F53" s="1750"/>
      <c r="G53" s="1750"/>
      <c r="H53" s="1750"/>
      <c r="I53" s="1750"/>
      <c r="J53" s="1750"/>
      <c r="K53" s="1750"/>
      <c r="L53" s="1750"/>
      <c r="M53" s="1750"/>
      <c r="N53" s="1750"/>
      <c r="O53" s="1750"/>
      <c r="P53" s="823">
        <v>0</v>
      </c>
      <c r="Q53" s="823"/>
    </row>
    <row r="54" spans="1:17">
      <c r="A54" t="s">
        <v>706</v>
      </c>
      <c r="B54" t="s">
        <v>50</v>
      </c>
      <c r="C54" s="1750">
        <v>-7133879.4000000004</v>
      </c>
      <c r="D54" s="1750">
        <v>-7133879.4000000004</v>
      </c>
      <c r="E54" s="1750">
        <v>-7133879.4000000004</v>
      </c>
      <c r="F54" s="1750">
        <v>-7133879.4000000004</v>
      </c>
      <c r="G54" s="1750">
        <v>-7133879.4000000004</v>
      </c>
      <c r="H54" s="1750">
        <v>-7133879.4000000004</v>
      </c>
      <c r="I54" s="1750">
        <v>-7133879.4000000004</v>
      </c>
      <c r="J54" s="1750">
        <v>-7133879.4000000004</v>
      </c>
      <c r="K54" s="1750">
        <v>-7133879.4000000004</v>
      </c>
      <c r="L54" s="1750">
        <v>-7133879.4000000004</v>
      </c>
      <c r="M54" s="1750">
        <v>-7133879.4000000004</v>
      </c>
      <c r="N54" s="1750">
        <v>-7133879.4000000004</v>
      </c>
      <c r="O54" s="1750">
        <v>-7133879.4000000004</v>
      </c>
      <c r="P54" s="107">
        <f>AVERAGE(C54:O54)</f>
        <v>-7133879.4000000013</v>
      </c>
      <c r="Q54" s="823"/>
    </row>
    <row r="55" spans="1:17">
      <c r="A55" t="s">
        <v>707</v>
      </c>
      <c r="B55" t="s">
        <v>53</v>
      </c>
      <c r="C55" s="1837">
        <v>1451424351.28</v>
      </c>
      <c r="D55" s="1837">
        <v>1297190502</v>
      </c>
      <c r="E55" s="1837">
        <v>1395008624</v>
      </c>
      <c r="F55" s="1837">
        <v>1450365627</v>
      </c>
      <c r="G55" s="1837">
        <v>1425946299</v>
      </c>
      <c r="H55" s="1837">
        <v>1424608156</v>
      </c>
      <c r="I55" s="1837">
        <v>1429954434</v>
      </c>
      <c r="J55" s="1837">
        <v>1462772821</v>
      </c>
      <c r="K55" s="1837">
        <v>1452786538</v>
      </c>
      <c r="L55" s="1837">
        <v>1434441297</v>
      </c>
      <c r="M55" s="1837">
        <v>1517167334</v>
      </c>
      <c r="N55" s="1837">
        <v>1497913079</v>
      </c>
      <c r="O55" s="1837">
        <v>1486273152</v>
      </c>
      <c r="P55" s="107">
        <f>AVERAGE(C55:O55)</f>
        <v>1440450170.3292308</v>
      </c>
      <c r="Q55" s="823"/>
    </row>
    <row r="56" spans="1:17">
      <c r="A56" t="s">
        <v>708</v>
      </c>
      <c r="B56" t="s">
        <v>48</v>
      </c>
      <c r="C56" s="1750">
        <v>-13264969.68</v>
      </c>
      <c r="D56" s="1750">
        <v>-13264970</v>
      </c>
      <c r="E56" s="1750">
        <v>-13264970</v>
      </c>
      <c r="F56" s="1750">
        <v>-12670774</v>
      </c>
      <c r="G56" s="1750">
        <v>-12670774</v>
      </c>
      <c r="H56" s="1750">
        <v>-12670774</v>
      </c>
      <c r="I56" s="1750">
        <v>-12793670</v>
      </c>
      <c r="J56" s="1750">
        <v>-12793670</v>
      </c>
      <c r="K56" s="1750">
        <v>-12793670</v>
      </c>
      <c r="L56" s="1750">
        <v>-12912630</v>
      </c>
      <c r="M56" s="1750">
        <v>-12912630</v>
      </c>
      <c r="N56" s="1750">
        <v>-12912630</v>
      </c>
      <c r="O56" s="1750">
        <v>-13054602</v>
      </c>
      <c r="P56" s="107">
        <f>AVERAGE(C56:O56)</f>
        <v>-12921594.898461539</v>
      </c>
      <c r="Q56" s="823"/>
    </row>
    <row r="57" spans="1:17">
      <c r="A57" t="s">
        <v>709</v>
      </c>
      <c r="B57" t="s">
        <v>49</v>
      </c>
      <c r="C57" s="1750">
        <v>-103045030.33</v>
      </c>
      <c r="D57" s="1750">
        <v>-103000630</v>
      </c>
      <c r="E57" s="1750">
        <v>-102956229</v>
      </c>
      <c r="F57" s="1750">
        <v>-102911829</v>
      </c>
      <c r="G57" s="1750">
        <v>-102867428</v>
      </c>
      <c r="H57" s="1750">
        <v>-102823028</v>
      </c>
      <c r="I57" s="1750">
        <v>-109600472</v>
      </c>
      <c r="J57" s="1750">
        <v>-109580851</v>
      </c>
      <c r="K57" s="1750">
        <v>-109561229</v>
      </c>
      <c r="L57" s="1750">
        <v>-109541608</v>
      </c>
      <c r="M57" s="1750">
        <v>-109458654</v>
      </c>
      <c r="N57" s="1750">
        <v>-109439889</v>
      </c>
      <c r="O57" s="1750">
        <v>-58396308</v>
      </c>
      <c r="P57" s="107">
        <f>AVERAGE(C57:O57)</f>
        <v>-102552552.7176923</v>
      </c>
      <c r="Q57" s="823"/>
    </row>
    <row r="58" spans="1:17">
      <c r="C58" s="1084">
        <f t="shared" ref="C58:P58" si="4">SUM(C50:C57)</f>
        <v>4871081451.249999</v>
      </c>
      <c r="D58" s="1084">
        <f t="shared" ref="D58:O58" si="5">SUM(D50:D57)</f>
        <v>4716892001.9799995</v>
      </c>
      <c r="E58" s="1084">
        <f t="shared" si="5"/>
        <v>4814754524.9799995</v>
      </c>
      <c r="F58" s="1084">
        <f t="shared" si="5"/>
        <v>4870750123.9799995</v>
      </c>
      <c r="G58" s="1084">
        <f t="shared" si="5"/>
        <v>4846375196.9799995</v>
      </c>
      <c r="H58" s="1084">
        <f t="shared" si="5"/>
        <v>4845081453.9799995</v>
      </c>
      <c r="I58" s="1084">
        <f t="shared" si="5"/>
        <v>4843527391.9799995</v>
      </c>
      <c r="J58" s="1084">
        <f t="shared" si="5"/>
        <v>4876365399.9799995</v>
      </c>
      <c r="K58" s="1084">
        <f t="shared" si="5"/>
        <v>4866398738.9799995</v>
      </c>
      <c r="L58" s="1084">
        <f t="shared" si="5"/>
        <v>4847954158.9799995</v>
      </c>
      <c r="M58" s="1084">
        <f t="shared" si="5"/>
        <v>5030763149.5100002</v>
      </c>
      <c r="N58" s="1084">
        <f t="shared" si="5"/>
        <v>5011527659.5100002</v>
      </c>
      <c r="O58" s="1084">
        <f t="shared" si="5"/>
        <v>5050789341.5100002</v>
      </c>
      <c r="P58" s="1084">
        <f t="shared" si="4"/>
        <v>4884020045.6615391</v>
      </c>
      <c r="Q58" s="823"/>
    </row>
    <row r="59" spans="1:17">
      <c r="C59" s="107"/>
      <c r="D59" s="107"/>
      <c r="E59" s="107"/>
      <c r="F59" s="107"/>
      <c r="G59" s="107"/>
      <c r="H59" s="107"/>
      <c r="I59" s="107"/>
      <c r="J59" s="107"/>
      <c r="K59" s="107"/>
      <c r="L59" s="107"/>
      <c r="M59" s="107"/>
      <c r="N59" s="107"/>
      <c r="O59" s="107"/>
      <c r="P59" s="107"/>
      <c r="Q59" s="2"/>
    </row>
    <row r="60" spans="1:17">
      <c r="C60" s="823"/>
      <c r="D60" s="823"/>
      <c r="E60" s="823"/>
      <c r="F60" s="823"/>
      <c r="G60" s="823"/>
      <c r="H60" s="823"/>
      <c r="I60" s="823"/>
      <c r="J60" s="823"/>
      <c r="K60" s="823"/>
      <c r="L60" s="823"/>
      <c r="M60" s="823"/>
      <c r="N60" s="823"/>
      <c r="O60" s="823"/>
      <c r="P60" s="823"/>
    </row>
    <row r="61" spans="1:17">
      <c r="C61" s="823"/>
      <c r="D61" s="823"/>
      <c r="E61" s="823"/>
      <c r="F61" s="823"/>
      <c r="G61" s="823"/>
      <c r="H61" s="823"/>
      <c r="I61" s="823"/>
      <c r="J61" s="823"/>
      <c r="K61" s="823"/>
      <c r="L61" s="823"/>
      <c r="M61" s="823"/>
      <c r="N61" s="823"/>
      <c r="O61" s="823"/>
      <c r="P61" s="823"/>
    </row>
    <row r="62" spans="1:17">
      <c r="C62" s="823"/>
      <c r="D62" s="823"/>
      <c r="E62" s="823"/>
      <c r="F62" s="823"/>
      <c r="G62" s="823"/>
      <c r="H62" s="823"/>
      <c r="I62" s="823"/>
      <c r="J62" s="823"/>
      <c r="K62" s="823"/>
      <c r="L62" s="823"/>
      <c r="M62" s="823"/>
      <c r="N62" s="823"/>
      <c r="O62" s="823"/>
      <c r="P62" s="823"/>
    </row>
    <row r="63" spans="1:17">
      <c r="C63" s="823"/>
      <c r="D63" s="823"/>
      <c r="E63" s="823"/>
      <c r="F63" s="823"/>
      <c r="G63" s="823"/>
      <c r="H63" s="823"/>
      <c r="I63" s="823"/>
      <c r="J63" s="823"/>
      <c r="K63" s="823"/>
      <c r="L63" s="823"/>
      <c r="M63" s="823"/>
      <c r="N63" s="823"/>
      <c r="O63" s="823"/>
      <c r="P63" s="823"/>
    </row>
    <row r="64" spans="1:17">
      <c r="C64" s="823"/>
      <c r="D64" s="823"/>
      <c r="E64" s="823"/>
      <c r="F64" s="823"/>
      <c r="G64" s="823"/>
      <c r="H64" s="823"/>
      <c r="I64" s="823"/>
      <c r="J64" s="823"/>
      <c r="K64" s="823"/>
      <c r="L64" s="823"/>
      <c r="M64" s="823"/>
      <c r="N64" s="823"/>
      <c r="O64" s="823"/>
      <c r="P64" s="823"/>
    </row>
    <row r="65" spans="3:16">
      <c r="C65" s="823"/>
      <c r="D65" s="823"/>
      <c r="E65" s="823"/>
      <c r="F65" s="823"/>
      <c r="G65" s="823"/>
      <c r="H65" s="823"/>
      <c r="I65" s="823"/>
      <c r="J65" s="823"/>
      <c r="K65" s="823"/>
      <c r="L65" s="823"/>
      <c r="M65" s="823"/>
      <c r="N65" s="823"/>
      <c r="O65" s="823"/>
      <c r="P65" s="823"/>
    </row>
    <row r="66" spans="3:16">
      <c r="C66" s="823"/>
      <c r="D66" s="823"/>
      <c r="E66" s="823"/>
      <c r="F66" s="823"/>
      <c r="G66" s="823"/>
      <c r="H66" s="823"/>
      <c r="I66" s="823"/>
      <c r="J66" s="823"/>
      <c r="K66" s="823"/>
      <c r="L66" s="823"/>
      <c r="M66" s="823"/>
      <c r="N66" s="823"/>
      <c r="O66" s="823"/>
      <c r="P66" s="823"/>
    </row>
    <row r="67" spans="3:16">
      <c r="C67" s="823"/>
      <c r="D67" s="823"/>
      <c r="E67" s="823"/>
      <c r="F67" s="823"/>
      <c r="G67" s="823"/>
      <c r="H67" s="823"/>
      <c r="I67" s="823"/>
      <c r="J67" s="823"/>
      <c r="K67" s="823"/>
      <c r="L67" s="823"/>
      <c r="M67" s="823"/>
      <c r="N67" s="823"/>
      <c r="O67" s="823"/>
      <c r="P67" s="823"/>
    </row>
    <row r="68" spans="3:16">
      <c r="G68" s="823"/>
      <c r="I68" s="823"/>
      <c r="J68" s="823"/>
      <c r="K68" s="823"/>
      <c r="L68" s="823"/>
    </row>
    <row r="69" spans="3:16">
      <c r="G69" s="823"/>
      <c r="I69" s="823"/>
      <c r="J69" s="823"/>
      <c r="K69" s="823"/>
      <c r="O69" s="823"/>
    </row>
    <row r="70" spans="3:16">
      <c r="G70" s="823"/>
      <c r="I70" s="823"/>
      <c r="J70" s="823"/>
      <c r="K70" s="823"/>
      <c r="N70" s="823"/>
    </row>
    <row r="71" spans="3:16">
      <c r="G71" s="823"/>
      <c r="I71" s="823"/>
      <c r="J71" s="823"/>
      <c r="K71" s="823"/>
      <c r="N71" s="823"/>
      <c r="O71" s="823"/>
    </row>
    <row r="72" spans="3:16">
      <c r="G72" s="823"/>
      <c r="I72" s="823"/>
      <c r="J72" s="823"/>
      <c r="K72" s="823"/>
      <c r="N72" s="823"/>
    </row>
    <row r="73" spans="3:16">
      <c r="G73" s="823"/>
      <c r="I73" s="823"/>
      <c r="J73" s="823"/>
      <c r="K73" s="823"/>
      <c r="O73" s="823"/>
    </row>
    <row r="74" spans="3:16">
      <c r="G74" s="823"/>
      <c r="I74" s="823"/>
      <c r="J74" s="823"/>
      <c r="K74" s="823"/>
      <c r="O74" s="823"/>
    </row>
    <row r="75" spans="3:16">
      <c r="G75" s="823"/>
      <c r="I75" s="823"/>
      <c r="J75" s="823"/>
      <c r="K75" s="823"/>
    </row>
    <row r="76" spans="3:16">
      <c r="G76" s="823"/>
      <c r="I76" s="823"/>
      <c r="J76" s="823"/>
      <c r="K76" s="823"/>
    </row>
    <row r="77" spans="3:16">
      <c r="C77" s="823"/>
      <c r="D77" s="823"/>
      <c r="E77" s="823"/>
      <c r="F77" s="823"/>
      <c r="G77" s="823"/>
      <c r="H77" s="823"/>
      <c r="I77" s="823"/>
      <c r="J77" s="823"/>
      <c r="K77" s="823"/>
      <c r="L77" s="823"/>
      <c r="M77" s="823"/>
      <c r="N77" s="823"/>
      <c r="O77" s="823"/>
      <c r="P77" s="823"/>
    </row>
    <row r="78" spans="3:16">
      <c r="J78" s="823"/>
      <c r="K78" s="823"/>
    </row>
    <row r="79" spans="3:16">
      <c r="J79" s="823"/>
      <c r="K79" s="823"/>
    </row>
    <row r="80" spans="3:16">
      <c r="G80" s="823"/>
      <c r="I80" s="823"/>
      <c r="J80" s="823"/>
      <c r="K80" s="823"/>
    </row>
    <row r="81" spans="1:25">
      <c r="A81" s="822"/>
      <c r="C81" s="823"/>
      <c r="D81" s="823"/>
      <c r="E81" s="823"/>
      <c r="F81" s="823"/>
      <c r="G81" s="823"/>
      <c r="H81" s="823"/>
      <c r="I81" s="823"/>
      <c r="J81" s="823"/>
      <c r="K81" s="823"/>
      <c r="L81" s="823"/>
      <c r="M81" s="823"/>
      <c r="N81" s="823"/>
      <c r="O81" s="823"/>
      <c r="P81" s="823"/>
    </row>
    <row r="82" spans="1:25">
      <c r="A82" s="97"/>
      <c r="B82" s="97"/>
      <c r="C82" s="888"/>
      <c r="D82" s="888"/>
      <c r="E82" s="888"/>
      <c r="F82" s="888"/>
      <c r="G82" s="888"/>
      <c r="H82" s="888"/>
      <c r="I82" s="888"/>
      <c r="J82" s="888"/>
      <c r="K82" s="888"/>
      <c r="L82" s="888"/>
      <c r="M82" s="888"/>
      <c r="N82" s="888"/>
      <c r="O82" s="888"/>
      <c r="P82" s="888"/>
      <c r="Q82" s="97"/>
      <c r="R82" s="97"/>
      <c r="S82" s="97"/>
      <c r="T82" s="97"/>
      <c r="U82" s="97"/>
      <c r="V82" s="97"/>
      <c r="W82" s="97"/>
      <c r="X82" s="97"/>
      <c r="Y82" s="97"/>
    </row>
    <row r="83" spans="1:25">
      <c r="A83" s="97"/>
      <c r="B83" s="97"/>
      <c r="C83" s="888"/>
      <c r="D83" s="888"/>
      <c r="E83" s="888"/>
      <c r="F83" s="888"/>
      <c r="G83" s="888"/>
      <c r="H83" s="888"/>
      <c r="I83" s="888"/>
      <c r="J83" s="888"/>
      <c r="K83" s="888"/>
      <c r="L83" s="888"/>
      <c r="M83" s="888"/>
      <c r="N83" s="888"/>
      <c r="O83" s="888"/>
      <c r="P83" s="888"/>
      <c r="Q83" s="97"/>
      <c r="R83" s="97"/>
      <c r="S83" s="97"/>
      <c r="T83" s="97"/>
      <c r="U83" s="97"/>
      <c r="V83" s="97"/>
      <c r="W83" s="97"/>
      <c r="X83" s="97"/>
      <c r="Y83" s="97"/>
    </row>
    <row r="84" spans="1:25">
      <c r="A84" s="97"/>
      <c r="B84" s="97"/>
      <c r="C84" s="888"/>
      <c r="D84" s="888"/>
      <c r="E84" s="888"/>
      <c r="F84" s="888"/>
      <c r="G84" s="888"/>
      <c r="H84" s="888"/>
      <c r="I84" s="888"/>
      <c r="J84" s="888"/>
      <c r="K84" s="888"/>
      <c r="L84" s="888"/>
      <c r="M84" s="888"/>
      <c r="N84" s="888"/>
      <c r="O84" s="888"/>
      <c r="P84" s="888"/>
      <c r="Q84" s="97"/>
      <c r="R84" s="97"/>
      <c r="S84" s="97"/>
      <c r="T84" s="97"/>
      <c r="U84" s="97"/>
      <c r="V84" s="97"/>
      <c r="W84" s="97"/>
      <c r="X84" s="97"/>
      <c r="Y84" s="97"/>
    </row>
    <row r="85" spans="1:25">
      <c r="A85" s="97"/>
      <c r="B85" s="97"/>
      <c r="C85" s="888"/>
      <c r="D85" s="888"/>
      <c r="E85" s="888"/>
      <c r="F85" s="888"/>
      <c r="G85" s="888"/>
      <c r="H85" s="888"/>
      <c r="I85" s="888"/>
      <c r="J85" s="888"/>
      <c r="K85" s="888"/>
      <c r="L85" s="888"/>
      <c r="M85" s="888"/>
      <c r="N85" s="888"/>
      <c r="O85" s="888"/>
      <c r="P85" s="888"/>
      <c r="Q85" s="97"/>
      <c r="R85" s="97"/>
      <c r="S85" s="97"/>
      <c r="T85" s="97"/>
      <c r="U85" s="97"/>
      <c r="V85" s="97"/>
      <c r="W85" s="97"/>
      <c r="X85" s="97"/>
      <c r="Y85" s="97"/>
    </row>
    <row r="86" spans="1:25">
      <c r="A86" s="97"/>
      <c r="B86" s="97"/>
      <c r="C86" s="888"/>
      <c r="D86" s="888"/>
      <c r="E86" s="888"/>
      <c r="F86" s="888"/>
      <c r="G86" s="888"/>
      <c r="H86" s="888"/>
      <c r="I86" s="888"/>
      <c r="J86" s="888"/>
      <c r="K86" s="888"/>
      <c r="L86" s="888"/>
      <c r="M86" s="888"/>
      <c r="N86" s="888"/>
      <c r="O86" s="888"/>
      <c r="P86" s="888"/>
      <c r="Q86" s="97"/>
      <c r="R86" s="97"/>
      <c r="S86" s="97"/>
      <c r="T86" s="97"/>
      <c r="U86" s="97"/>
      <c r="V86" s="97"/>
      <c r="W86" s="97"/>
      <c r="X86" s="97"/>
      <c r="Y86" s="97"/>
    </row>
    <row r="87" spans="1:25">
      <c r="A87" s="97"/>
      <c r="B87" s="97"/>
      <c r="C87" s="888"/>
      <c r="D87" s="888"/>
      <c r="E87" s="888"/>
      <c r="F87" s="888"/>
      <c r="G87" s="888"/>
      <c r="H87" s="888"/>
      <c r="I87" s="888"/>
      <c r="J87" s="888"/>
      <c r="K87" s="888"/>
      <c r="L87" s="888"/>
      <c r="M87" s="888"/>
      <c r="N87" s="888"/>
      <c r="O87" s="888"/>
      <c r="P87" s="888"/>
      <c r="Q87" s="97"/>
      <c r="R87" s="97"/>
      <c r="S87" s="97"/>
      <c r="T87" s="97"/>
      <c r="U87" s="97"/>
      <c r="V87" s="97"/>
      <c r="W87" s="97"/>
      <c r="X87" s="97"/>
      <c r="Y87" s="97"/>
    </row>
    <row r="88" spans="1:25">
      <c r="A88" s="97"/>
      <c r="B88" s="97"/>
      <c r="C88" s="888"/>
      <c r="D88" s="888"/>
      <c r="E88" s="888"/>
      <c r="F88" s="888"/>
      <c r="G88" s="888"/>
      <c r="H88" s="888"/>
      <c r="I88" s="888"/>
      <c r="J88" s="888"/>
      <c r="K88" s="888"/>
      <c r="L88" s="888"/>
      <c r="M88" s="888"/>
      <c r="N88" s="888"/>
      <c r="O88" s="888"/>
      <c r="P88" s="888"/>
      <c r="Q88" s="97"/>
      <c r="R88" s="97"/>
      <c r="S88" s="97"/>
      <c r="T88" s="97"/>
      <c r="U88" s="97"/>
      <c r="V88" s="97"/>
      <c r="W88" s="97"/>
      <c r="X88" s="97"/>
      <c r="Y88" s="97"/>
    </row>
    <row r="89" spans="1:25">
      <c r="A89" s="97"/>
      <c r="B89" s="97"/>
      <c r="C89" s="888"/>
      <c r="D89" s="888"/>
      <c r="E89" s="888"/>
      <c r="F89" s="888"/>
      <c r="G89" s="888"/>
      <c r="H89" s="888"/>
      <c r="I89" s="888"/>
      <c r="J89" s="888"/>
      <c r="K89" s="888"/>
      <c r="L89" s="888"/>
      <c r="M89" s="888"/>
      <c r="N89" s="888"/>
      <c r="O89" s="888"/>
      <c r="P89" s="888"/>
      <c r="Q89" s="97"/>
      <c r="R89" s="97"/>
      <c r="S89" s="97"/>
      <c r="T89" s="97"/>
      <c r="U89" s="97"/>
      <c r="V89" s="97"/>
      <c r="W89" s="97"/>
      <c r="X89" s="97"/>
      <c r="Y89" s="97"/>
    </row>
    <row r="90" spans="1:25">
      <c r="A90" s="97"/>
      <c r="B90" s="97"/>
      <c r="C90" s="888"/>
      <c r="D90" s="888"/>
      <c r="E90" s="888"/>
      <c r="F90" s="888"/>
      <c r="G90" s="888"/>
      <c r="H90" s="888"/>
      <c r="I90" s="888"/>
      <c r="J90" s="888"/>
      <c r="K90" s="888"/>
      <c r="L90" s="888"/>
      <c r="M90" s="888"/>
      <c r="N90" s="888"/>
      <c r="O90" s="888"/>
      <c r="P90" s="888"/>
      <c r="Q90" s="97"/>
      <c r="R90" s="97"/>
      <c r="S90" s="97"/>
      <c r="T90" s="97"/>
      <c r="U90" s="97"/>
      <c r="V90" s="97"/>
      <c r="W90" s="97"/>
      <c r="X90" s="97"/>
      <c r="Y90" s="97"/>
    </row>
    <row r="91" spans="1:25">
      <c r="A91" s="97"/>
      <c r="B91" s="97"/>
      <c r="C91" s="888"/>
      <c r="D91" s="888"/>
      <c r="E91" s="888"/>
      <c r="F91" s="888"/>
      <c r="G91" s="888"/>
      <c r="H91" s="888"/>
      <c r="I91" s="888"/>
      <c r="J91" s="888"/>
      <c r="K91" s="888"/>
      <c r="L91" s="888"/>
      <c r="M91" s="888"/>
      <c r="N91" s="888"/>
      <c r="O91" s="888"/>
      <c r="P91" s="888"/>
      <c r="Q91" s="97"/>
      <c r="R91" s="97"/>
      <c r="S91" s="97"/>
      <c r="T91" s="97"/>
      <c r="U91" s="97"/>
      <c r="V91" s="97"/>
      <c r="W91" s="97"/>
      <c r="X91" s="97"/>
      <c r="Y91" s="97"/>
    </row>
    <row r="92" spans="1:25">
      <c r="A92" s="97"/>
      <c r="B92" s="97"/>
      <c r="C92" s="888"/>
      <c r="D92" s="888"/>
      <c r="E92" s="888"/>
      <c r="F92" s="888"/>
      <c r="G92" s="888"/>
      <c r="H92" s="888"/>
      <c r="I92" s="888"/>
      <c r="J92" s="888"/>
      <c r="K92" s="888"/>
      <c r="L92" s="888"/>
      <c r="M92" s="888"/>
      <c r="N92" s="888"/>
      <c r="O92" s="888"/>
      <c r="P92" s="888"/>
      <c r="Q92" s="97"/>
      <c r="R92" s="97"/>
      <c r="S92" s="97"/>
      <c r="T92" s="97"/>
      <c r="U92" s="97"/>
      <c r="V92" s="97"/>
      <c r="W92" s="97"/>
      <c r="X92" s="97"/>
      <c r="Y92" s="97"/>
    </row>
    <row r="93" spans="1:25">
      <c r="A93" s="97"/>
      <c r="B93" s="97"/>
      <c r="C93" s="888"/>
      <c r="D93" s="888"/>
      <c r="E93" s="888"/>
      <c r="F93" s="888"/>
      <c r="G93" s="888"/>
      <c r="H93" s="888"/>
      <c r="I93" s="888"/>
      <c r="J93" s="888"/>
      <c r="K93" s="888"/>
      <c r="L93" s="888"/>
      <c r="M93" s="888"/>
      <c r="N93" s="888"/>
      <c r="O93" s="888"/>
      <c r="P93" s="888"/>
      <c r="Q93" s="97"/>
      <c r="R93" s="97"/>
      <c r="S93" s="97"/>
      <c r="T93" s="97"/>
      <c r="U93" s="97"/>
      <c r="V93" s="97"/>
      <c r="W93" s="97"/>
      <c r="X93" s="97"/>
      <c r="Y93" s="97"/>
    </row>
    <row r="94" spans="1:25">
      <c r="A94" s="97"/>
      <c r="B94" s="97"/>
      <c r="C94" s="888"/>
      <c r="D94" s="888"/>
      <c r="E94" s="888"/>
      <c r="F94" s="888"/>
      <c r="G94" s="888"/>
      <c r="H94" s="888"/>
      <c r="I94" s="888"/>
      <c r="J94" s="888"/>
      <c r="K94" s="888"/>
      <c r="L94" s="888"/>
      <c r="M94" s="888"/>
      <c r="N94" s="888"/>
      <c r="O94" s="888"/>
      <c r="P94" s="888"/>
      <c r="Q94" s="97"/>
      <c r="R94" s="97"/>
      <c r="S94" s="97"/>
      <c r="T94" s="97"/>
      <c r="U94" s="97"/>
      <c r="V94" s="97"/>
      <c r="W94" s="97"/>
      <c r="X94" s="97"/>
      <c r="Y94" s="97"/>
    </row>
    <row r="95" spans="1:25">
      <c r="A95" s="97"/>
      <c r="B95" s="97"/>
      <c r="C95" s="888"/>
      <c r="D95" s="888"/>
      <c r="E95" s="888"/>
      <c r="F95" s="888"/>
      <c r="G95" s="888"/>
      <c r="H95" s="888"/>
      <c r="I95" s="888"/>
      <c r="J95" s="888"/>
      <c r="K95" s="888"/>
      <c r="L95" s="888"/>
      <c r="M95" s="888"/>
      <c r="N95" s="888"/>
      <c r="O95" s="888"/>
      <c r="P95" s="888"/>
      <c r="Q95" s="97"/>
      <c r="R95" s="97"/>
      <c r="S95" s="97"/>
      <c r="T95" s="97"/>
      <c r="U95" s="97"/>
      <c r="V95" s="97"/>
      <c r="W95" s="97"/>
      <c r="X95" s="97"/>
      <c r="Y95" s="97"/>
    </row>
    <row r="96" spans="1:25">
      <c r="A96" s="97"/>
      <c r="B96" s="97"/>
      <c r="C96" s="888"/>
      <c r="D96" s="888"/>
      <c r="E96" s="888"/>
      <c r="F96" s="888"/>
      <c r="G96" s="888"/>
      <c r="H96" s="888"/>
      <c r="I96" s="888"/>
      <c r="J96" s="888"/>
      <c r="K96" s="888"/>
      <c r="L96" s="888"/>
      <c r="M96" s="888"/>
      <c r="N96" s="888"/>
      <c r="O96" s="888"/>
      <c r="P96" s="888"/>
      <c r="Q96" s="97"/>
      <c r="R96" s="97"/>
      <c r="S96" s="97"/>
      <c r="T96" s="97"/>
      <c r="U96" s="97"/>
      <c r="V96" s="97"/>
      <c r="W96" s="97"/>
      <c r="X96" s="97"/>
      <c r="Y96" s="97"/>
    </row>
    <row r="97" spans="1:25">
      <c r="A97" s="97"/>
      <c r="B97" s="97"/>
      <c r="C97" s="888"/>
      <c r="D97" s="888"/>
      <c r="E97" s="888"/>
      <c r="F97" s="888"/>
      <c r="G97" s="888"/>
      <c r="H97" s="888"/>
      <c r="I97" s="888"/>
      <c r="J97" s="888"/>
      <c r="K97" s="888"/>
      <c r="L97" s="888"/>
      <c r="M97" s="888"/>
      <c r="N97" s="888"/>
      <c r="O97" s="888"/>
      <c r="P97" s="888"/>
      <c r="Q97" s="97"/>
      <c r="R97" s="97"/>
      <c r="S97" s="97"/>
      <c r="T97" s="97"/>
      <c r="U97" s="97"/>
      <c r="V97" s="97"/>
      <c r="W97" s="97"/>
      <c r="X97" s="97"/>
      <c r="Y97" s="97"/>
    </row>
    <row r="98" spans="1:25">
      <c r="A98" s="97"/>
      <c r="B98" s="97"/>
      <c r="C98" s="888"/>
      <c r="D98" s="888"/>
      <c r="E98" s="888"/>
      <c r="F98" s="888"/>
      <c r="G98" s="888"/>
      <c r="H98" s="888"/>
      <c r="I98" s="888"/>
      <c r="J98" s="888"/>
      <c r="K98" s="888"/>
      <c r="L98" s="888"/>
      <c r="M98" s="888"/>
      <c r="N98" s="888"/>
      <c r="O98" s="888"/>
      <c r="P98" s="888"/>
      <c r="Q98" s="97"/>
      <c r="R98" s="97"/>
      <c r="S98" s="97"/>
      <c r="T98" s="97"/>
      <c r="U98" s="97"/>
      <c r="V98" s="97"/>
      <c r="W98" s="97"/>
      <c r="X98" s="97"/>
      <c r="Y98" s="97"/>
    </row>
    <row r="99" spans="1:25">
      <c r="A99" s="97"/>
      <c r="B99" s="97"/>
      <c r="C99" s="888"/>
      <c r="D99" s="888"/>
      <c r="E99" s="888"/>
      <c r="F99" s="888"/>
      <c r="G99" s="888"/>
      <c r="H99" s="888"/>
      <c r="I99" s="888"/>
      <c r="J99" s="888"/>
      <c r="K99" s="888"/>
      <c r="L99" s="888"/>
      <c r="M99" s="888"/>
      <c r="N99" s="888"/>
      <c r="O99" s="888"/>
      <c r="P99" s="888"/>
      <c r="Q99" s="97"/>
      <c r="R99" s="97"/>
      <c r="S99" s="97"/>
      <c r="T99" s="97"/>
      <c r="U99" s="97"/>
      <c r="V99" s="97"/>
      <c r="W99" s="97"/>
      <c r="X99" s="97"/>
      <c r="Y99" s="97"/>
    </row>
    <row r="100" spans="1: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row>
    <row r="101" spans="1: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row>
    <row r="102" spans="1: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row>
    <row r="103" spans="1:25" ht="15.75">
      <c r="A103" s="97"/>
      <c r="B103" s="97"/>
      <c r="C103" s="372"/>
      <c r="D103" s="655"/>
      <c r="E103" s="655"/>
      <c r="F103" s="655"/>
      <c r="G103" s="898"/>
      <c r="H103" s="655"/>
      <c r="I103" s="654"/>
      <c r="J103" s="653"/>
      <c r="K103" s="653"/>
      <c r="L103" s="653"/>
      <c r="M103" s="831"/>
      <c r="N103" s="97"/>
      <c r="O103" s="97"/>
      <c r="P103" s="97"/>
      <c r="Q103" s="97"/>
      <c r="R103" s="97"/>
      <c r="S103" s="97"/>
      <c r="T103" s="97"/>
      <c r="U103" s="97"/>
      <c r="V103" s="97"/>
      <c r="W103" s="97"/>
      <c r="X103" s="97"/>
      <c r="Y103" s="97"/>
    </row>
    <row r="104" spans="1:25" ht="15.75">
      <c r="A104" s="97"/>
      <c r="B104" s="97"/>
      <c r="C104" s="373"/>
      <c r="D104" s="23"/>
      <c r="E104" s="69"/>
      <c r="F104" s="69"/>
      <c r="G104" s="899"/>
      <c r="H104" s="651"/>
      <c r="I104" s="343"/>
      <c r="J104" s="342"/>
      <c r="K104" s="668"/>
      <c r="L104" s="88"/>
      <c r="M104" s="88"/>
      <c r="N104" s="97"/>
      <c r="O104" s="97"/>
      <c r="P104" s="97"/>
      <c r="Q104" s="97"/>
      <c r="R104" s="97"/>
      <c r="S104" s="97"/>
      <c r="T104" s="97"/>
      <c r="U104" s="97"/>
      <c r="V104" s="97"/>
      <c r="W104" s="97"/>
      <c r="X104" s="97"/>
      <c r="Y104" s="97"/>
    </row>
    <row r="105" spans="1:25" ht="15.75">
      <c r="A105" s="888"/>
      <c r="B105" s="97"/>
      <c r="C105" s="427"/>
      <c r="D105" s="100"/>
      <c r="E105" s="832"/>
      <c r="F105" s="673"/>
      <c r="G105" s="899"/>
      <c r="H105" s="393"/>
      <c r="I105" s="328"/>
      <c r="J105" s="393"/>
      <c r="K105" s="25"/>
      <c r="L105" s="328"/>
      <c r="M105" s="88"/>
      <c r="N105" s="97"/>
      <c r="O105" s="97"/>
      <c r="P105" s="97"/>
      <c r="Q105" s="97"/>
      <c r="R105" s="97"/>
      <c r="S105" s="97"/>
      <c r="T105" s="97"/>
      <c r="U105" s="97"/>
      <c r="V105" s="97"/>
      <c r="W105" s="97"/>
      <c r="X105" s="97"/>
      <c r="Y105" s="97"/>
    </row>
    <row r="106" spans="1:25" ht="15.75">
      <c r="A106" s="888"/>
      <c r="B106" s="97"/>
      <c r="C106" s="411"/>
      <c r="D106" s="711"/>
      <c r="E106" s="711"/>
      <c r="F106" s="711"/>
      <c r="G106" s="652"/>
      <c r="H106" s="711"/>
      <c r="I106" s="711"/>
      <c r="J106" s="711"/>
      <c r="K106" s="711"/>
      <c r="L106" s="711"/>
      <c r="M106" s="728"/>
      <c r="N106" s="97"/>
      <c r="O106" s="97"/>
      <c r="P106" s="97"/>
      <c r="Q106" s="97"/>
      <c r="R106" s="97"/>
      <c r="S106" s="97"/>
      <c r="T106" s="97"/>
      <c r="U106" s="97"/>
      <c r="V106" s="97"/>
      <c r="W106" s="97"/>
      <c r="X106" s="97"/>
      <c r="Y106" s="97"/>
    </row>
    <row r="107" spans="1:25" ht="15.75">
      <c r="A107" s="888"/>
      <c r="B107" s="97"/>
      <c r="C107" s="411"/>
      <c r="D107" s="900"/>
      <c r="E107" s="711"/>
      <c r="F107" s="711"/>
      <c r="G107" s="652"/>
      <c r="H107" s="711"/>
      <c r="I107" s="711"/>
      <c r="J107" s="711"/>
      <c r="K107" s="711"/>
      <c r="L107" s="711"/>
      <c r="M107" s="728"/>
      <c r="N107" s="97"/>
      <c r="O107" s="97"/>
      <c r="P107" s="97"/>
      <c r="Q107" s="97"/>
      <c r="R107" s="97"/>
      <c r="S107" s="97"/>
      <c r="T107" s="97"/>
      <c r="U107" s="97"/>
      <c r="V107" s="97"/>
      <c r="W107" s="97"/>
      <c r="X107" s="97"/>
      <c r="Y107" s="97"/>
    </row>
    <row r="108" spans="1:25" ht="15.75">
      <c r="A108" s="888"/>
      <c r="B108" s="97"/>
      <c r="C108" s="411"/>
      <c r="D108" s="901"/>
      <c r="E108" s="711"/>
      <c r="F108" s="711"/>
      <c r="G108" s="652"/>
      <c r="H108" s="711"/>
      <c r="I108" s="711"/>
      <c r="J108" s="711"/>
      <c r="K108" s="711"/>
      <c r="L108" s="711"/>
      <c r="M108" s="728"/>
      <c r="N108" s="97"/>
      <c r="O108" s="97"/>
      <c r="P108" s="97"/>
      <c r="Q108" s="97"/>
      <c r="R108" s="97"/>
      <c r="S108" s="97"/>
      <c r="T108" s="97"/>
      <c r="U108" s="97"/>
      <c r="V108" s="97"/>
      <c r="W108" s="97"/>
      <c r="X108" s="97"/>
      <c r="Y108" s="97"/>
    </row>
    <row r="109" spans="1:25" ht="15.75">
      <c r="A109" s="888"/>
      <c r="B109" s="97"/>
      <c r="C109" s="411"/>
      <c r="D109" s="900"/>
      <c r="E109" s="711"/>
      <c r="F109" s="711"/>
      <c r="G109" s="652"/>
      <c r="H109" s="711"/>
      <c r="I109" s="711"/>
      <c r="J109" s="711"/>
      <c r="K109" s="711"/>
      <c r="L109" s="711"/>
      <c r="M109" s="728"/>
      <c r="N109" s="97"/>
      <c r="O109" s="97"/>
      <c r="P109" s="97"/>
      <c r="Q109" s="97"/>
      <c r="R109" s="97"/>
      <c r="S109" s="97"/>
      <c r="T109" s="97"/>
      <c r="U109" s="97"/>
      <c r="V109" s="97"/>
      <c r="W109" s="97"/>
      <c r="X109" s="97"/>
      <c r="Y109" s="97"/>
    </row>
    <row r="110" spans="1:25" ht="15.75">
      <c r="A110" s="888"/>
      <c r="B110" s="97"/>
      <c r="C110" s="411"/>
      <c r="D110" s="900"/>
      <c r="E110" s="711"/>
      <c r="F110" s="711"/>
      <c r="G110" s="652"/>
      <c r="H110" s="711"/>
      <c r="I110" s="711"/>
      <c r="J110" s="711"/>
      <c r="K110" s="711"/>
      <c r="L110" s="711"/>
      <c r="M110" s="728"/>
      <c r="N110" s="97"/>
      <c r="O110" s="97"/>
      <c r="P110" s="97"/>
      <c r="Q110" s="97"/>
      <c r="R110" s="97"/>
      <c r="S110" s="97"/>
      <c r="T110" s="97"/>
      <c r="U110" s="97"/>
      <c r="V110" s="97"/>
      <c r="W110" s="97"/>
      <c r="X110" s="97"/>
      <c r="Y110" s="97"/>
    </row>
    <row r="111" spans="1:25" ht="15.75">
      <c r="A111" s="888"/>
      <c r="B111" s="97"/>
      <c r="C111" s="411"/>
      <c r="D111" s="900"/>
      <c r="E111" s="711"/>
      <c r="F111" s="711"/>
      <c r="G111" s="652"/>
      <c r="H111" s="711"/>
      <c r="I111" s="711"/>
      <c r="J111" s="711"/>
      <c r="K111" s="711"/>
      <c r="L111" s="711"/>
      <c r="M111" s="728"/>
      <c r="N111" s="97"/>
      <c r="O111" s="97"/>
      <c r="P111" s="97"/>
      <c r="Q111" s="97"/>
      <c r="R111" s="97"/>
      <c r="S111" s="97"/>
      <c r="T111" s="97"/>
      <c r="U111" s="97"/>
      <c r="V111" s="97"/>
      <c r="W111" s="97"/>
      <c r="X111" s="97"/>
      <c r="Y111" s="97"/>
    </row>
    <row r="112" spans="1:25" ht="15.75">
      <c r="A112" s="888"/>
      <c r="B112" s="97"/>
      <c r="C112" s="411"/>
      <c r="D112" s="711"/>
      <c r="E112" s="711"/>
      <c r="F112" s="711"/>
      <c r="G112" s="652"/>
      <c r="H112" s="711"/>
      <c r="I112" s="711"/>
      <c r="J112" s="711"/>
      <c r="K112" s="711"/>
      <c r="L112" s="711"/>
      <c r="M112" s="728"/>
      <c r="N112" s="97"/>
      <c r="O112" s="97"/>
      <c r="P112" s="97"/>
      <c r="Q112" s="97"/>
      <c r="R112" s="97"/>
      <c r="S112" s="97"/>
      <c r="T112" s="97"/>
      <c r="U112" s="97"/>
      <c r="V112" s="97"/>
      <c r="W112" s="97"/>
      <c r="X112" s="97"/>
      <c r="Y112" s="97"/>
    </row>
    <row r="113" spans="1:25" ht="15.75">
      <c r="A113" s="888"/>
      <c r="B113" s="97"/>
      <c r="C113" s="411"/>
      <c r="D113" s="711"/>
      <c r="E113" s="711"/>
      <c r="F113" s="711"/>
      <c r="G113" s="652"/>
      <c r="H113" s="711"/>
      <c r="I113" s="711"/>
      <c r="J113" s="711"/>
      <c r="K113" s="711"/>
      <c r="L113" s="711"/>
      <c r="M113" s="728"/>
      <c r="N113" s="97"/>
      <c r="O113" s="97"/>
      <c r="P113" s="97"/>
      <c r="Q113" s="97"/>
      <c r="R113" s="97"/>
      <c r="S113" s="97"/>
      <c r="T113" s="97"/>
      <c r="U113" s="97"/>
      <c r="V113" s="97"/>
      <c r="W113" s="97"/>
      <c r="X113" s="97"/>
      <c r="Y113" s="97"/>
    </row>
    <row r="114" spans="1:25" ht="15.75">
      <c r="A114" s="888"/>
      <c r="B114" s="97"/>
      <c r="C114" s="411"/>
      <c r="D114" s="901"/>
      <c r="E114" s="711"/>
      <c r="F114" s="711"/>
      <c r="G114" s="652"/>
      <c r="H114" s="711"/>
      <c r="I114" s="711"/>
      <c r="J114" s="711"/>
      <c r="K114" s="711"/>
      <c r="L114" s="711"/>
      <c r="M114" s="728"/>
      <c r="N114" s="97"/>
      <c r="O114" s="97"/>
      <c r="P114" s="97"/>
      <c r="Q114" s="97"/>
      <c r="R114" s="97"/>
      <c r="S114" s="97"/>
      <c r="T114" s="97"/>
      <c r="U114" s="97"/>
      <c r="V114" s="97"/>
      <c r="W114" s="97"/>
      <c r="X114" s="97"/>
      <c r="Y114" s="97"/>
    </row>
    <row r="115" spans="1:25" ht="15.75">
      <c r="A115" s="888"/>
      <c r="B115" s="97"/>
      <c r="C115" s="411"/>
      <c r="D115" s="711"/>
      <c r="E115" s="711"/>
      <c r="F115" s="711"/>
      <c r="G115" s="652"/>
      <c r="H115" s="711"/>
      <c r="I115" s="711"/>
      <c r="J115" s="711"/>
      <c r="K115" s="711"/>
      <c r="L115" s="711"/>
      <c r="M115" s="728"/>
      <c r="N115" s="97"/>
      <c r="O115" s="97"/>
      <c r="P115" s="97"/>
      <c r="Q115" s="97"/>
      <c r="R115" s="97"/>
      <c r="S115" s="97"/>
      <c r="T115" s="97"/>
      <c r="U115" s="97"/>
      <c r="V115" s="97"/>
      <c r="W115" s="97"/>
      <c r="X115" s="97"/>
      <c r="Y115" s="97"/>
    </row>
    <row r="116" spans="1:25" ht="15.75">
      <c r="A116" s="888"/>
      <c r="B116" s="97"/>
      <c r="C116" s="411"/>
      <c r="D116" s="711"/>
      <c r="E116" s="711"/>
      <c r="F116" s="711"/>
      <c r="G116" s="652"/>
      <c r="H116" s="711"/>
      <c r="I116" s="711"/>
      <c r="J116" s="711"/>
      <c r="K116" s="711"/>
      <c r="L116" s="711"/>
      <c r="M116" s="728"/>
      <c r="N116" s="97"/>
      <c r="O116" s="97"/>
      <c r="P116" s="97"/>
      <c r="Q116" s="97"/>
      <c r="R116" s="97"/>
      <c r="S116" s="97"/>
      <c r="T116" s="97"/>
      <c r="U116" s="97"/>
      <c r="V116" s="97"/>
      <c r="W116" s="97"/>
      <c r="X116" s="97"/>
      <c r="Y116" s="97"/>
    </row>
    <row r="117" spans="1:25" ht="15.75">
      <c r="A117" s="888"/>
      <c r="B117" s="97"/>
      <c r="C117" s="411"/>
      <c r="D117" s="833"/>
      <c r="E117" s="833"/>
      <c r="F117" s="833"/>
      <c r="G117" s="652"/>
      <c r="H117" s="833"/>
      <c r="I117" s="833"/>
      <c r="J117" s="833"/>
      <c r="K117" s="833"/>
      <c r="L117" s="833"/>
      <c r="M117" s="728"/>
      <c r="N117" s="97"/>
      <c r="O117" s="97"/>
      <c r="P117" s="97"/>
      <c r="Q117" s="97"/>
      <c r="R117" s="97"/>
      <c r="S117" s="97"/>
      <c r="T117" s="97"/>
      <c r="U117" s="97"/>
      <c r="V117" s="97"/>
      <c r="W117" s="97"/>
      <c r="X117" s="97"/>
      <c r="Y117" s="97"/>
    </row>
    <row r="118" spans="1:25" ht="15.75">
      <c r="A118" s="97"/>
      <c r="B118" s="97"/>
      <c r="C118" s="411"/>
      <c r="D118" s="902"/>
      <c r="E118" s="727"/>
      <c r="F118" s="727"/>
      <c r="G118" s="727"/>
      <c r="H118" s="656"/>
      <c r="I118" s="652"/>
      <c r="J118" s="657"/>
      <c r="K118" s="728"/>
      <c r="L118" s="728"/>
      <c r="M118" s="728"/>
      <c r="N118" s="97"/>
      <c r="O118" s="97"/>
      <c r="P118" s="97"/>
      <c r="Q118" s="97"/>
      <c r="R118" s="97"/>
      <c r="S118" s="97"/>
      <c r="T118" s="97"/>
      <c r="U118" s="97"/>
      <c r="V118" s="97"/>
      <c r="W118" s="97"/>
      <c r="X118" s="97"/>
      <c r="Y118" s="97"/>
    </row>
    <row r="119" spans="1:25" ht="15.75">
      <c r="A119" s="727"/>
      <c r="B119" s="97"/>
      <c r="C119" s="411"/>
      <c r="D119" s="727"/>
      <c r="E119" s="727"/>
      <c r="F119" s="727"/>
      <c r="G119" s="727"/>
      <c r="H119" s="727"/>
      <c r="I119" s="727"/>
      <c r="J119" s="727"/>
      <c r="K119" s="727"/>
      <c r="L119" s="727"/>
      <c r="M119" s="727"/>
      <c r="N119" s="97"/>
      <c r="O119" s="97"/>
      <c r="P119" s="97"/>
      <c r="Q119" s="97"/>
      <c r="R119" s="97"/>
      <c r="S119" s="97"/>
      <c r="T119" s="97"/>
      <c r="U119" s="97"/>
      <c r="V119" s="97"/>
      <c r="W119" s="97"/>
      <c r="X119" s="97"/>
      <c r="Y119" s="97"/>
    </row>
    <row r="120" spans="1:25">
      <c r="A120" s="72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row>
    <row r="121" spans="1: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row>
    <row r="122" spans="1: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row>
    <row r="123" spans="1: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row>
    <row r="124" spans="1: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row>
  </sheetData>
  <phoneticPr fontId="73" type="noConversion"/>
  <pageMargins left="0.25" right="0.25" top="0.5" bottom="0.5" header="0.25" footer="0.25"/>
  <pageSetup paperSize="5" scale="6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zoomScaleNormal="100" workbookViewId="0">
      <selection activeCell="A7" sqref="A7"/>
    </sheetView>
  </sheetViews>
  <sheetFormatPr defaultColWidth="8.7109375" defaultRowHeight="12.75"/>
  <cols>
    <col min="1" max="1" width="5.28515625" style="1901" customWidth="1"/>
    <col min="2" max="2" width="33.85546875" style="1901" customWidth="1"/>
    <col min="3" max="3" width="11.28515625" style="1901" customWidth="1"/>
    <col min="4" max="4" width="16" style="1901" customWidth="1"/>
    <col min="5" max="5" width="16.42578125" style="1901" customWidth="1"/>
    <col min="6" max="6" width="19" style="1901" customWidth="1"/>
    <col min="7" max="11" width="15.7109375" style="1901" customWidth="1"/>
    <col min="12" max="12" width="16.7109375" style="1901" customWidth="1"/>
    <col min="13" max="16384" width="8.7109375" style="1901"/>
  </cols>
  <sheetData>
    <row r="1" spans="1:14" ht="18.75">
      <c r="A1" s="1899" t="s">
        <v>1254</v>
      </c>
      <c r="B1" s="1858"/>
      <c r="C1" s="1900"/>
      <c r="D1" s="1900"/>
      <c r="E1" s="1900"/>
      <c r="F1" s="1900"/>
      <c r="G1" s="1900"/>
      <c r="H1" s="1900"/>
      <c r="I1" s="1900"/>
    </row>
    <row r="2" spans="1:14" ht="15.75">
      <c r="A2" s="1902"/>
      <c r="B2" s="1900"/>
      <c r="C2" s="1900"/>
      <c r="D2" s="1900"/>
      <c r="E2" s="1900"/>
      <c r="F2" s="1900"/>
      <c r="G2" s="1900"/>
      <c r="H2" s="1900"/>
      <c r="I2" s="1900"/>
    </row>
    <row r="3" spans="1:14" ht="31.5" customHeight="1">
      <c r="A3" s="2028" t="s">
        <v>1290</v>
      </c>
      <c r="B3" s="2028"/>
      <c r="C3" s="2028"/>
      <c r="D3" s="2028"/>
      <c r="E3" s="2028"/>
      <c r="F3" s="2028"/>
      <c r="G3" s="2028"/>
      <c r="H3" s="2028"/>
      <c r="I3" s="2028"/>
      <c r="J3" s="2028"/>
      <c r="K3" s="2028"/>
      <c r="L3" s="2028"/>
    </row>
    <row r="4" spans="1:14">
      <c r="A4" s="1903"/>
      <c r="B4" s="1904"/>
      <c r="C4" s="1904"/>
      <c r="D4" s="1904"/>
      <c r="E4" s="1904"/>
      <c r="F4" s="1904"/>
      <c r="G4" s="1904"/>
      <c r="H4" s="1904"/>
      <c r="I4" s="1904"/>
      <c r="J4" s="1904"/>
      <c r="K4" s="1904"/>
    </row>
    <row r="5" spans="1:14" ht="14.65" customHeight="1">
      <c r="A5" s="1905" t="s">
        <v>1304</v>
      </c>
      <c r="B5" s="1904"/>
      <c r="C5" s="1904"/>
      <c r="D5" s="1904"/>
      <c r="E5" s="1904"/>
      <c r="F5" s="1904"/>
      <c r="G5" s="1904"/>
      <c r="H5" s="1904"/>
      <c r="I5" s="1904"/>
      <c r="J5" s="1904"/>
      <c r="K5" s="1904"/>
    </row>
    <row r="6" spans="1:14" ht="34.5" customHeight="1">
      <c r="A6" s="2028" t="s">
        <v>1305</v>
      </c>
      <c r="B6" s="2028"/>
      <c r="C6" s="2028"/>
      <c r="D6" s="2028"/>
      <c r="E6" s="2028"/>
      <c r="F6" s="2028"/>
      <c r="G6" s="2028"/>
      <c r="H6" s="2028"/>
      <c r="I6" s="2028"/>
      <c r="J6" s="2028"/>
      <c r="K6" s="2028"/>
      <c r="L6" s="2028"/>
    </row>
    <row r="7" spans="1:14">
      <c r="A7" s="1903"/>
      <c r="B7" s="1948"/>
      <c r="C7" s="1948"/>
      <c r="D7" s="1948"/>
      <c r="E7" s="1948"/>
      <c r="F7" s="1900"/>
      <c r="G7" s="1948"/>
      <c r="H7" s="1948"/>
      <c r="I7" s="1948"/>
      <c r="J7" s="1948"/>
      <c r="K7" s="1948"/>
      <c r="L7" s="1948"/>
      <c r="M7" s="1900"/>
      <c r="N7" s="1900"/>
    </row>
    <row r="8" spans="1:14">
      <c r="A8" s="1903"/>
      <c r="B8" s="1906" t="s">
        <v>263</v>
      </c>
      <c r="C8" s="1906" t="s">
        <v>264</v>
      </c>
      <c r="D8" s="1907" t="s">
        <v>356</v>
      </c>
      <c r="E8" s="1907" t="s">
        <v>265</v>
      </c>
      <c r="F8" s="1907" t="s">
        <v>266</v>
      </c>
      <c r="G8" s="1907" t="s">
        <v>262</v>
      </c>
      <c r="H8" s="1907" t="s">
        <v>355</v>
      </c>
      <c r="I8" s="1907" t="s">
        <v>570</v>
      </c>
      <c r="J8" s="1907" t="s">
        <v>571</v>
      </c>
      <c r="K8" s="1907" t="s">
        <v>963</v>
      </c>
      <c r="L8" s="1907" t="s">
        <v>964</v>
      </c>
      <c r="M8" s="1904"/>
    </row>
    <row r="9" spans="1:14" ht="63.75">
      <c r="A9" s="1908"/>
      <c r="B9" s="1909" t="s">
        <v>1255</v>
      </c>
      <c r="C9" s="1910" t="s">
        <v>1306</v>
      </c>
      <c r="D9" s="1911" t="s">
        <v>1307</v>
      </c>
      <c r="E9" s="1910" t="s">
        <v>1308</v>
      </c>
      <c r="F9" s="1910" t="s">
        <v>1256</v>
      </c>
      <c r="G9" s="1910" t="s">
        <v>1291</v>
      </c>
      <c r="H9" s="1910" t="s">
        <v>1292</v>
      </c>
      <c r="I9" s="1911" t="s">
        <v>1293</v>
      </c>
      <c r="J9" s="1871" t="s">
        <v>1352</v>
      </c>
      <c r="K9" s="1871" t="s">
        <v>1342</v>
      </c>
      <c r="L9" s="1871" t="s">
        <v>1343</v>
      </c>
    </row>
    <row r="10" spans="1:14">
      <c r="A10" s="1912"/>
      <c r="B10" s="1900"/>
      <c r="C10" s="1900"/>
      <c r="D10" s="1900"/>
      <c r="E10" s="1900"/>
      <c r="F10" s="1900"/>
      <c r="G10" s="1913"/>
      <c r="H10" s="1913"/>
      <c r="I10" s="1914"/>
      <c r="J10"/>
      <c r="K10"/>
      <c r="L10"/>
    </row>
    <row r="11" spans="1:14">
      <c r="A11" s="1912">
        <v>1</v>
      </c>
      <c r="B11" s="1900" t="s">
        <v>1251</v>
      </c>
      <c r="C11" s="1912">
        <v>282</v>
      </c>
      <c r="D11" s="1912">
        <v>254</v>
      </c>
      <c r="E11" s="1912">
        <v>411.1</v>
      </c>
      <c r="F11" s="1915" t="s">
        <v>1266</v>
      </c>
      <c r="G11" s="1916">
        <v>-1351358581.5130451</v>
      </c>
      <c r="H11" s="1916">
        <v>-808671362.47831202</v>
      </c>
      <c r="I11" s="1917">
        <v>-542687219.03473306</v>
      </c>
      <c r="J11" s="1918">
        <v>-430626457.63972002</v>
      </c>
      <c r="K11" s="1918">
        <v>29423245.826283872</v>
      </c>
      <c r="L11" s="445">
        <v>-106648955.03901464</v>
      </c>
    </row>
    <row r="12" spans="1:14">
      <c r="A12" s="1912">
        <v>2</v>
      </c>
      <c r="B12" s="1900" t="s">
        <v>1252</v>
      </c>
      <c r="C12" s="1912">
        <v>282</v>
      </c>
      <c r="D12" s="1912">
        <v>254</v>
      </c>
      <c r="E12" s="1912">
        <v>411.1</v>
      </c>
      <c r="F12" s="1915" t="s">
        <v>1266</v>
      </c>
      <c r="G12" s="1916">
        <v>-83085672.230144978</v>
      </c>
      <c r="H12" s="1916">
        <v>-50044547.799883381</v>
      </c>
      <c r="I12" s="1917">
        <v>-33041124.430261597</v>
      </c>
      <c r="J12" s="125">
        <v>-32591677.186542023</v>
      </c>
      <c r="K12" s="1918">
        <v>-6163428.8818379752</v>
      </c>
      <c r="L12" s="445">
        <v>-10301990.220708609</v>
      </c>
    </row>
    <row r="13" spans="1:14">
      <c r="A13" s="1912">
        <v>3</v>
      </c>
      <c r="B13" s="1900" t="s">
        <v>1253</v>
      </c>
      <c r="C13" s="1912">
        <v>190</v>
      </c>
      <c r="D13" s="1912">
        <v>182.3</v>
      </c>
      <c r="E13" s="1912">
        <v>410.1</v>
      </c>
      <c r="F13" s="1919" t="s">
        <v>1294</v>
      </c>
      <c r="G13" s="1920">
        <v>31411462.702959999</v>
      </c>
      <c r="H13" s="1916">
        <v>18846877.621776</v>
      </c>
      <c r="I13" s="1917">
        <v>12564585.081184</v>
      </c>
      <c r="J13" s="125">
        <v>2848214.0594005072</v>
      </c>
      <c r="K13" s="1918">
        <v>-2848214.0594005072</v>
      </c>
      <c r="L13" s="445">
        <v>0</v>
      </c>
    </row>
    <row r="14" spans="1:14">
      <c r="A14" s="1912">
        <v>4</v>
      </c>
      <c r="B14" s="1900" t="s">
        <v>1253</v>
      </c>
      <c r="C14" s="1912">
        <v>283</v>
      </c>
      <c r="D14" s="1912">
        <v>254</v>
      </c>
      <c r="E14" s="1912">
        <v>411.1</v>
      </c>
      <c r="F14" s="1919" t="s">
        <v>1294</v>
      </c>
      <c r="G14" s="1920">
        <v>-121037047.67049998</v>
      </c>
      <c r="H14" s="1916">
        <v>-72622228.602299988</v>
      </c>
      <c r="I14" s="1917">
        <v>-48414819.068199992</v>
      </c>
      <c r="J14" s="125">
        <v>-10974955.994359396</v>
      </c>
      <c r="K14" s="1918">
        <v>10974955.994359396</v>
      </c>
      <c r="L14" s="445">
        <v>0</v>
      </c>
    </row>
    <row r="15" spans="1:14" ht="13.5" thickBot="1">
      <c r="A15" s="1912">
        <v>5</v>
      </c>
      <c r="B15" s="1921" t="s">
        <v>1269</v>
      </c>
      <c r="C15" s="1921"/>
      <c r="D15" s="1921"/>
      <c r="E15" s="1921"/>
      <c r="F15" s="1921"/>
      <c r="G15" s="1922">
        <f t="shared" ref="G15:H15" si="0">SUM(G11:G14)</f>
        <v>-1524069838.7107301</v>
      </c>
      <c r="H15" s="1922">
        <f t="shared" si="0"/>
        <v>-912491261.25871944</v>
      </c>
      <c r="I15" s="1922">
        <f>SUM(I11:I14)</f>
        <v>-611578577.45201063</v>
      </c>
      <c r="J15" s="1922">
        <f>SUM(J11:J14)</f>
        <v>-471344876.76122093</v>
      </c>
      <c r="K15" s="1922">
        <f>SUM(K11:K14)</f>
        <v>31386558.879404787</v>
      </c>
      <c r="L15" s="1922">
        <f>SUM(L11:L14)</f>
        <v>-116950945.25972325</v>
      </c>
    </row>
    <row r="16" spans="1:14" ht="13.5" thickTop="1">
      <c r="A16" s="1912"/>
      <c r="B16" s="1923"/>
      <c r="C16" s="1923"/>
      <c r="D16" s="1923"/>
      <c r="E16" s="1923"/>
      <c r="F16" s="1923"/>
      <c r="G16" s="1923"/>
      <c r="H16" s="1924"/>
      <c r="I16" s="1917"/>
      <c r="J16" s="1917"/>
      <c r="K16" s="1917"/>
    </row>
    <row r="17" spans="1:12">
      <c r="J17" s="1925"/>
    </row>
    <row r="18" spans="1:12">
      <c r="A18" s="1901" t="s">
        <v>405</v>
      </c>
      <c r="B18" s="1926"/>
      <c r="C18" s="1926"/>
      <c r="D18" s="1926"/>
      <c r="E18" s="1926"/>
      <c r="F18" s="1926"/>
      <c r="G18" s="1926"/>
      <c r="H18" s="1926"/>
      <c r="I18" s="1926"/>
    </row>
    <row r="19" spans="1:12" ht="138.75" customHeight="1">
      <c r="A19" s="1927" t="s">
        <v>1219</v>
      </c>
      <c r="B19" s="2027" t="s">
        <v>1309</v>
      </c>
      <c r="C19" s="2027"/>
      <c r="D19" s="2027"/>
      <c r="E19" s="2027"/>
      <c r="F19" s="2027"/>
      <c r="G19" s="2027"/>
      <c r="H19" s="2027"/>
      <c r="I19" s="2027"/>
      <c r="J19" s="2027"/>
      <c r="K19" s="2027"/>
      <c r="L19" s="2027"/>
    </row>
    <row r="20" spans="1:12" ht="27" customHeight="1">
      <c r="A20" s="1927" t="s">
        <v>1220</v>
      </c>
      <c r="B20" s="2027" t="s">
        <v>1267</v>
      </c>
      <c r="C20" s="2027"/>
      <c r="D20" s="2027"/>
      <c r="E20" s="2027"/>
      <c r="F20" s="2027"/>
      <c r="G20" s="2027"/>
      <c r="H20" s="2027"/>
      <c r="I20" s="2027"/>
      <c r="J20" s="2027"/>
      <c r="K20" s="2027"/>
      <c r="L20" s="2027"/>
    </row>
    <row r="21" spans="1:12" ht="12.75" customHeight="1">
      <c r="A21" s="1927" t="s">
        <v>1221</v>
      </c>
      <c r="B21" s="2027" t="s">
        <v>1268</v>
      </c>
      <c r="C21" s="2027"/>
      <c r="D21" s="2027"/>
      <c r="E21" s="2027"/>
      <c r="F21" s="2027"/>
      <c r="G21" s="2027"/>
      <c r="H21" s="2027"/>
      <c r="I21" s="2027"/>
      <c r="J21" s="2027"/>
      <c r="K21" s="2027"/>
      <c r="L21" s="2027"/>
    </row>
    <row r="22" spans="1:12" ht="38.450000000000003" customHeight="1">
      <c r="A22" s="1927" t="s">
        <v>1222</v>
      </c>
      <c r="B22" s="2027" t="s">
        <v>1310</v>
      </c>
      <c r="C22" s="2027"/>
      <c r="D22" s="2027"/>
      <c r="E22" s="2027"/>
      <c r="F22" s="2027"/>
      <c r="G22" s="2027"/>
      <c r="H22" s="2027"/>
      <c r="I22" s="2027"/>
      <c r="J22" s="2027"/>
      <c r="K22" s="2027"/>
      <c r="L22" s="2027"/>
    </row>
    <row r="23" spans="1:12" s="1928" customFormat="1">
      <c r="A23" s="1927" t="s">
        <v>1311</v>
      </c>
      <c r="B23" s="1928" t="s">
        <v>1312</v>
      </c>
      <c r="C23" s="1929"/>
      <c r="D23" s="1929"/>
    </row>
    <row r="24" spans="1:12" s="1928" customFormat="1">
      <c r="A24" s="1930"/>
      <c r="B24" s="1929"/>
      <c r="C24" s="1929"/>
      <c r="D24" s="1929"/>
    </row>
    <row r="25" spans="1:12" s="1928" customFormat="1">
      <c r="B25" s="1931"/>
      <c r="C25" s="1931"/>
      <c r="D25" s="1931"/>
    </row>
    <row r="26" spans="1:12" s="1928" customFormat="1">
      <c r="B26" s="1931"/>
      <c r="C26" s="1931"/>
      <c r="D26" s="1931"/>
    </row>
    <row r="27" spans="1:12" s="1928" customFormat="1">
      <c r="B27" s="1931"/>
      <c r="C27" s="1931"/>
      <c r="D27" s="1931"/>
    </row>
    <row r="28" spans="1:12" s="1928" customFormat="1">
      <c r="B28" s="1931"/>
      <c r="C28" s="1931"/>
      <c r="D28" s="1931"/>
    </row>
    <row r="29" spans="1:12" s="1928" customFormat="1">
      <c r="B29" s="1931"/>
      <c r="C29" s="1931"/>
      <c r="D29" s="1931"/>
    </row>
    <row r="30" spans="1:12" s="1928" customFormat="1">
      <c r="B30" s="1931"/>
      <c r="C30" s="1931"/>
    </row>
  </sheetData>
  <mergeCells count="6">
    <mergeCell ref="B22:L22"/>
    <mergeCell ref="A3:L3"/>
    <mergeCell ref="A6:L6"/>
    <mergeCell ref="B19:L19"/>
    <mergeCell ref="B20:L20"/>
    <mergeCell ref="B21:L21"/>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320"/>
  <sheetViews>
    <sheetView tabSelected="1" zoomScale="50" zoomScaleNormal="50" zoomScaleSheetLayoutView="50" workbookViewId="0">
      <pane ySplit="6" topLeftCell="A245" activePane="bottomLeft" state="frozen"/>
      <selection pane="bottomLeft" activeCell="L245" sqref="L245:L295"/>
    </sheetView>
  </sheetViews>
  <sheetFormatPr defaultColWidth="11.5703125" defaultRowHeight="15"/>
  <cols>
    <col min="1" max="1" width="10" style="5" customWidth="1"/>
    <col min="2" max="2" width="5.28515625" style="5" customWidth="1"/>
    <col min="3" max="3" width="54.42578125" style="31" customWidth="1"/>
    <col min="4" max="4" width="27.28515625" style="12" customWidth="1"/>
    <col min="5" max="5" width="22.7109375" style="12" customWidth="1"/>
    <col min="6" max="6" width="34.5703125" style="12" customWidth="1"/>
    <col min="7" max="7" width="3" customWidth="1"/>
    <col min="8" max="8" width="26.140625" style="12" customWidth="1"/>
    <col min="9" max="9" width="2.42578125" style="12" customWidth="1"/>
    <col min="10" max="10" width="22.7109375" style="12" customWidth="1"/>
    <col min="11" max="11" width="24.7109375" style="424" customWidth="1"/>
    <col min="12" max="12" width="23.28515625" style="12" customWidth="1"/>
    <col min="13" max="13" width="8.28515625" style="15" customWidth="1"/>
    <col min="14" max="14" width="19.5703125" style="12" bestFit="1" customWidth="1"/>
    <col min="15" max="15" width="21" style="12" bestFit="1" customWidth="1"/>
    <col min="16" max="16" width="17.5703125" style="12" bestFit="1" customWidth="1"/>
    <col min="17" max="16384" width="11.5703125" style="12"/>
  </cols>
  <sheetData>
    <row r="1" spans="1:13" ht="23.25" customHeight="1">
      <c r="A1" s="437" t="s">
        <v>863</v>
      </c>
      <c r="C1" s="5"/>
      <c r="K1" s="26"/>
    </row>
    <row r="2" spans="1:13" ht="24" customHeight="1" thickBot="1">
      <c r="A2" s="92"/>
      <c r="C2" s="5"/>
      <c r="J2" s="856"/>
      <c r="K2" s="856"/>
      <c r="L2" s="856"/>
    </row>
    <row r="3" spans="1:13" ht="68.25" customHeight="1">
      <c r="A3" s="803" t="s">
        <v>447</v>
      </c>
      <c r="B3" s="804"/>
      <c r="C3" s="804"/>
      <c r="D3" s="804"/>
      <c r="E3" s="805"/>
      <c r="F3" s="806" t="s">
        <v>162</v>
      </c>
      <c r="H3" s="1056" t="s">
        <v>474</v>
      </c>
      <c r="I3" s="811"/>
      <c r="J3" s="811" t="s">
        <v>974</v>
      </c>
      <c r="K3" s="811" t="s">
        <v>437</v>
      </c>
      <c r="L3" s="812" t="s">
        <v>438</v>
      </c>
      <c r="M3" s="1556"/>
    </row>
    <row r="4" spans="1:13" s="1" customFormat="1" ht="42" customHeight="1" thickBot="1">
      <c r="A4" s="807" t="s">
        <v>1085</v>
      </c>
      <c r="B4" s="808"/>
      <c r="C4" s="808"/>
      <c r="D4" s="808"/>
      <c r="E4" s="809" t="s">
        <v>890</v>
      </c>
      <c r="F4" s="810"/>
      <c r="H4" s="813">
        <v>2023</v>
      </c>
      <c r="I4" s="1057"/>
      <c r="J4" s="814"/>
      <c r="K4" s="814"/>
      <c r="L4" s="815"/>
      <c r="M4" s="77"/>
    </row>
    <row r="5" spans="1:13" s="76" customFormat="1" ht="0.75" customHeight="1">
      <c r="A5" s="94" t="s">
        <v>663</v>
      </c>
      <c r="B5" s="376"/>
      <c r="C5" s="376"/>
      <c r="D5" s="376"/>
      <c r="E5" s="377"/>
      <c r="F5" s="95"/>
      <c r="H5" s="95"/>
      <c r="J5" s="501"/>
      <c r="M5" s="866"/>
    </row>
    <row r="6" spans="1:13" s="15" customFormat="1" ht="15.75" customHeight="1" thickBot="1">
      <c r="A6" s="30" t="s">
        <v>799</v>
      </c>
      <c r="B6" s="29"/>
      <c r="C6" s="40"/>
      <c r="D6" s="40"/>
      <c r="E6" s="378"/>
      <c r="F6" s="41"/>
      <c r="G6" s="45"/>
      <c r="H6" s="46"/>
      <c r="I6" s="45"/>
      <c r="J6" s="911"/>
      <c r="K6" s="45"/>
      <c r="L6" s="45"/>
      <c r="M6" s="867"/>
    </row>
    <row r="7" spans="1:13" s="15" customFormat="1" ht="15.75" customHeight="1">
      <c r="A7" s="943"/>
      <c r="B7" s="944"/>
      <c r="C7" s="944"/>
      <c r="D7" s="944"/>
      <c r="E7" s="945"/>
      <c r="F7" s="1021"/>
      <c r="G7" s="946"/>
      <c r="H7" s="947"/>
      <c r="I7" s="948"/>
      <c r="J7" s="949"/>
      <c r="K7" s="949"/>
      <c r="L7" s="950"/>
      <c r="M7" s="426"/>
    </row>
    <row r="8" spans="1:13" ht="15.75" customHeight="1">
      <c r="A8" s="951"/>
      <c r="B8" s="11" t="s">
        <v>805</v>
      </c>
      <c r="C8" s="21"/>
      <c r="D8" s="21"/>
      <c r="E8" s="382"/>
      <c r="F8" s="1022"/>
      <c r="G8" s="97"/>
      <c r="H8" s="903"/>
      <c r="I8" s="426"/>
      <c r="J8" s="503"/>
      <c r="K8" s="503"/>
      <c r="L8" s="952"/>
      <c r="M8" s="426"/>
    </row>
    <row r="9" spans="1:13" ht="15.75" customHeight="1">
      <c r="A9" s="953">
        <v>1</v>
      </c>
      <c r="B9" s="23"/>
      <c r="C9" s="36" t="s">
        <v>758</v>
      </c>
      <c r="D9" s="954"/>
      <c r="E9" s="74"/>
      <c r="F9" s="1022" t="s">
        <v>604</v>
      </c>
      <c r="G9" s="97"/>
      <c r="H9" s="1434">
        <v>10498560</v>
      </c>
      <c r="I9" s="669"/>
      <c r="J9" s="1435">
        <f>H9</f>
        <v>10498560</v>
      </c>
      <c r="K9" s="1435">
        <v>0</v>
      </c>
      <c r="L9" s="1958">
        <f t="shared" ref="L9:L11" si="0">K9</f>
        <v>0</v>
      </c>
      <c r="M9" s="426"/>
    </row>
    <row r="10" spans="1:13">
      <c r="A10" s="953">
        <f>+A9+1</f>
        <v>2</v>
      </c>
      <c r="B10" s="23"/>
      <c r="C10" s="36" t="s">
        <v>759</v>
      </c>
      <c r="D10" s="36"/>
      <c r="E10" s="74"/>
      <c r="F10" s="1023" t="s">
        <v>605</v>
      </c>
      <c r="G10" s="97"/>
      <c r="H10" s="1434">
        <v>139741944</v>
      </c>
      <c r="I10" s="426"/>
      <c r="J10" s="1435">
        <f>H10</f>
        <v>139741944</v>
      </c>
      <c r="K10" s="1435">
        <v>0</v>
      </c>
      <c r="L10" s="1958">
        <f t="shared" si="0"/>
        <v>0</v>
      </c>
      <c r="M10" s="426"/>
    </row>
    <row r="11" spans="1:13" ht="15.75" customHeight="1">
      <c r="A11" s="953">
        <f>+A10+1</f>
        <v>3</v>
      </c>
      <c r="B11" s="23"/>
      <c r="C11" s="36" t="s">
        <v>800</v>
      </c>
      <c r="D11" s="36"/>
      <c r="E11" s="74"/>
      <c r="F11" s="1023" t="s">
        <v>606</v>
      </c>
      <c r="G11" s="97"/>
      <c r="H11" s="1434">
        <v>42547415</v>
      </c>
      <c r="I11" s="426"/>
      <c r="J11" s="1435">
        <f>H11</f>
        <v>42547415</v>
      </c>
      <c r="K11" s="1435">
        <v>0.01</v>
      </c>
      <c r="L11" s="1958">
        <f t="shared" si="0"/>
        <v>0.01</v>
      </c>
      <c r="M11" s="426"/>
    </row>
    <row r="12" spans="1:13" ht="15.75" customHeight="1">
      <c r="A12" s="953">
        <f>+A11+1</f>
        <v>4</v>
      </c>
      <c r="B12" s="23"/>
      <c r="C12" s="434" t="s">
        <v>851</v>
      </c>
      <c r="D12" s="380"/>
      <c r="E12" s="388"/>
      <c r="F12" s="1060" t="str">
        <f>"(Line "&amp;A10&amp;" - "&amp;A11&amp;")"</f>
        <v>(Line 2 - 3)</v>
      </c>
      <c r="G12" s="1019"/>
      <c r="H12" s="1061">
        <f>+H10-H11</f>
        <v>97194529</v>
      </c>
      <c r="I12" s="1062"/>
      <c r="J12" s="1061">
        <f>+J10-J11</f>
        <v>97194529</v>
      </c>
      <c r="K12" s="1061">
        <f>+K10-K11</f>
        <v>-0.01</v>
      </c>
      <c r="L12" s="955">
        <f>+L10-L11</f>
        <v>-0.01</v>
      </c>
      <c r="M12" s="426"/>
    </row>
    <row r="13" spans="1:13" ht="32.25" customHeight="1" thickBot="1">
      <c r="A13" s="953">
        <v>5</v>
      </c>
      <c r="B13" s="9" t="s">
        <v>826</v>
      </c>
      <c r="C13" s="9"/>
      <c r="D13" s="42"/>
      <c r="E13" s="379"/>
      <c r="F13" s="1058" t="str">
        <f>"(Line "&amp;A9&amp;" / "&amp;A12&amp;")"</f>
        <v>(Line 1 / 4)</v>
      </c>
      <c r="G13" s="1059"/>
      <c r="H13" s="504">
        <f>+H9/H12</f>
        <v>0.10801595633021691</v>
      </c>
      <c r="I13" s="1064"/>
      <c r="J13" s="504">
        <f>+J9/J12</f>
        <v>0.10801595633021691</v>
      </c>
      <c r="K13" s="504">
        <f>+K9/K12</f>
        <v>0</v>
      </c>
      <c r="L13" s="956">
        <f>+L9/L12</f>
        <v>0</v>
      </c>
      <c r="M13" s="426"/>
    </row>
    <row r="14" spans="1:13" ht="16.5" customHeight="1" thickTop="1">
      <c r="A14" s="953"/>
      <c r="B14" s="23"/>
      <c r="C14" s="11"/>
      <c r="D14" s="25"/>
      <c r="E14" s="957"/>
      <c r="F14" s="1025"/>
      <c r="G14" s="97"/>
      <c r="H14" s="904"/>
      <c r="I14" s="426"/>
      <c r="J14" s="503"/>
      <c r="K14" s="503"/>
      <c r="L14" s="952"/>
      <c r="M14" s="426"/>
    </row>
    <row r="15" spans="1:13" ht="15.75" customHeight="1">
      <c r="A15" s="958"/>
      <c r="B15" s="11" t="s">
        <v>842</v>
      </c>
      <c r="C15" s="21"/>
      <c r="D15" s="26"/>
      <c r="E15" s="61"/>
      <c r="F15" s="1026"/>
      <c r="G15" s="97"/>
      <c r="H15" s="905"/>
      <c r="I15" s="426"/>
      <c r="J15" s="503"/>
      <c r="K15" s="503"/>
      <c r="L15" s="952"/>
      <c r="M15" s="426"/>
    </row>
    <row r="16" spans="1:13" ht="15.75" customHeight="1">
      <c r="A16" s="639">
        <f>+A13+1</f>
        <v>6</v>
      </c>
      <c r="B16" s="26"/>
      <c r="C16" s="440" t="s">
        <v>859</v>
      </c>
      <c r="D16" s="35"/>
      <c r="E16" s="73" t="str">
        <f>"(Note "&amp;B$298&amp;")"</f>
        <v>(Note B)</v>
      </c>
      <c r="F16" s="1027" t="s">
        <v>668</v>
      </c>
      <c r="G16" s="145"/>
      <c r="H16" s="908">
        <f>'5 - Cost Support'!F28</f>
        <v>11434852507.76923</v>
      </c>
      <c r="I16" s="938"/>
      <c r="J16" s="1015">
        <f>H16</f>
        <v>11434852507.76923</v>
      </c>
      <c r="K16" s="1015">
        <f>J16</f>
        <v>11434852507.76923</v>
      </c>
      <c r="L16" s="1016">
        <f>K16</f>
        <v>11434852507.76923</v>
      </c>
      <c r="M16" s="426"/>
    </row>
    <row r="17" spans="1:13" ht="15.75" customHeight="1">
      <c r="A17" s="639">
        <f>+A16+1</f>
        <v>7</v>
      </c>
      <c r="B17" s="26"/>
      <c r="C17" s="36" t="s">
        <v>804</v>
      </c>
      <c r="D17" s="960"/>
      <c r="E17" s="74"/>
      <c r="F17" s="1028" t="str">
        <f>"(Sum Line "&amp;A16&amp;")"</f>
        <v>(Sum Line 6)</v>
      </c>
      <c r="G17" s="97"/>
      <c r="H17" s="509">
        <f>SUM(H16:H16)</f>
        <v>11434852507.76923</v>
      </c>
      <c r="I17" s="426"/>
      <c r="J17" s="509">
        <f>SUM(J16:J16)</f>
        <v>11434852507.76923</v>
      </c>
      <c r="K17" s="509">
        <f>SUM(K16:K16)</f>
        <v>11434852507.76923</v>
      </c>
      <c r="L17" s="974">
        <f>SUM(L16:L16)</f>
        <v>11434852507.76923</v>
      </c>
      <c r="M17" s="426"/>
    </row>
    <row r="18" spans="1:13" ht="15.75" customHeight="1">
      <c r="A18" s="639">
        <f>+A17+1</f>
        <v>8</v>
      </c>
      <c r="B18" s="26"/>
      <c r="C18" s="36" t="s">
        <v>756</v>
      </c>
      <c r="D18" s="21"/>
      <c r="E18" s="61"/>
      <c r="F18" s="1023" t="s">
        <v>668</v>
      </c>
      <c r="G18" s="97"/>
      <c r="H18" s="509">
        <f>+'5 - Cost Support'!F59</f>
        <v>5237494085.3292313</v>
      </c>
      <c r="I18" s="426"/>
      <c r="J18" s="909">
        <f>H18</f>
        <v>5237494085.3292313</v>
      </c>
      <c r="K18" s="909">
        <f>J18</f>
        <v>5237494085.3292313</v>
      </c>
      <c r="L18" s="959">
        <f>K18</f>
        <v>5237494085.3292313</v>
      </c>
      <c r="M18" s="426"/>
    </row>
    <row r="19" spans="1:13" ht="15.75" customHeight="1">
      <c r="A19" s="639">
        <f>+A18+1</f>
        <v>9</v>
      </c>
      <c r="B19" s="21"/>
      <c r="C19" s="19" t="s">
        <v>803</v>
      </c>
      <c r="D19" s="20"/>
      <c r="E19" s="62"/>
      <c r="F19" s="1029" t="str">
        <f>"(Line "&amp;A18&amp;")"</f>
        <v>(Line 8)</v>
      </c>
      <c r="G19" s="491"/>
      <c r="H19" s="1017">
        <f>SUM(H18:H18)</f>
        <v>5237494085.3292313</v>
      </c>
      <c r="I19" s="1018"/>
      <c r="J19" s="1017">
        <f>SUM(J18:J18)</f>
        <v>5237494085.3292313</v>
      </c>
      <c r="K19" s="1017">
        <f>SUM(K18:K18)</f>
        <v>5237494085.3292313</v>
      </c>
      <c r="L19" s="955">
        <f>SUM(L18:L18)</f>
        <v>5237494085.3292313</v>
      </c>
      <c r="M19" s="1557"/>
    </row>
    <row r="20" spans="1:13" ht="15.75" customHeight="1">
      <c r="A20" s="953">
        <f>+A19+1</f>
        <v>10</v>
      </c>
      <c r="B20" s="26"/>
      <c r="C20" s="18" t="s">
        <v>836</v>
      </c>
      <c r="D20" s="18"/>
      <c r="E20" s="62"/>
      <c r="F20" s="1022" t="str">
        <f>"(Line "&amp;A17&amp;" - "&amp;A19&amp;")"</f>
        <v>(Line 7 - 9)</v>
      </c>
      <c r="G20" s="97"/>
      <c r="H20" s="509">
        <f>+H17-H19</f>
        <v>6197358422.4399986</v>
      </c>
      <c r="I20" s="426"/>
      <c r="J20" s="509">
        <f>+J17-J19</f>
        <v>6197358422.4399986</v>
      </c>
      <c r="K20" s="509">
        <f>+K17-K19</f>
        <v>6197358422.4399986</v>
      </c>
      <c r="L20" s="955">
        <f>+L17-L19</f>
        <v>6197358422.4399986</v>
      </c>
      <c r="M20" s="1557"/>
    </row>
    <row r="21" spans="1:13" ht="15.75" customHeight="1">
      <c r="A21" s="958"/>
      <c r="B21" s="26"/>
      <c r="C21" s="26"/>
      <c r="D21" s="26"/>
      <c r="E21" s="61"/>
      <c r="F21" s="1026"/>
      <c r="G21" s="97"/>
      <c r="H21" s="905"/>
      <c r="I21" s="426"/>
      <c r="J21" s="502"/>
      <c r="K21" s="502"/>
      <c r="L21" s="961"/>
      <c r="M21" s="1557"/>
    </row>
    <row r="22" spans="1:13" ht="15.75" customHeight="1">
      <c r="A22" s="639">
        <f>+A20+1</f>
        <v>11</v>
      </c>
      <c r="B22" s="26"/>
      <c r="C22" s="26" t="s">
        <v>801</v>
      </c>
      <c r="D22" s="960"/>
      <c r="E22" s="61"/>
      <c r="F22" s="1030" t="str">
        <f>"(Line "&amp;A43&amp;")"</f>
        <v>(Line 25)</v>
      </c>
      <c r="G22" s="104"/>
      <c r="H22" s="505">
        <f>+H43</f>
        <v>1985176310.9015374</v>
      </c>
      <c r="I22" s="426"/>
      <c r="J22" s="505">
        <f>+J43-J78</f>
        <v>1784459628.6707683</v>
      </c>
      <c r="K22" s="1957">
        <f>+K43-K78</f>
        <v>100969769.23076923</v>
      </c>
      <c r="L22" s="962">
        <f>+L43-L78</f>
        <v>94798000</v>
      </c>
      <c r="M22" s="1557"/>
    </row>
    <row r="23" spans="1:13" ht="16.5" customHeight="1" thickBot="1">
      <c r="A23" s="953">
        <f>+A22+1</f>
        <v>12</v>
      </c>
      <c r="B23" s="10" t="s">
        <v>744</v>
      </c>
      <c r="C23" s="10"/>
      <c r="D23" s="38"/>
      <c r="E23" s="63"/>
      <c r="F23" s="1024" t="str">
        <f>"(Line "&amp;A22&amp;" / "&amp;A17&amp;")"</f>
        <v>(Line 11 / 7)</v>
      </c>
      <c r="G23" s="1020"/>
      <c r="H23" s="504">
        <f>+H22/(H17)</f>
        <v>0.17360751348150233</v>
      </c>
      <c r="I23" s="1064"/>
      <c r="J23" s="504">
        <f>+J22/(J17)</f>
        <v>0.1560544508517574</v>
      </c>
      <c r="K23" s="504">
        <f>+K22/(K17)</f>
        <v>8.8300018878395611E-3</v>
      </c>
      <c r="L23" s="956">
        <f>+L22/(L17)</f>
        <v>8.2902687144929058E-3</v>
      </c>
      <c r="M23" s="1557"/>
    </row>
    <row r="24" spans="1:13" ht="16.5" customHeight="1" thickTop="1">
      <c r="A24" s="958"/>
      <c r="B24" s="21"/>
      <c r="C24" s="21"/>
      <c r="D24" s="21"/>
      <c r="E24" s="61"/>
      <c r="F24" s="1023"/>
      <c r="G24" s="104"/>
      <c r="H24" s="905"/>
      <c r="I24" s="426"/>
      <c r="J24" s="502"/>
      <c r="K24" s="502"/>
      <c r="L24" s="961"/>
      <c r="M24" s="36"/>
    </row>
    <row r="25" spans="1:13" ht="15.75" customHeight="1">
      <c r="A25" s="639">
        <f>+A23+1</f>
        <v>13</v>
      </c>
      <c r="B25" s="23"/>
      <c r="C25" s="393" t="s">
        <v>802</v>
      </c>
      <c r="D25" s="25"/>
      <c r="E25" s="957"/>
      <c r="F25" s="1030" t="str">
        <f>"(Line "&amp;A61&amp;"-44)"</f>
        <v>(Line 37-44)</v>
      </c>
      <c r="G25" s="104"/>
      <c r="H25" s="505">
        <f>+H61-H78</f>
        <v>1252683539.8541365</v>
      </c>
      <c r="I25" s="426"/>
      <c r="J25" s="505">
        <f>+J61-J78</f>
        <v>1185206155.2387519</v>
      </c>
      <c r="K25" s="505">
        <f>+K61-K78</f>
        <v>23657846.15384616</v>
      </c>
      <c r="L25" s="962">
        <f>+L61-L78</f>
        <v>43819538.461538456</v>
      </c>
      <c r="M25" s="36"/>
    </row>
    <row r="26" spans="1:13" ht="16.5" customHeight="1" thickBot="1">
      <c r="A26" s="953">
        <f>+A25+1</f>
        <v>14</v>
      </c>
      <c r="B26" s="10" t="s">
        <v>837</v>
      </c>
      <c r="C26" s="10"/>
      <c r="D26" s="38"/>
      <c r="E26" s="63"/>
      <c r="F26" s="1031" t="str">
        <f>"(Line "&amp;A25&amp;" / "&amp;A20&amp;")"</f>
        <v>(Line 13 / 10)</v>
      </c>
      <c r="G26" s="1020"/>
      <c r="H26" s="504">
        <f>+H25/H20</f>
        <v>0.20213185271297171</v>
      </c>
      <c r="I26" s="1064"/>
      <c r="J26" s="504">
        <f>+J25/J20</f>
        <v>0.19124376459286946</v>
      </c>
      <c r="K26" s="504">
        <f>+K25/K20</f>
        <v>3.8174080860296101E-3</v>
      </c>
      <c r="L26" s="956">
        <f>+L25/L20</f>
        <v>7.0706800340726468E-3</v>
      </c>
      <c r="M26" s="36"/>
    </row>
    <row r="27" spans="1:13" ht="16.5" customHeight="1" thickTop="1">
      <c r="A27" s="963"/>
      <c r="B27" s="23"/>
      <c r="C27" s="11"/>
      <c r="D27" s="25"/>
      <c r="E27" s="957"/>
      <c r="F27" s="1025"/>
      <c r="G27" s="97"/>
      <c r="H27" s="522"/>
      <c r="I27" s="426"/>
      <c r="J27" s="1063"/>
      <c r="K27" s="503"/>
      <c r="L27" s="952"/>
      <c r="M27" s="426"/>
    </row>
    <row r="28" spans="1:13" s="15" customFormat="1" ht="15.75" customHeight="1">
      <c r="A28" s="964" t="s">
        <v>835</v>
      </c>
      <c r="B28" s="29"/>
      <c r="C28" s="40"/>
      <c r="D28" s="40"/>
      <c r="E28" s="378"/>
      <c r="F28" s="1032"/>
      <c r="G28" s="41"/>
      <c r="H28" s="906"/>
      <c r="I28" s="965"/>
      <c r="J28" s="506"/>
      <c r="K28" s="506"/>
      <c r="L28" s="966"/>
      <c r="M28" s="426"/>
    </row>
    <row r="29" spans="1:13" s="15" customFormat="1" ht="15.75" customHeight="1">
      <c r="A29" s="967"/>
      <c r="B29" s="43"/>
      <c r="C29" s="25"/>
      <c r="D29" s="25"/>
      <c r="E29" s="377"/>
      <c r="F29" s="1023"/>
      <c r="G29" s="36"/>
      <c r="H29" s="907"/>
      <c r="I29" s="426"/>
      <c r="J29" s="502"/>
      <c r="K29" s="502"/>
      <c r="L29" s="961"/>
      <c r="M29" s="426"/>
    </row>
    <row r="30" spans="1:13" ht="15.75" customHeight="1">
      <c r="A30" s="971"/>
      <c r="B30" s="11" t="str">
        <f>"Plant In Service  (Note "&amp;B311&amp;")"</f>
        <v>Plant In Service  (Note O)</v>
      </c>
      <c r="C30" s="25"/>
      <c r="D30" s="25"/>
      <c r="E30" s="957"/>
      <c r="F30" s="1028"/>
      <c r="G30" s="104"/>
      <c r="H30" s="509"/>
      <c r="I30" s="426"/>
      <c r="J30" s="502"/>
      <c r="K30" s="502"/>
      <c r="L30" s="961"/>
      <c r="M30" s="426"/>
    </row>
    <row r="31" spans="1:13" ht="15.75" customHeight="1">
      <c r="A31" s="639">
        <f>+A26+1</f>
        <v>15</v>
      </c>
      <c r="B31" s="69"/>
      <c r="C31" s="393" t="s">
        <v>830</v>
      </c>
      <c r="D31" s="25"/>
      <c r="E31" s="71" t="str">
        <f>"(Note "&amp;B$298&amp;")"</f>
        <v>(Note B)</v>
      </c>
      <c r="F31" s="1028" t="s">
        <v>668</v>
      </c>
      <c r="G31" s="104"/>
      <c r="H31" s="509">
        <f>'5 - Cost Support'!F9</f>
        <v>1776046230.7692306</v>
      </c>
      <c r="I31" s="426"/>
      <c r="J31" s="502">
        <f>'5 - Cost Support'!G9</f>
        <v>1580278461.5384614</v>
      </c>
      <c r="K31" s="502">
        <f>'5 - Cost Support'!H9</f>
        <v>100969769.23076923</v>
      </c>
      <c r="L31" s="961">
        <f>'5 - Cost Support'!I9</f>
        <v>94798000</v>
      </c>
      <c r="M31" s="426"/>
    </row>
    <row r="32" spans="1:13" ht="15.75" customHeight="1">
      <c r="A32" s="639">
        <f>+A31+1</f>
        <v>16</v>
      </c>
      <c r="B32" s="69"/>
      <c r="C32" s="402" t="s">
        <v>646</v>
      </c>
      <c r="D32" s="441"/>
      <c r="E32" s="637"/>
      <c r="F32" s="1034" t="s">
        <v>666</v>
      </c>
      <c r="G32" s="147"/>
      <c r="H32" s="908">
        <f>SUM(J32:L32)</f>
        <v>80112600.5</v>
      </c>
      <c r="I32" s="938"/>
      <c r="J32" s="530">
        <f>'6 - Est and True up'!J178</f>
        <v>80112600.5</v>
      </c>
      <c r="K32" s="530">
        <v>0</v>
      </c>
      <c r="L32" s="968">
        <v>0</v>
      </c>
      <c r="M32" s="942"/>
    </row>
    <row r="33" spans="1:13" ht="15.75" customHeight="1">
      <c r="A33" s="639">
        <f>+A32+1</f>
        <v>17</v>
      </c>
      <c r="B33" s="69"/>
      <c r="C33" s="11" t="s">
        <v>645</v>
      </c>
      <c r="D33" s="25"/>
      <c r="E33" s="71"/>
      <c r="F33" s="1028" t="str">
        <f>"(Line "&amp;A31&amp;" + "&amp;A32&amp;")"</f>
        <v>(Line 15 + 16)</v>
      </c>
      <c r="G33" s="104"/>
      <c r="H33" s="909">
        <f>+H31+H32</f>
        <v>1856158831.2692306</v>
      </c>
      <c r="I33" s="426"/>
      <c r="J33" s="909">
        <f>+J31+J32</f>
        <v>1660391062.0384614</v>
      </c>
      <c r="K33" s="909">
        <f>+K31+K32</f>
        <v>100969769.23076923</v>
      </c>
      <c r="L33" s="959">
        <f>+L31+L32</f>
        <v>94798000</v>
      </c>
      <c r="M33" s="426"/>
    </row>
    <row r="34" spans="1:13" ht="15.75" customHeight="1">
      <c r="A34" s="639"/>
      <c r="B34" s="69"/>
      <c r="C34" s="11"/>
      <c r="D34" s="25"/>
      <c r="E34" s="71"/>
      <c r="F34" s="1028"/>
      <c r="G34" s="104"/>
      <c r="H34" s="909"/>
      <c r="I34" s="426"/>
      <c r="J34" s="502"/>
      <c r="K34" s="502"/>
      <c r="L34" s="961"/>
      <c r="M34" s="426"/>
    </row>
    <row r="35" spans="1:13" ht="15.75" customHeight="1">
      <c r="A35" s="639">
        <f>+A33+1</f>
        <v>18</v>
      </c>
      <c r="B35" s="69"/>
      <c r="C35" s="393" t="s">
        <v>255</v>
      </c>
      <c r="D35" s="25"/>
      <c r="E35" s="71"/>
      <c r="F35" s="1028" t="s">
        <v>668</v>
      </c>
      <c r="G35" s="104"/>
      <c r="H35" s="509">
        <f>J35</f>
        <v>638697811.50559998</v>
      </c>
      <c r="I35" s="426"/>
      <c r="J35" s="502">
        <f>'5 - Cost Support'!H31</f>
        <v>638697811.50559998</v>
      </c>
      <c r="K35" s="502">
        <f>J35</f>
        <v>638697811.50559998</v>
      </c>
      <c r="L35" s="961">
        <f>K35</f>
        <v>638697811.50559998</v>
      </c>
      <c r="M35" s="426"/>
    </row>
    <row r="36" spans="1:13" ht="15.75" customHeight="1">
      <c r="A36" s="639">
        <f>A35+1</f>
        <v>19</v>
      </c>
      <c r="B36" s="69"/>
      <c r="C36" s="402" t="s">
        <v>208</v>
      </c>
      <c r="D36" s="441"/>
      <c r="E36" s="73"/>
      <c r="F36" s="1030"/>
      <c r="G36" s="147"/>
      <c r="H36" s="1721">
        <v>0.12209229286559851</v>
      </c>
      <c r="I36" s="938"/>
      <c r="J36" s="1721">
        <v>0.12209229286559851</v>
      </c>
      <c r="K36" s="1180"/>
      <c r="L36" s="1181"/>
      <c r="M36" s="426"/>
    </row>
    <row r="37" spans="1:13" ht="15.75" customHeight="1">
      <c r="A37" s="639">
        <f>A36+1</f>
        <v>20</v>
      </c>
      <c r="B37" s="69"/>
      <c r="C37" s="393" t="s">
        <v>209</v>
      </c>
      <c r="D37" s="25"/>
      <c r="E37" s="71"/>
      <c r="F37" s="1028"/>
      <c r="G37" s="104"/>
      <c r="H37" s="509">
        <f>H35*H36</f>
        <v>77980080.254958555</v>
      </c>
      <c r="I37" s="426"/>
      <c r="J37" s="509">
        <f>J35*J36</f>
        <v>77980080.254958555</v>
      </c>
      <c r="K37" s="509">
        <f>K35*K36</f>
        <v>0</v>
      </c>
      <c r="L37" s="974">
        <f>L35*L36</f>
        <v>0</v>
      </c>
      <c r="M37" s="426"/>
    </row>
    <row r="38" spans="1:13" ht="15.75" customHeight="1">
      <c r="A38" s="639">
        <f>A37+1</f>
        <v>21</v>
      </c>
      <c r="B38" s="69"/>
      <c r="C38" s="393" t="s">
        <v>829</v>
      </c>
      <c r="D38" s="25"/>
      <c r="E38" s="74"/>
      <c r="F38" s="1030" t="s">
        <v>668</v>
      </c>
      <c r="G38" s="147"/>
      <c r="H38" s="908">
        <f>+'5 - Cost Support'!F20+'5 - Cost Support'!F16</f>
        <v>472498704</v>
      </c>
      <c r="I38" s="938"/>
      <c r="J38" s="530">
        <f>$H$38</f>
        <v>472498704</v>
      </c>
      <c r="K38" s="530">
        <f>$H$38</f>
        <v>472498704</v>
      </c>
      <c r="L38" s="968">
        <f>$H$38</f>
        <v>472498704</v>
      </c>
      <c r="M38" s="426"/>
    </row>
    <row r="39" spans="1:13" ht="15.75" customHeight="1">
      <c r="A39" s="639">
        <f>+A38+1</f>
        <v>22</v>
      </c>
      <c r="B39" s="69"/>
      <c r="C39" s="434" t="s">
        <v>357</v>
      </c>
      <c r="D39" s="17"/>
      <c r="E39" s="66"/>
      <c r="F39" s="1028" t="str">
        <f>"(Line"&amp;A38&amp;")"</f>
        <v>(Line21)</v>
      </c>
      <c r="G39" s="104"/>
      <c r="H39" s="509">
        <f>+H38</f>
        <v>472498704</v>
      </c>
      <c r="I39" s="426"/>
      <c r="J39" s="509">
        <f>+J38</f>
        <v>472498704</v>
      </c>
      <c r="K39" s="509">
        <f>+K38</f>
        <v>472498704</v>
      </c>
      <c r="L39" s="974">
        <f>+L38</f>
        <v>472498704</v>
      </c>
      <c r="M39" s="426"/>
    </row>
    <row r="40" spans="1:13" ht="15.75" customHeight="1">
      <c r="A40" s="639">
        <f>+A39+1</f>
        <v>23</v>
      </c>
      <c r="B40" s="69"/>
      <c r="C40" s="390" t="s">
        <v>843</v>
      </c>
      <c r="D40" s="393"/>
      <c r="E40" s="957"/>
      <c r="F40" s="1030" t="str">
        <f>"(Line "&amp;A$13&amp;")"</f>
        <v>(Line 5)</v>
      </c>
      <c r="G40" s="147"/>
      <c r="H40" s="1065">
        <f>+H13</f>
        <v>0.10801595633021691</v>
      </c>
      <c r="I40" s="938"/>
      <c r="J40" s="712">
        <f>+$J$13</f>
        <v>0.10801595633021691</v>
      </c>
      <c r="K40" s="712">
        <v>0</v>
      </c>
      <c r="L40" s="969">
        <v>0</v>
      </c>
      <c r="M40" s="426"/>
    </row>
    <row r="41" spans="1:13" ht="15.75" customHeight="1">
      <c r="A41" s="639">
        <f>+A40+1</f>
        <v>24</v>
      </c>
      <c r="B41" s="36"/>
      <c r="C41" s="8" t="s">
        <v>361</v>
      </c>
      <c r="D41" s="19"/>
      <c r="E41" s="388"/>
      <c r="F41" s="1028" t="str">
        <f>"(Line  + ("&amp;A39&amp;" * "&amp;A40&amp;"))"</f>
        <v>(Line  + (22 * 23))</v>
      </c>
      <c r="G41" s="104"/>
      <c r="H41" s="909">
        <f>+H39*H40</f>
        <v>51037399.37734808</v>
      </c>
      <c r="I41" s="426"/>
      <c r="J41" s="909">
        <f>+J39*J40</f>
        <v>51037399.37734808</v>
      </c>
      <c r="K41" s="909">
        <f>+K39*K40</f>
        <v>0</v>
      </c>
      <c r="L41" s="970">
        <f>+L39*L40</f>
        <v>0</v>
      </c>
      <c r="M41" s="426"/>
    </row>
    <row r="42" spans="1:13" ht="15.75" customHeight="1">
      <c r="A42" s="971"/>
      <c r="B42" s="36"/>
      <c r="C42" s="11"/>
      <c r="D42" s="36"/>
      <c r="E42" s="74"/>
      <c r="F42" s="1023"/>
      <c r="G42" s="104"/>
      <c r="H42" s="509"/>
      <c r="I42" s="426"/>
      <c r="J42" s="502"/>
      <c r="K42" s="502"/>
      <c r="L42" s="961"/>
      <c r="M42" s="426"/>
    </row>
    <row r="43" spans="1:13" s="1" customFormat="1" ht="16.5" customHeight="1" thickBot="1">
      <c r="A43" s="639">
        <f>+A41+1</f>
        <v>25</v>
      </c>
      <c r="B43" s="1182" t="s">
        <v>806</v>
      </c>
      <c r="C43" s="1182"/>
      <c r="D43" s="1182"/>
      <c r="E43" s="1183"/>
      <c r="F43" s="1036" t="str">
        <f>"(Line "&amp;A33&amp;" + "&amp;A37&amp;" + "&amp;A41&amp;")"</f>
        <v>(Line 17 + 20 + 24)</v>
      </c>
      <c r="G43" s="1182"/>
      <c r="H43" s="508">
        <f>+H41+H33+H37</f>
        <v>1985176310.9015374</v>
      </c>
      <c r="I43" s="1066"/>
      <c r="J43" s="508">
        <f>+J41+J33+J37</f>
        <v>1789408541.6707683</v>
      </c>
      <c r="K43" s="508">
        <f>+K41+K33+K37</f>
        <v>100969769.23076923</v>
      </c>
      <c r="L43" s="973">
        <f>+L41+L33+L37</f>
        <v>94798000</v>
      </c>
      <c r="M43" s="972"/>
    </row>
    <row r="44" spans="1:13" ht="16.5" customHeight="1" thickTop="1">
      <c r="A44" s="971"/>
      <c r="B44" s="36"/>
      <c r="C44" s="36"/>
      <c r="D44" s="36"/>
      <c r="E44" s="74"/>
      <c r="F44" s="1023"/>
      <c r="G44" s="104"/>
      <c r="H44" s="905"/>
      <c r="I44" s="426"/>
      <c r="J44" s="502"/>
      <c r="K44" s="502"/>
      <c r="L44" s="961"/>
      <c r="M44" s="426"/>
    </row>
    <row r="45" spans="1:13" ht="15.75" customHeight="1">
      <c r="A45" s="639"/>
      <c r="B45" s="11" t="s">
        <v>794</v>
      </c>
      <c r="C45" s="11"/>
      <c r="D45" s="328"/>
      <c r="E45" s="957"/>
      <c r="F45" s="1028"/>
      <c r="G45" s="104"/>
      <c r="H45" s="509"/>
      <c r="I45" s="426"/>
      <c r="J45" s="502"/>
      <c r="K45" s="502"/>
      <c r="L45" s="961"/>
      <c r="M45" s="426"/>
    </row>
    <row r="46" spans="1:13" ht="15.75" customHeight="1">
      <c r="A46" s="971"/>
      <c r="B46" s="25"/>
      <c r="C46" s="25"/>
      <c r="D46" s="25"/>
      <c r="E46" s="74"/>
      <c r="F46" s="1028"/>
      <c r="G46" s="104"/>
      <c r="H46" s="509"/>
      <c r="I46" s="426"/>
      <c r="J46" s="502"/>
      <c r="K46" s="502"/>
      <c r="L46" s="961"/>
      <c r="M46" s="426"/>
    </row>
    <row r="47" spans="1:13" ht="15.75" customHeight="1">
      <c r="A47" s="639">
        <f>+A43+1</f>
        <v>26</v>
      </c>
      <c r="B47" s="69"/>
      <c r="C47" s="402" t="s">
        <v>858</v>
      </c>
      <c r="D47" s="441"/>
      <c r="E47" s="73" t="str">
        <f>"(Note "&amp;B$298&amp;")"</f>
        <v>(Note B)</v>
      </c>
      <c r="F47" s="1030" t="s">
        <v>668</v>
      </c>
      <c r="G47" s="147"/>
      <c r="H47" s="530">
        <f>'5 - Cost Support'!F38</f>
        <v>672647021.3292309</v>
      </c>
      <c r="I47" s="938"/>
      <c r="J47" s="530">
        <f>'5 - Cost Support'!G38</f>
        <v>544356636.71384621</v>
      </c>
      <c r="K47" s="530">
        <f>'5 - Cost Support'!H38</f>
        <v>77311923.076923072</v>
      </c>
      <c r="L47" s="968">
        <f>'5 - Cost Support'!I38</f>
        <v>50978461.538461544</v>
      </c>
      <c r="M47" s="426"/>
    </row>
    <row r="48" spans="1:13" s="15" customFormat="1" ht="15.75" customHeight="1">
      <c r="A48" s="639">
        <f>A47+1</f>
        <v>27</v>
      </c>
      <c r="B48" s="69"/>
      <c r="C48" s="11" t="s">
        <v>281</v>
      </c>
      <c r="D48" s="71"/>
      <c r="E48" s="36"/>
      <c r="F48" s="1033" t="str">
        <f>"(Line "&amp;A47&amp;")"</f>
        <v>(Line 26)</v>
      </c>
      <c r="G48" s="36"/>
      <c r="H48" s="509">
        <f>+H47</f>
        <v>672647021.3292309</v>
      </c>
      <c r="I48" s="426"/>
      <c r="J48" s="509">
        <f>+J47</f>
        <v>544356636.71384621</v>
      </c>
      <c r="K48" s="509">
        <f>+K47</f>
        <v>77311923.076923072</v>
      </c>
      <c r="L48" s="974">
        <f>+L47</f>
        <v>50978461.538461544</v>
      </c>
      <c r="M48" s="426"/>
    </row>
    <row r="49" spans="1:13" s="15" customFormat="1" ht="15.75" customHeight="1">
      <c r="A49" s="639"/>
      <c r="B49" s="69"/>
      <c r="C49" s="393"/>
      <c r="D49" s="71"/>
      <c r="E49" s="36"/>
      <c r="F49" s="1028"/>
      <c r="G49" s="36"/>
      <c r="H49" s="509"/>
      <c r="I49" s="426"/>
      <c r="J49" s="509"/>
      <c r="K49" s="509"/>
      <c r="L49" s="974"/>
      <c r="M49" s="426"/>
    </row>
    <row r="50" spans="1:13" s="15" customFormat="1" ht="15.75" customHeight="1">
      <c r="A50" s="639">
        <f>A48+1</f>
        <v>28</v>
      </c>
      <c r="B50" s="69"/>
      <c r="C50" s="393" t="s">
        <v>256</v>
      </c>
      <c r="D50" s="71"/>
      <c r="E50" s="34"/>
      <c r="F50" s="1028" t="s">
        <v>668</v>
      </c>
      <c r="G50" s="36"/>
      <c r="H50" s="502">
        <f>'5 - Cost Support'!$H$62</f>
        <v>266584133.82299998</v>
      </c>
      <c r="I50" s="426"/>
      <c r="J50" s="502">
        <f>'5 - Cost Support'!$H$62</f>
        <v>266584133.82299998</v>
      </c>
      <c r="K50" s="502"/>
      <c r="L50" s="961"/>
      <c r="M50" s="426"/>
    </row>
    <row r="51" spans="1:13" s="15" customFormat="1" ht="15.75" customHeight="1">
      <c r="A51" s="639">
        <f>A50+1</f>
        <v>29</v>
      </c>
      <c r="B51" s="69"/>
      <c r="C51" s="402" t="s">
        <v>208</v>
      </c>
      <c r="D51" s="73"/>
      <c r="E51" s="32"/>
      <c r="F51" s="1030"/>
      <c r="G51" s="440"/>
      <c r="H51" s="1944">
        <v>0.10540272554384801</v>
      </c>
      <c r="I51" s="938"/>
      <c r="J51" s="1944">
        <v>0.10540272554384801</v>
      </c>
      <c r="K51" s="530"/>
      <c r="L51" s="968"/>
      <c r="M51" s="426"/>
    </row>
    <row r="52" spans="1:13" s="15" customFormat="1" ht="15.75" customHeight="1">
      <c r="A52" s="639">
        <f>A51+1</f>
        <v>30</v>
      </c>
      <c r="B52" s="69"/>
      <c r="C52" s="393" t="s">
        <v>209</v>
      </c>
      <c r="D52" s="71"/>
      <c r="E52" s="34"/>
      <c r="F52" s="1028"/>
      <c r="G52" s="36"/>
      <c r="H52" s="502">
        <f>H50*H51</f>
        <v>28098694.291690119</v>
      </c>
      <c r="I52" s="426"/>
      <c r="J52" s="502">
        <f>J50*J51</f>
        <v>28098694.291690119</v>
      </c>
      <c r="K52" s="502"/>
      <c r="L52" s="961"/>
      <c r="M52" s="426"/>
    </row>
    <row r="53" spans="1:13" ht="15.75" customHeight="1">
      <c r="A53" s="639">
        <f>+A52+1</f>
        <v>31</v>
      </c>
      <c r="B53" s="69"/>
      <c r="C53" s="393" t="s">
        <v>915</v>
      </c>
      <c r="D53" s="25"/>
      <c r="E53" s="74"/>
      <c r="F53" s="1028" t="s">
        <v>668</v>
      </c>
      <c r="G53" s="104"/>
      <c r="H53" s="509">
        <f>+'5 - Cost Support'!F51</f>
        <v>199145541</v>
      </c>
      <c r="I53" s="426"/>
      <c r="J53" s="502">
        <f>$H$53</f>
        <v>199145541</v>
      </c>
      <c r="K53" s="502">
        <f>$H$53</f>
        <v>199145541</v>
      </c>
      <c r="L53" s="961">
        <f>$H$53</f>
        <v>199145541</v>
      </c>
      <c r="M53" s="426"/>
    </row>
    <row r="54" spans="1:13" ht="15.75" customHeight="1">
      <c r="A54" s="639">
        <f>+A53+1</f>
        <v>32</v>
      </c>
      <c r="B54" s="69"/>
      <c r="C54" s="402" t="s">
        <v>278</v>
      </c>
      <c r="D54" s="441"/>
      <c r="E54" s="637"/>
      <c r="F54" s="1030" t="s">
        <v>668</v>
      </c>
      <c r="G54" s="147"/>
      <c r="H54" s="908">
        <f>+'5 - Cost Support'!F47</f>
        <v>48948753</v>
      </c>
      <c r="I54" s="938"/>
      <c r="J54" s="530">
        <f>$H$54</f>
        <v>48948753</v>
      </c>
      <c r="K54" s="530">
        <f>$H$54</f>
        <v>48948753</v>
      </c>
      <c r="L54" s="968">
        <f>$H$54</f>
        <v>48948753</v>
      </c>
      <c r="M54" s="426"/>
    </row>
    <row r="55" spans="1:13" ht="15.75" customHeight="1">
      <c r="A55" s="639">
        <f>+A54+1</f>
        <v>33</v>
      </c>
      <c r="B55" s="23"/>
      <c r="C55" s="381" t="s">
        <v>803</v>
      </c>
      <c r="D55" s="21"/>
      <c r="E55" s="382"/>
      <c r="F55" s="1022" t="str">
        <f>"(Sum Lines "&amp;A53&amp;" to "&amp;A54&amp;")"</f>
        <v>(Sum Lines 31 to 32)</v>
      </c>
      <c r="G55" s="97"/>
      <c r="H55" s="509">
        <f>SUM(H53:H54)</f>
        <v>248094294</v>
      </c>
      <c r="I55" s="426"/>
      <c r="J55" s="509">
        <f>SUM(J53:J54)</f>
        <v>248094294</v>
      </c>
      <c r="K55" s="509">
        <f>SUM(K53:K54)</f>
        <v>248094294</v>
      </c>
      <c r="L55" s="974">
        <f>SUM(L53:L54)</f>
        <v>248094294</v>
      </c>
      <c r="M55" s="426"/>
    </row>
    <row r="56" spans="1:13" ht="15.75" customHeight="1">
      <c r="A56" s="639">
        <f>+A55+1</f>
        <v>34</v>
      </c>
      <c r="B56" s="23"/>
      <c r="C56" s="381" t="str">
        <f>+C40</f>
        <v>Wage &amp; Salary Allocation Factor</v>
      </c>
      <c r="D56" s="21"/>
      <c r="E56" s="382"/>
      <c r="F56" s="1035" t="str">
        <f>"(Line "&amp;A$13&amp;")"</f>
        <v>(Line 5)</v>
      </c>
      <c r="G56" s="145"/>
      <c r="H56" s="712">
        <f>+H13</f>
        <v>0.10801595633021691</v>
      </c>
      <c r="I56" s="938"/>
      <c r="J56" s="712">
        <f>+$J$13</f>
        <v>0.10801595633021691</v>
      </c>
      <c r="K56" s="712">
        <v>0</v>
      </c>
      <c r="L56" s="976">
        <v>0</v>
      </c>
      <c r="M56" s="426"/>
    </row>
    <row r="57" spans="1:13" ht="15.75" customHeight="1">
      <c r="A57" s="639">
        <f>+A56+1</f>
        <v>35</v>
      </c>
      <c r="B57" s="26"/>
      <c r="C57" s="28" t="s">
        <v>358</v>
      </c>
      <c r="D57" s="18"/>
      <c r="E57" s="62"/>
      <c r="F57" s="1022" t="str">
        <f>"(Line "&amp;A55&amp;" * "&amp;A56&amp;")"</f>
        <v>(Line 33 * 34)</v>
      </c>
      <c r="G57" s="97"/>
      <c r="H57" s="909">
        <f>+H56*H55</f>
        <v>26798142.426479995</v>
      </c>
      <c r="I57" s="426"/>
      <c r="J57" s="909">
        <f>+J56*J55</f>
        <v>26798142.426479995</v>
      </c>
      <c r="K57" s="507">
        <f>+K56*K55</f>
        <v>0</v>
      </c>
      <c r="L57" s="970">
        <f>+L56*L55</f>
        <v>0</v>
      </c>
      <c r="M57" s="426"/>
    </row>
    <row r="58" spans="1:13" ht="15.75" customHeight="1">
      <c r="A58" s="971"/>
      <c r="B58" s="26"/>
      <c r="C58" s="26"/>
      <c r="D58" s="26"/>
      <c r="E58" s="61"/>
      <c r="F58" s="1026"/>
      <c r="G58" s="97"/>
      <c r="H58" s="910"/>
      <c r="I58" s="426"/>
      <c r="J58" s="502"/>
      <c r="K58" s="502"/>
      <c r="L58" s="961"/>
      <c r="M58" s="426"/>
    </row>
    <row r="59" spans="1:13" ht="16.5" customHeight="1" thickBot="1">
      <c r="A59" s="639">
        <f>+A57+1</f>
        <v>36</v>
      </c>
      <c r="B59" s="10" t="s">
        <v>831</v>
      </c>
      <c r="C59" s="10"/>
      <c r="D59" s="10"/>
      <c r="E59" s="64"/>
      <c r="F59" s="1037" t="str">
        <f>"(Line "&amp;A48&amp;" + "&amp;A57&amp;")"</f>
        <v>(Line 27 + 35)</v>
      </c>
      <c r="G59" s="1067"/>
      <c r="H59" s="508">
        <f>+H57+H48+H52</f>
        <v>727543858.04740095</v>
      </c>
      <c r="I59" s="1064"/>
      <c r="J59" s="508">
        <f>+J57+J48+J52</f>
        <v>599253473.43201637</v>
      </c>
      <c r="K59" s="508">
        <f>+K57+K48+K52</f>
        <v>77311923.076923072</v>
      </c>
      <c r="L59" s="973">
        <f>+L57+L48+L52</f>
        <v>50978461.538461544</v>
      </c>
      <c r="M59" s="426"/>
    </row>
    <row r="60" spans="1:13" ht="16.5" customHeight="1" thickTop="1">
      <c r="A60" s="971"/>
      <c r="B60" s="26"/>
      <c r="C60" s="26"/>
      <c r="D60" s="26"/>
      <c r="E60" s="61"/>
      <c r="F60" s="1026"/>
      <c r="G60" s="97"/>
      <c r="H60" s="505"/>
      <c r="I60" s="426"/>
      <c r="J60" s="505"/>
      <c r="K60" s="905"/>
      <c r="L60" s="977"/>
      <c r="M60" s="426"/>
    </row>
    <row r="61" spans="1:13" ht="16.5" customHeight="1" thickBot="1">
      <c r="A61" s="639">
        <f>+A59+1</f>
        <v>37</v>
      </c>
      <c r="B61" s="10" t="s">
        <v>833</v>
      </c>
      <c r="C61" s="10"/>
      <c r="D61" s="10"/>
      <c r="E61" s="64"/>
      <c r="F61" s="1037" t="str">
        <f>"(Line "&amp;A43&amp;" - "&amp;A59&amp;")"</f>
        <v>(Line 25 - 36)</v>
      </c>
      <c r="G61" s="1067"/>
      <c r="H61" s="508">
        <f>+H43-H59</f>
        <v>1257632452.8541365</v>
      </c>
      <c r="I61" s="1064"/>
      <c r="J61" s="508">
        <f>+J43-J59</f>
        <v>1190155068.2387519</v>
      </c>
      <c r="K61" s="508">
        <f>+K43-K59</f>
        <v>23657846.15384616</v>
      </c>
      <c r="L61" s="973">
        <f>+L43-L59</f>
        <v>43819538.461538456</v>
      </c>
      <c r="M61" s="426"/>
    </row>
    <row r="62" spans="1:13" ht="16.5" customHeight="1" thickTop="1">
      <c r="A62" s="958"/>
      <c r="B62" s="26"/>
      <c r="C62" s="26"/>
      <c r="D62" s="26"/>
      <c r="E62" s="61"/>
      <c r="F62" s="1026"/>
      <c r="G62" s="97"/>
      <c r="H62" s="516"/>
      <c r="I62" s="426"/>
      <c r="J62" s="503"/>
      <c r="K62" s="503"/>
      <c r="L62" s="952"/>
      <c r="M62" s="426"/>
    </row>
    <row r="63" spans="1:13" ht="16.5" customHeight="1">
      <c r="A63" s="964" t="s">
        <v>807</v>
      </c>
      <c r="B63" s="40"/>
      <c r="C63" s="40"/>
      <c r="D63" s="40"/>
      <c r="E63" s="378"/>
      <c r="F63" s="1032"/>
      <c r="G63" s="978"/>
      <c r="H63" s="911"/>
      <c r="I63" s="965"/>
      <c r="J63" s="506"/>
      <c r="K63" s="506"/>
      <c r="L63" s="966"/>
      <c r="M63" s="426"/>
    </row>
    <row r="64" spans="1:13" ht="15.75" customHeight="1" thickBot="1">
      <c r="A64" s="979"/>
      <c r="B64" s="980"/>
      <c r="C64" s="980"/>
      <c r="D64" s="980"/>
      <c r="E64" s="61"/>
      <c r="F64" s="1026"/>
      <c r="G64" s="97"/>
      <c r="H64" s="828"/>
      <c r="I64" s="426"/>
      <c r="J64" s="503"/>
      <c r="K64" s="503"/>
      <c r="L64" s="952"/>
      <c r="M64" s="426"/>
    </row>
    <row r="65" spans="1:13" ht="15.75" customHeight="1">
      <c r="A65" s="1171"/>
      <c r="B65" s="1172" t="s">
        <v>949</v>
      </c>
      <c r="C65" s="1173"/>
      <c r="D65" s="946"/>
      <c r="E65" s="1174"/>
      <c r="F65" s="1175"/>
      <c r="G65" s="1176"/>
      <c r="H65" s="1177"/>
      <c r="I65" s="948"/>
      <c r="J65" s="1178"/>
      <c r="K65" s="1178"/>
      <c r="L65" s="1179"/>
      <c r="M65" s="426"/>
    </row>
    <row r="66" spans="1:13" ht="15.75" customHeight="1">
      <c r="A66" s="971">
        <f>+A61+1</f>
        <v>38</v>
      </c>
      <c r="B66" s="102"/>
      <c r="C66" s="21" t="s">
        <v>137</v>
      </c>
      <c r="D66" s="36"/>
      <c r="E66" s="438"/>
      <c r="F66" s="1034" t="s">
        <v>667</v>
      </c>
      <c r="G66" s="789"/>
      <c r="H66" s="908">
        <f>'1 - ADIT'!I16</f>
        <v>-211964591.82546625</v>
      </c>
      <c r="I66" s="938"/>
      <c r="J66" s="908">
        <f>H66</f>
        <v>-211964591.82546625</v>
      </c>
      <c r="K66" s="510"/>
      <c r="L66" s="975"/>
      <c r="M66" s="426"/>
    </row>
    <row r="67" spans="1:13" s="15" customFormat="1" ht="15.75" customHeight="1">
      <c r="A67" s="639">
        <f>+A66+1</f>
        <v>39</v>
      </c>
      <c r="B67" s="36"/>
      <c r="C67" s="383" t="s">
        <v>820</v>
      </c>
      <c r="D67" s="19"/>
      <c r="E67" s="713"/>
      <c r="F67" s="1028" t="str">
        <f>"(Line "&amp;A66&amp;")"</f>
        <v>(Line 38)</v>
      </c>
      <c r="G67" s="36"/>
      <c r="H67" s="913">
        <f>+H66</f>
        <v>-211964591.82546625</v>
      </c>
      <c r="I67" s="426"/>
      <c r="J67" s="913">
        <f>+J66</f>
        <v>-211964591.82546625</v>
      </c>
      <c r="K67" s="502">
        <v>0</v>
      </c>
      <c r="L67" s="961">
        <v>0</v>
      </c>
      <c r="M67" s="426"/>
    </row>
    <row r="68" spans="1:13" ht="16.5" customHeight="1">
      <c r="A68" s="971"/>
      <c r="B68" s="36"/>
      <c r="C68" s="102"/>
      <c r="D68" s="36"/>
      <c r="E68" s="74"/>
      <c r="F68" s="1023"/>
      <c r="G68" s="97"/>
      <c r="H68" s="912"/>
      <c r="I68" s="426"/>
      <c r="J68" s="503"/>
      <c r="K68" s="503"/>
      <c r="L68" s="952"/>
      <c r="M68" s="426"/>
    </row>
    <row r="69" spans="1:13" ht="16.5" customHeight="1">
      <c r="A69" s="971">
        <f>+A67+1</f>
        <v>40</v>
      </c>
      <c r="B69" s="77" t="s">
        <v>769</v>
      </c>
      <c r="C69" s="102"/>
      <c r="D69" s="74" t="s">
        <v>718</v>
      </c>
      <c r="E69" s="25" t="str">
        <f>"(Notes "&amp;$B$297&amp;" &amp; "&amp;B305&amp;")"</f>
        <v>(Notes A &amp; I)</v>
      </c>
      <c r="F69" s="1023" t="s">
        <v>667</v>
      </c>
      <c r="G69" s="104"/>
      <c r="H69" s="1426">
        <f>+'1 - ADIT'!I129</f>
        <v>0</v>
      </c>
      <c r="I69" s="426"/>
      <c r="J69" s="502">
        <v>0</v>
      </c>
      <c r="K69" s="502">
        <v>0</v>
      </c>
      <c r="L69" s="961">
        <v>0</v>
      </c>
      <c r="M69" s="426"/>
    </row>
    <row r="70" spans="1:13" ht="16.5" customHeight="1">
      <c r="A70" s="971"/>
      <c r="B70" s="36"/>
      <c r="C70" s="102"/>
      <c r="D70" s="36"/>
      <c r="E70" s="74"/>
      <c r="F70" s="1023"/>
      <c r="G70" s="97"/>
      <c r="H70" s="912"/>
      <c r="I70" s="426"/>
      <c r="J70" s="503"/>
      <c r="K70" s="503"/>
      <c r="L70" s="952"/>
      <c r="M70" s="426"/>
    </row>
    <row r="71" spans="1:13" s="15" customFormat="1" ht="15.75" customHeight="1">
      <c r="A71" s="639"/>
      <c r="B71" s="77" t="s">
        <v>717</v>
      </c>
      <c r="C71" s="102"/>
      <c r="D71" s="36"/>
      <c r="E71" s="74"/>
      <c r="F71" s="1028"/>
      <c r="G71" s="36"/>
      <c r="H71" s="913"/>
      <c r="I71" s="426"/>
      <c r="J71" s="502"/>
      <c r="K71" s="502"/>
      <c r="L71" s="961"/>
      <c r="M71" s="426"/>
    </row>
    <row r="72" spans="1:13" ht="15.75" customHeight="1">
      <c r="A72" s="971">
        <f>+A69+1</f>
        <v>41</v>
      </c>
      <c r="B72" s="36"/>
      <c r="C72" s="102" t="s">
        <v>862</v>
      </c>
      <c r="D72" s="36"/>
      <c r="E72" s="74" t="s">
        <v>718</v>
      </c>
      <c r="F72" s="1023" t="s">
        <v>668</v>
      </c>
      <c r="G72" s="104"/>
      <c r="H72" s="913">
        <f>-'5 - Cost Support'!L197</f>
        <v>-8842859.5681836195</v>
      </c>
      <c r="I72" s="426"/>
      <c r="J72" s="913">
        <f>-'5 - Cost Support'!L197</f>
        <v>-8842859.5681836195</v>
      </c>
      <c r="K72" s="502">
        <v>0</v>
      </c>
      <c r="L72" s="961">
        <v>0</v>
      </c>
      <c r="M72" s="25"/>
    </row>
    <row r="73" spans="1:13">
      <c r="A73" s="639"/>
      <c r="B73" s="982"/>
      <c r="C73" s="25"/>
      <c r="D73" s="25"/>
      <c r="E73" s="74"/>
      <c r="F73" s="1038"/>
      <c r="G73" s="104"/>
      <c r="H73" s="905"/>
      <c r="I73" s="426"/>
      <c r="J73" s="502"/>
      <c r="K73" s="502"/>
      <c r="L73" s="961"/>
      <c r="M73" s="426"/>
    </row>
    <row r="74" spans="1:13" ht="15.75">
      <c r="A74" s="639"/>
      <c r="B74" s="102" t="s">
        <v>795</v>
      </c>
      <c r="C74" s="390"/>
      <c r="D74" s="25"/>
      <c r="E74" s="74"/>
      <c r="F74" s="1039"/>
      <c r="G74" s="104"/>
      <c r="H74" s="905"/>
      <c r="I74" s="426"/>
      <c r="J74" s="502"/>
      <c r="K74" s="502"/>
      <c r="L74" s="961"/>
      <c r="M74" s="426"/>
    </row>
    <row r="75" spans="1:13" ht="15.75" customHeight="1">
      <c r="A75" s="639">
        <f>+A72+1</f>
        <v>42</v>
      </c>
      <c r="B75" s="983"/>
      <c r="C75" s="57" t="s">
        <v>719</v>
      </c>
      <c r="D75" s="73"/>
      <c r="E75" s="1165" t="s">
        <v>113</v>
      </c>
      <c r="F75" s="1041" t="s">
        <v>668</v>
      </c>
      <c r="G75" s="791"/>
      <c r="H75" s="915">
        <f>+'5 - Cost Support'!L207</f>
        <v>4700316.4026913894</v>
      </c>
      <c r="I75" s="938"/>
      <c r="J75" s="915">
        <f>+'5 - Cost Support'!L207</f>
        <v>4700316.4026913894</v>
      </c>
      <c r="K75" s="530"/>
      <c r="L75" s="968"/>
      <c r="M75" s="426"/>
    </row>
    <row r="76" spans="1:13" ht="15.75" customHeight="1">
      <c r="A76" s="639">
        <f>+A75+1</f>
        <v>43</v>
      </c>
      <c r="B76" s="982"/>
      <c r="C76" s="77" t="s">
        <v>768</v>
      </c>
      <c r="D76" s="25"/>
      <c r="E76" s="69"/>
      <c r="F76" s="1028" t="str">
        <f>"(Line "&amp;A75&amp;")"</f>
        <v>(Line 42)</v>
      </c>
      <c r="G76" s="104"/>
      <c r="H76" s="913">
        <f>+H75</f>
        <v>4700316.4026913894</v>
      </c>
      <c r="I76" s="426"/>
      <c r="J76" s="913">
        <f>+J75</f>
        <v>4700316.4026913894</v>
      </c>
      <c r="K76" s="502">
        <v>0</v>
      </c>
      <c r="L76" s="961">
        <v>0</v>
      </c>
      <c r="M76" s="426"/>
    </row>
    <row r="77" spans="1:13" ht="16.5" customHeight="1">
      <c r="A77" s="639"/>
      <c r="B77" s="982"/>
      <c r="C77" s="77"/>
      <c r="D77" s="25"/>
      <c r="E77" s="69"/>
      <c r="F77" s="1028"/>
      <c r="G77" s="104"/>
      <c r="H77" s="913"/>
      <c r="I77" s="426"/>
      <c r="J77" s="502"/>
      <c r="K77" s="502"/>
      <c r="L77" s="961"/>
      <c r="M77" s="426"/>
    </row>
    <row r="78" spans="1:13" ht="15.75">
      <c r="A78" s="639">
        <f>+A76+1</f>
        <v>44</v>
      </c>
      <c r="B78" s="11" t="s">
        <v>284</v>
      </c>
      <c r="C78" s="25"/>
      <c r="D78" s="714"/>
      <c r="E78" s="71" t="str">
        <f>"(Note "&amp;B$299&amp;")"</f>
        <v>(Note C)</v>
      </c>
      <c r="F78" s="1028" t="str">
        <f>+F72</f>
        <v>Attachment 5</v>
      </c>
      <c r="G78" s="104"/>
      <c r="H78" s="909">
        <f>+'5 - Cost Support'!I79</f>
        <v>4948913</v>
      </c>
      <c r="I78" s="36"/>
      <c r="J78" s="520">
        <f>+H78</f>
        <v>4948913</v>
      </c>
      <c r="K78" s="502">
        <v>0</v>
      </c>
      <c r="L78" s="961">
        <v>0</v>
      </c>
      <c r="M78" s="426"/>
    </row>
    <row r="79" spans="1:13" ht="15.75">
      <c r="A79" s="639"/>
      <c r="B79" s="11"/>
      <c r="C79" s="25"/>
      <c r="D79" s="714"/>
      <c r="E79" s="71"/>
      <c r="F79" s="1028"/>
      <c r="G79" s="104"/>
      <c r="H79" s="909"/>
      <c r="I79" s="36"/>
      <c r="J79" s="520"/>
      <c r="K79" s="502"/>
      <c r="L79" s="961"/>
      <c r="M79" s="426"/>
    </row>
    <row r="80" spans="1:13" ht="15.75">
      <c r="A80" s="639">
        <f>+A78+1</f>
        <v>45</v>
      </c>
      <c r="B80" s="11" t="s">
        <v>108</v>
      </c>
      <c r="C80" s="25"/>
      <c r="D80" s="714"/>
      <c r="E80" s="71"/>
      <c r="F80" s="1028"/>
      <c r="G80" s="104"/>
      <c r="H80" s="1120">
        <v>0</v>
      </c>
      <c r="I80" s="1121"/>
      <c r="J80" s="1122">
        <v>0</v>
      </c>
      <c r="K80" s="502"/>
      <c r="L80" s="961"/>
      <c r="M80" s="426"/>
    </row>
    <row r="81" spans="1:13" ht="15.75">
      <c r="A81" s="639">
        <f>+A80+1</f>
        <v>46</v>
      </c>
      <c r="B81" s="11" t="s">
        <v>96</v>
      </c>
      <c r="C81" s="25"/>
      <c r="D81" s="714"/>
      <c r="E81" s="71"/>
      <c r="F81" s="1028"/>
      <c r="G81" s="792"/>
      <c r="H81" s="1168">
        <v>0</v>
      </c>
      <c r="I81" s="1169"/>
      <c r="J81" s="1169">
        <v>0</v>
      </c>
      <c r="K81" s="1170"/>
      <c r="L81" s="1123"/>
      <c r="M81" s="426"/>
    </row>
    <row r="82" spans="1:13" ht="15.75" customHeight="1">
      <c r="A82" s="639"/>
      <c r="B82" s="982"/>
      <c r="C82" s="77"/>
      <c r="D82" s="25"/>
      <c r="E82" s="69"/>
      <c r="F82" s="1028"/>
      <c r="G82" s="104"/>
      <c r="H82" s="913"/>
      <c r="I82" s="426"/>
      <c r="J82" s="502"/>
      <c r="K82" s="502"/>
      <c r="L82" s="961"/>
      <c r="M82" s="426"/>
    </row>
    <row r="83" spans="1:13" ht="15.75" customHeight="1">
      <c r="A83" s="639"/>
      <c r="B83" s="102" t="s">
        <v>793</v>
      </c>
      <c r="C83" s="36"/>
      <c r="D83" s="36"/>
      <c r="E83" s="984"/>
      <c r="F83" s="1040"/>
      <c r="G83" s="104"/>
      <c r="H83" s="914"/>
      <c r="I83" s="426"/>
      <c r="J83" s="502"/>
      <c r="K83" s="502"/>
      <c r="L83" s="961"/>
      <c r="M83" s="426"/>
    </row>
    <row r="84" spans="1:13" ht="15.75" customHeight="1">
      <c r="A84" s="971">
        <f>+A81+1</f>
        <v>47</v>
      </c>
      <c r="B84" s="36"/>
      <c r="C84" s="36" t="s">
        <v>810</v>
      </c>
      <c r="D84" s="25"/>
      <c r="E84" s="71" t="str">
        <f>"(Note "&amp;B$297&amp;")"</f>
        <v>(Note A)</v>
      </c>
      <c r="F84" s="1047" t="s">
        <v>668</v>
      </c>
      <c r="G84" s="1166"/>
      <c r="H84" s="1038">
        <f>'5 - Cost Support'!Q213</f>
        <v>-86292.050000000017</v>
      </c>
      <c r="I84" s="426"/>
      <c r="J84" s="502">
        <f>H84</f>
        <v>-86292.050000000017</v>
      </c>
      <c r="K84" s="502">
        <f>J84</f>
        <v>-86292.050000000017</v>
      </c>
      <c r="L84" s="961">
        <f>K84</f>
        <v>-86292.050000000017</v>
      </c>
      <c r="M84" s="426"/>
    </row>
    <row r="85" spans="1:13" s="15" customFormat="1" ht="15.75" customHeight="1">
      <c r="A85" s="639">
        <f>+A84+1</f>
        <v>48</v>
      </c>
      <c r="B85" s="982"/>
      <c r="C85" s="57" t="s">
        <v>843</v>
      </c>
      <c r="D85" s="32"/>
      <c r="E85" s="65"/>
      <c r="F85" s="1030" t="str">
        <f>"(Line "&amp;A$13&amp;")"</f>
        <v>(Line 5)</v>
      </c>
      <c r="G85" s="1054"/>
      <c r="H85" s="918">
        <f>+H13</f>
        <v>0.10801595633021691</v>
      </c>
      <c r="I85" s="938"/>
      <c r="J85" s="712">
        <f>+$J$13</f>
        <v>0.10801595633021691</v>
      </c>
      <c r="K85" s="712"/>
      <c r="L85" s="976"/>
      <c r="M85" s="426"/>
    </row>
    <row r="86" spans="1:13" ht="15.75" customHeight="1">
      <c r="A86" s="639">
        <f>+A85+1</f>
        <v>49</v>
      </c>
      <c r="B86" s="982"/>
      <c r="C86" s="390" t="s">
        <v>857</v>
      </c>
      <c r="D86" s="25"/>
      <c r="E86" s="74"/>
      <c r="F86" s="1028" t="str">
        <f>"(Line "&amp;A84&amp;" * "&amp;A85&amp;")"</f>
        <v>(Line 47 * 48)</v>
      </c>
      <c r="G86" s="104"/>
      <c r="H86" s="912">
        <f>+H84*H85</f>
        <v>-9320.9183044448964</v>
      </c>
      <c r="I86" s="426"/>
      <c r="J86" s="912">
        <f>+J84*J85</f>
        <v>-9320.9183044448964</v>
      </c>
      <c r="K86" s="1395">
        <f>+K84*K85</f>
        <v>0</v>
      </c>
      <c r="L86" s="1396">
        <f>+L84*L85</f>
        <v>0</v>
      </c>
      <c r="M86" s="426"/>
    </row>
    <row r="87" spans="1:13" ht="15.75" customHeight="1">
      <c r="A87" s="639">
        <f>+A86+1</f>
        <v>50</v>
      </c>
      <c r="B87" s="982"/>
      <c r="C87" s="390" t="s">
        <v>784</v>
      </c>
      <c r="D87" s="25"/>
      <c r="E87" s="985"/>
      <c r="F87" s="1041" t="s">
        <v>668</v>
      </c>
      <c r="G87" s="791"/>
      <c r="H87" s="915">
        <f>'5 - Cost Support'!Q214</f>
        <v>658783.93854401959</v>
      </c>
      <c r="I87" s="938"/>
      <c r="J87" s="915">
        <f>'5 - Cost Support'!Q214</f>
        <v>658783.93854401959</v>
      </c>
      <c r="K87" s="1397">
        <v>0</v>
      </c>
      <c r="L87" s="1398">
        <v>0</v>
      </c>
      <c r="M87" s="426"/>
    </row>
    <row r="88" spans="1:13" ht="18" customHeight="1">
      <c r="A88" s="639">
        <f>+A87+1</f>
        <v>51</v>
      </c>
      <c r="B88" s="982"/>
      <c r="C88" s="384" t="s">
        <v>792</v>
      </c>
      <c r="D88" s="50"/>
      <c r="E88" s="1167"/>
      <c r="F88" s="1028" t="str">
        <f>"(Line "&amp;A86&amp;" + "&amp;A87&amp;")"</f>
        <v>(Line 49 + 50)</v>
      </c>
      <c r="G88" s="104"/>
      <c r="H88" s="520">
        <f>SUM(H86:H87)</f>
        <v>649463.02023957472</v>
      </c>
      <c r="I88" s="426"/>
      <c r="J88" s="520">
        <f>SUM(J86:J87)</f>
        <v>649463.02023957472</v>
      </c>
      <c r="K88" s="1399">
        <f>SUM(K86:K87)</f>
        <v>0</v>
      </c>
      <c r="L88" s="1400">
        <f>SUM(L86:L87)</f>
        <v>0</v>
      </c>
      <c r="M88" s="426"/>
    </row>
    <row r="89" spans="1:13" ht="15.75" customHeight="1">
      <c r="A89" s="639"/>
      <c r="B89" s="982"/>
      <c r="C89" s="390"/>
      <c r="D89" s="21"/>
      <c r="E89" s="23"/>
      <c r="F89" s="1042"/>
      <c r="G89" s="97"/>
      <c r="H89" s="828"/>
      <c r="I89" s="426"/>
      <c r="J89" s="503"/>
      <c r="K89" s="1401"/>
      <c r="L89" s="1402"/>
      <c r="M89" s="426"/>
    </row>
    <row r="90" spans="1:13" ht="15.75" customHeight="1">
      <c r="A90" s="639"/>
      <c r="B90" s="102" t="s">
        <v>796</v>
      </c>
      <c r="C90" s="36"/>
      <c r="D90" s="25"/>
      <c r="E90" s="74"/>
      <c r="F90" s="1040"/>
      <c r="G90" s="104"/>
      <c r="H90" s="905"/>
      <c r="I90" s="426"/>
      <c r="J90" s="502"/>
      <c r="K90" s="1122"/>
      <c r="L90" s="1403"/>
      <c r="M90" s="426"/>
    </row>
    <row r="91" spans="1:13" ht="15.75" customHeight="1">
      <c r="A91" s="639">
        <f>+A88+1</f>
        <v>52</v>
      </c>
      <c r="B91" s="982"/>
      <c r="C91" s="390" t="s">
        <v>854</v>
      </c>
      <c r="D91" s="34"/>
      <c r="E91" s="74"/>
      <c r="F91" s="1028" t="str">
        <f>"(Line "&amp;A$135&amp;")"</f>
        <v>(Line 82)</v>
      </c>
      <c r="G91" s="104"/>
      <c r="H91" s="912">
        <f>+H135</f>
        <v>43143445.579617836</v>
      </c>
      <c r="I91" s="426"/>
      <c r="J91" s="912">
        <f>+J135</f>
        <v>39710649.828976445</v>
      </c>
      <c r="K91" s="1122">
        <v>0</v>
      </c>
      <c r="L91" s="1403">
        <v>0</v>
      </c>
      <c r="M91" s="426"/>
    </row>
    <row r="92" spans="1:13" ht="15.75" customHeight="1">
      <c r="A92" s="639">
        <f>+A91+1</f>
        <v>53</v>
      </c>
      <c r="B92" s="982"/>
      <c r="C92" s="34" t="s">
        <v>109</v>
      </c>
      <c r="D92" s="34"/>
      <c r="E92" s="71" t="s">
        <v>519</v>
      </c>
      <c r="F92" s="1041"/>
      <c r="G92" s="791"/>
      <c r="H92" s="1162">
        <v>0</v>
      </c>
      <c r="I92" s="1163">
        <v>0</v>
      </c>
      <c r="J92" s="1164">
        <f>$H$92</f>
        <v>0</v>
      </c>
      <c r="K92" s="1397">
        <f>$H$92</f>
        <v>0</v>
      </c>
      <c r="L92" s="1403">
        <f>$H$92</f>
        <v>0</v>
      </c>
      <c r="M92" s="426"/>
    </row>
    <row r="93" spans="1:13" s="1" customFormat="1" ht="16.5" customHeight="1">
      <c r="A93" s="639">
        <f>+A92+1</f>
        <v>54</v>
      </c>
      <c r="B93" s="986"/>
      <c r="C93" s="383" t="s">
        <v>783</v>
      </c>
      <c r="D93" s="385"/>
      <c r="E93" s="386"/>
      <c r="F93" s="1028" t="str">
        <f>"(Line "&amp;A91&amp;" * "&amp;A92&amp;")"</f>
        <v>(Line 52 * 53)</v>
      </c>
      <c r="G93" s="443"/>
      <c r="H93" s="1404">
        <f>+H91*H92</f>
        <v>0</v>
      </c>
      <c r="I93" s="1410"/>
      <c r="J93" s="1404">
        <f>+J91*J92</f>
        <v>0</v>
      </c>
      <c r="K93" s="1404">
        <f>+K91*K92</f>
        <v>0</v>
      </c>
      <c r="L93" s="1405">
        <f>+L91*L92</f>
        <v>0</v>
      </c>
      <c r="M93" s="972"/>
    </row>
    <row r="94" spans="1:13" s="1" customFormat="1" ht="15.75" customHeight="1">
      <c r="A94" s="639"/>
      <c r="B94" s="986"/>
      <c r="C94" s="102"/>
      <c r="D94" s="387"/>
      <c r="E94" s="68"/>
      <c r="F94" s="1022"/>
      <c r="G94" s="443"/>
      <c r="H94" s="913"/>
      <c r="I94" s="972"/>
      <c r="J94" s="511"/>
      <c r="K94" s="1406"/>
      <c r="L94" s="1407"/>
      <c r="M94" s="972"/>
    </row>
    <row r="95" spans="1:13" s="1" customFormat="1" ht="15.75" customHeight="1">
      <c r="A95" s="987"/>
      <c r="B95" s="102" t="s">
        <v>140</v>
      </c>
      <c r="C95" s="443"/>
      <c r="D95" s="387"/>
      <c r="E95" s="443"/>
      <c r="F95" s="1022"/>
      <c r="G95" s="443"/>
      <c r="H95" s="913"/>
      <c r="I95" s="972"/>
      <c r="J95" s="511"/>
      <c r="K95" s="1406"/>
      <c r="L95" s="1407"/>
      <c r="M95" s="972"/>
    </row>
    <row r="96" spans="1:13" ht="15.75" customHeight="1">
      <c r="A96" s="639">
        <f>+A93+1</f>
        <v>55</v>
      </c>
      <c r="B96" s="26"/>
      <c r="C96" s="36" t="s">
        <v>144</v>
      </c>
      <c r="D96" s="26"/>
      <c r="E96" s="71" t="str">
        <f>"(Note "&amp;B$310&amp;")"</f>
        <v>(Note N)</v>
      </c>
      <c r="F96" s="1023" t="s">
        <v>668</v>
      </c>
      <c r="G96" s="97"/>
      <c r="H96" s="505">
        <f>J96+K96+L96</f>
        <v>0</v>
      </c>
      <c r="I96" s="426"/>
      <c r="J96" s="503">
        <f>'5 - Cost Support'!J223</f>
        <v>0</v>
      </c>
      <c r="K96" s="1401">
        <v>0</v>
      </c>
      <c r="L96" s="1402">
        <v>0</v>
      </c>
      <c r="M96" s="426"/>
    </row>
    <row r="97" spans="1:13" ht="15.75" customHeight="1">
      <c r="A97" s="958">
        <f>+A96+1</f>
        <v>56</v>
      </c>
      <c r="B97" s="26"/>
      <c r="C97" s="440" t="s">
        <v>647</v>
      </c>
      <c r="D97" s="96"/>
      <c r="E97" s="118" t="str">
        <f>+E96</f>
        <v>(Note N)</v>
      </c>
      <c r="F97" s="1027" t="s">
        <v>668</v>
      </c>
      <c r="G97" s="789"/>
      <c r="H97" s="530">
        <f>J97+K97+L97</f>
        <v>0</v>
      </c>
      <c r="I97" s="938"/>
      <c r="J97" s="530">
        <f>'5 - Cost Support'!J228</f>
        <v>0</v>
      </c>
      <c r="K97" s="1397">
        <v>0</v>
      </c>
      <c r="L97" s="1398">
        <v>0</v>
      </c>
      <c r="M97" s="426"/>
    </row>
    <row r="98" spans="1:13" ht="15.75" customHeight="1">
      <c r="A98" s="958">
        <f>+A97+1</f>
        <v>57</v>
      </c>
      <c r="B98" s="26"/>
      <c r="C98" s="26" t="s">
        <v>153</v>
      </c>
      <c r="D98" s="26"/>
      <c r="E98" s="61"/>
      <c r="F98" s="1022" t="str">
        <f>"(Line "&amp;A96&amp;" - "&amp;A97&amp;")"</f>
        <v>(Line 55 - 56)</v>
      </c>
      <c r="G98" s="97"/>
      <c r="H98" s="520">
        <f>+H96-H97</f>
        <v>0</v>
      </c>
      <c r="I98" s="426"/>
      <c r="J98" s="520">
        <f>+J96-J97</f>
        <v>0</v>
      </c>
      <c r="K98" s="1399">
        <f>+K96-K97</f>
        <v>0</v>
      </c>
      <c r="L98" s="1408">
        <f>+L96-L97</f>
        <v>0</v>
      </c>
      <c r="M98" s="426"/>
    </row>
    <row r="99" spans="1:13" ht="15.75" customHeight="1">
      <c r="A99" s="958"/>
      <c r="B99" s="26"/>
      <c r="C99" s="26"/>
      <c r="D99" s="26"/>
      <c r="E99" s="61"/>
      <c r="F99" s="1026"/>
      <c r="G99" s="97"/>
      <c r="H99" s="828"/>
      <c r="I99" s="426"/>
      <c r="J99" s="503"/>
      <c r="K99" s="1401"/>
      <c r="L99" s="1402"/>
      <c r="M99" s="426"/>
    </row>
    <row r="100" spans="1:13" ht="16.5" customHeight="1" thickBot="1">
      <c r="A100" s="958">
        <f>+A98+1</f>
        <v>58</v>
      </c>
      <c r="B100" s="10" t="s">
        <v>844</v>
      </c>
      <c r="C100" s="10"/>
      <c r="D100" s="10"/>
      <c r="E100" s="64"/>
      <c r="F100" s="1043" t="str">
        <f>"(Line "&amp;A67&amp;" + "&amp;A69&amp;" + "&amp;A72&amp;" + "&amp;A76&amp;" + "&amp;A78&amp;" + "&amp;A80&amp;" + "&amp;A81&amp;" + "&amp;A88&amp;" + "&amp;A93&amp;" - "&amp;A98&amp;" )"</f>
        <v>(Line 39 + 40 + 41 + 43 + 44 + 45 + 46 + 51 + 54 - 57 )</v>
      </c>
      <c r="G100" s="1053"/>
      <c r="H100" s="508">
        <f>SUM(H67,H72,H76,H78,H88,H93+H80+H81)-H98+H69</f>
        <v>-210508758.97071892</v>
      </c>
      <c r="I100" s="1064"/>
      <c r="J100" s="508">
        <f>SUM(J67,J72,J76,J78,J88,J93+J80+J81)-J98+J69</f>
        <v>-210508758.97071892</v>
      </c>
      <c r="K100" s="1409">
        <f>SUM(K67,K72,K76,K78,K88,K93+K80+K81)-K98+K69</f>
        <v>0</v>
      </c>
      <c r="L100" s="1409">
        <f>SUM(L67,L72,L76,L78,L88,L93+L80+L81)-L98+L69</f>
        <v>0</v>
      </c>
      <c r="M100" s="426"/>
    </row>
    <row r="101" spans="1:13" ht="16.5" customHeight="1" thickTop="1">
      <c r="A101" s="958"/>
      <c r="B101" s="26"/>
      <c r="C101" s="26"/>
      <c r="D101" s="26"/>
      <c r="E101" s="61"/>
      <c r="F101" s="1026"/>
      <c r="G101" s="97"/>
      <c r="H101" s="828"/>
      <c r="I101" s="426"/>
      <c r="J101" s="503"/>
      <c r="K101" s="503"/>
      <c r="L101" s="952"/>
      <c r="M101" s="426"/>
    </row>
    <row r="102" spans="1:13" ht="16.5" customHeight="1" thickBot="1">
      <c r="A102" s="953">
        <f>+A100+1</f>
        <v>59</v>
      </c>
      <c r="B102" s="10" t="s">
        <v>838</v>
      </c>
      <c r="C102" s="10"/>
      <c r="D102" s="10"/>
      <c r="E102" s="64"/>
      <c r="F102" s="1031" t="str">
        <f>"(Line "&amp;A61&amp;" + "&amp;A100&amp;")"</f>
        <v>(Line 37 + 58)</v>
      </c>
      <c r="G102" s="515"/>
      <c r="H102" s="512">
        <f>+H61+H100</f>
        <v>1047123693.8834176</v>
      </c>
      <c r="I102" s="1064"/>
      <c r="J102" s="512">
        <f>+J61+J100</f>
        <v>979646309.26803303</v>
      </c>
      <c r="K102" s="512">
        <f>+K61+K100</f>
        <v>23657846.15384616</v>
      </c>
      <c r="L102" s="989">
        <f>+L61+L100</f>
        <v>43819538.461538456</v>
      </c>
      <c r="M102" s="426"/>
    </row>
    <row r="103" spans="1:13" ht="16.5" customHeight="1" thickTop="1" thickBot="1">
      <c r="A103" s="1124"/>
      <c r="B103" s="1125"/>
      <c r="C103" s="1125"/>
      <c r="D103" s="1125"/>
      <c r="E103" s="1126"/>
      <c r="F103" s="1127"/>
      <c r="G103" s="889"/>
      <c r="H103" s="1128"/>
      <c r="I103" s="1129"/>
      <c r="J103" s="1130">
        <f>J102/$H$102</f>
        <v>0.93555929924082371</v>
      </c>
      <c r="K103" s="1130">
        <f>K102/$H$102</f>
        <v>2.2593172413191642E-2</v>
      </c>
      <c r="L103" s="1131">
        <f>L102/$H$102</f>
        <v>4.1847528345984639E-2</v>
      </c>
      <c r="M103" s="426"/>
    </row>
    <row r="104" spans="1:13" s="15" customFormat="1" ht="15.75" customHeight="1" thickBot="1">
      <c r="A104" s="964" t="s">
        <v>896</v>
      </c>
      <c r="B104" s="29"/>
      <c r="C104" s="991"/>
      <c r="D104" s="40"/>
      <c r="E104" s="378"/>
      <c r="F104" s="1032"/>
      <c r="G104" s="41"/>
      <c r="H104" s="906"/>
      <c r="I104" s="965"/>
      <c r="J104" s="506"/>
      <c r="K104" s="506"/>
      <c r="L104" s="966"/>
      <c r="M104" s="426"/>
    </row>
    <row r="105" spans="1:13" s="15" customFormat="1" ht="15.75" customHeight="1">
      <c r="A105" s="1562"/>
      <c r="B105" s="944"/>
      <c r="C105" s="944"/>
      <c r="D105" s="944"/>
      <c r="E105" s="945"/>
      <c r="F105" s="1021"/>
      <c r="G105" s="946"/>
      <c r="H105" s="947"/>
      <c r="I105" s="948"/>
      <c r="J105" s="949"/>
      <c r="K105" s="949"/>
      <c r="L105" s="950"/>
      <c r="M105" s="426"/>
    </row>
    <row r="106" spans="1:13" ht="15.75" customHeight="1">
      <c r="A106" s="953"/>
      <c r="B106" s="11" t="s">
        <v>825</v>
      </c>
      <c r="C106" s="21"/>
      <c r="D106" s="326"/>
      <c r="E106" s="382"/>
      <c r="F106" s="1026"/>
      <c r="G106" s="97"/>
      <c r="H106" s="903"/>
      <c r="I106" s="426"/>
      <c r="J106" s="503"/>
      <c r="K106" s="503"/>
      <c r="L106" s="952"/>
      <c r="M106" s="426"/>
    </row>
    <row r="107" spans="1:13" ht="15.75" customHeight="1">
      <c r="A107" s="639">
        <f>+A102+1</f>
        <v>60</v>
      </c>
      <c r="B107" s="23"/>
      <c r="C107" s="393" t="s">
        <v>825</v>
      </c>
      <c r="D107" s="25"/>
      <c r="E107" s="74"/>
      <c r="F107" s="1028" t="s">
        <v>607</v>
      </c>
      <c r="G107" s="104"/>
      <c r="H107" s="1434">
        <v>188803479</v>
      </c>
      <c r="I107" s="992"/>
      <c r="J107" s="1435">
        <f>H107-K107-L107</f>
        <v>181536113</v>
      </c>
      <c r="K107" s="1435">
        <v>6128020</v>
      </c>
      <c r="L107" s="1435">
        <v>1139346</v>
      </c>
      <c r="M107" s="426"/>
    </row>
    <row r="108" spans="1:13" ht="15.75" customHeight="1">
      <c r="A108" s="639">
        <f>+A107+1</f>
        <v>61</v>
      </c>
      <c r="B108" s="69"/>
      <c r="C108" s="393" t="s">
        <v>749</v>
      </c>
      <c r="D108" s="25"/>
      <c r="E108" s="74"/>
      <c r="F108" s="1028" t="s">
        <v>750</v>
      </c>
      <c r="G108" s="104"/>
      <c r="H108" s="1434">
        <f>+J108+K108+L108</f>
        <v>0</v>
      </c>
      <c r="I108" s="992"/>
      <c r="J108" s="1435">
        <v>0</v>
      </c>
      <c r="K108" s="502"/>
      <c r="L108" s="961"/>
      <c r="M108" s="426"/>
    </row>
    <row r="109" spans="1:13" ht="15.75" customHeight="1">
      <c r="A109" s="639">
        <f>+A108+1</f>
        <v>62</v>
      </c>
      <c r="B109" s="69"/>
      <c r="C109" s="393" t="s">
        <v>300</v>
      </c>
      <c r="D109" s="25"/>
      <c r="E109" s="74"/>
      <c r="F109" s="1028" t="s">
        <v>301</v>
      </c>
      <c r="G109" s="104"/>
      <c r="H109" s="509">
        <f>J109+K109+L109</f>
        <v>6663434.6658244291</v>
      </c>
      <c r="I109" s="992"/>
      <c r="J109" s="502">
        <f>+'Sch 1'!E18</f>
        <v>6663434.6658244291</v>
      </c>
      <c r="K109" s="502"/>
      <c r="L109" s="961"/>
      <c r="M109" s="426"/>
    </row>
    <row r="110" spans="1:13" ht="15.75" customHeight="1">
      <c r="A110" s="639">
        <f>+A109+1</f>
        <v>63</v>
      </c>
      <c r="B110" s="23"/>
      <c r="C110" s="393" t="s">
        <v>897</v>
      </c>
      <c r="D110" s="21"/>
      <c r="E110" s="981" t="s">
        <v>856</v>
      </c>
      <c r="F110" s="1030" t="s">
        <v>668</v>
      </c>
      <c r="G110" s="791"/>
      <c r="H110" s="908">
        <f>'5 - Cost Support'!K246</f>
        <v>160955697</v>
      </c>
      <c r="I110" s="1055"/>
      <c r="J110" s="530">
        <f>'5 - Cost Support'!K242</f>
        <v>156024965</v>
      </c>
      <c r="K110" s="530">
        <f>'5 - Cost Support'!K243</f>
        <v>4930732</v>
      </c>
      <c r="L110" s="1001">
        <f>'5 - Cost Support'!K244</f>
        <v>0</v>
      </c>
      <c r="M110" s="426"/>
    </row>
    <row r="111" spans="1:13" ht="15.75" customHeight="1">
      <c r="A111" s="639">
        <f>+A110+1</f>
        <v>64</v>
      </c>
      <c r="B111" s="25"/>
      <c r="C111" s="8" t="s">
        <v>825</v>
      </c>
      <c r="D111" s="17"/>
      <c r="E111" s="66"/>
      <c r="F111" s="1028" t="str">
        <f>"(Line "&amp;A107&amp;" - "&amp;A110&amp;")"</f>
        <v>(Line 60 - 63)</v>
      </c>
      <c r="G111" s="104"/>
      <c r="H111" s="909">
        <f>+H107+H108-H110-H109</f>
        <v>21184347.334175572</v>
      </c>
      <c r="I111" s="992"/>
      <c r="J111" s="909">
        <f>+J107+J108-J110-J109</f>
        <v>18847713.334175572</v>
      </c>
      <c r="K111" s="909">
        <f>+K107+K108-K110-K109</f>
        <v>1197288</v>
      </c>
      <c r="L111" s="970">
        <f>+L107+L108-L110-L109</f>
        <v>1139346</v>
      </c>
      <c r="M111" s="426"/>
    </row>
    <row r="112" spans="1:13" ht="15.75" customHeight="1">
      <c r="A112" s="639"/>
      <c r="B112" s="69"/>
      <c r="C112" s="11"/>
      <c r="D112" s="25"/>
      <c r="E112" s="957"/>
      <c r="F112" s="1044"/>
      <c r="G112" s="104"/>
      <c r="H112" s="904"/>
      <c r="I112" s="992"/>
      <c r="J112" s="502"/>
      <c r="K112" s="502"/>
      <c r="L112" s="961"/>
      <c r="M112" s="426"/>
    </row>
    <row r="113" spans="1:13" ht="15.75" customHeight="1">
      <c r="A113" s="639"/>
      <c r="B113" s="11" t="s">
        <v>359</v>
      </c>
      <c r="C113" s="25"/>
      <c r="D113" s="25"/>
      <c r="E113" s="957"/>
      <c r="F113" s="1044"/>
      <c r="G113" s="104"/>
      <c r="H113" s="904"/>
      <c r="I113" s="992"/>
      <c r="J113" s="502"/>
      <c r="K113" s="502"/>
      <c r="L113" s="961"/>
      <c r="M113" s="426"/>
    </row>
    <row r="114" spans="1:13" ht="15.75" customHeight="1">
      <c r="A114" s="639">
        <f>+A111+1</f>
        <v>65</v>
      </c>
      <c r="B114" s="69"/>
      <c r="C114" s="393" t="s">
        <v>828</v>
      </c>
      <c r="D114" s="25"/>
      <c r="E114" s="74"/>
      <c r="F114" s="1028" t="s">
        <v>608</v>
      </c>
      <c r="G114" s="104"/>
      <c r="H114" s="1434">
        <v>172081054</v>
      </c>
      <c r="I114" s="992"/>
      <c r="J114" s="502"/>
      <c r="K114" s="502"/>
      <c r="L114" s="961"/>
      <c r="M114" s="426"/>
    </row>
    <row r="115" spans="1:13" ht="15.75" customHeight="1">
      <c r="A115" s="639">
        <f>+A114+1</f>
        <v>66</v>
      </c>
      <c r="B115" s="69"/>
      <c r="C115" s="393" t="s">
        <v>463</v>
      </c>
      <c r="D115" s="25"/>
      <c r="E115" s="74"/>
      <c r="F115" s="1028" t="s">
        <v>668</v>
      </c>
      <c r="G115" s="104"/>
      <c r="H115" s="509">
        <f>'5 - Cost Support'!I86</f>
        <v>136768.95000000001</v>
      </c>
      <c r="I115" s="992"/>
      <c r="J115" s="502"/>
      <c r="K115" s="502"/>
      <c r="L115" s="961"/>
      <c r="M115" s="153"/>
    </row>
    <row r="116" spans="1:13" ht="15.75" customHeight="1">
      <c r="A116" s="639">
        <f>+A115+1</f>
        <v>67</v>
      </c>
      <c r="B116" s="69"/>
      <c r="C116" s="393" t="s">
        <v>902</v>
      </c>
      <c r="D116" s="328"/>
      <c r="E116" s="74"/>
      <c r="F116" s="1045" t="s">
        <v>609</v>
      </c>
      <c r="G116" s="104"/>
      <c r="H116" s="1434">
        <v>6318020</v>
      </c>
      <c r="I116" s="992"/>
      <c r="J116" s="502"/>
      <c r="K116" s="502"/>
      <c r="L116" s="961"/>
      <c r="M116" s="426"/>
    </row>
    <row r="117" spans="1:13" ht="15.75" customHeight="1">
      <c r="A117" s="639">
        <f t="shared" ref="A117:A122" si="1">+A116+1</f>
        <v>68</v>
      </c>
      <c r="B117" s="69"/>
      <c r="C117" s="393" t="s">
        <v>903</v>
      </c>
      <c r="D117" s="328"/>
      <c r="E117" s="71" t="str">
        <f>"(Note "&amp;B$301&amp;")"</f>
        <v>(Note E)</v>
      </c>
      <c r="F117" s="1045" t="s">
        <v>610</v>
      </c>
      <c r="G117" s="104"/>
      <c r="H117" s="1434">
        <v>16043545</v>
      </c>
      <c r="I117" s="992"/>
      <c r="J117" s="502"/>
      <c r="K117" s="502"/>
      <c r="L117" s="961"/>
      <c r="M117" s="426"/>
    </row>
    <row r="118" spans="1:13" ht="15.75" customHeight="1">
      <c r="A118" s="639">
        <f t="shared" si="1"/>
        <v>69</v>
      </c>
      <c r="B118" s="69"/>
      <c r="C118" s="393" t="s">
        <v>904</v>
      </c>
      <c r="D118" s="328"/>
      <c r="E118" s="74"/>
      <c r="F118" s="1045" t="s">
        <v>611</v>
      </c>
      <c r="G118" s="104"/>
      <c r="H118" s="1434">
        <v>56129</v>
      </c>
      <c r="I118" s="992"/>
      <c r="J118" s="502"/>
      <c r="K118" s="502"/>
      <c r="L118" s="961"/>
      <c r="M118" s="426"/>
    </row>
    <row r="119" spans="1:13">
      <c r="A119" s="639">
        <f t="shared" si="1"/>
        <v>70</v>
      </c>
      <c r="B119" s="69"/>
      <c r="C119" s="393" t="s">
        <v>885</v>
      </c>
      <c r="D119" s="26"/>
      <c r="E119" s="71" t="str">
        <f>"(Note "&amp;B$300&amp;")"</f>
        <v>(Note D)</v>
      </c>
      <c r="F119" s="1030" t="s">
        <v>840</v>
      </c>
      <c r="G119" s="791"/>
      <c r="H119" s="1469"/>
      <c r="I119" s="1055"/>
      <c r="J119" s="530"/>
      <c r="K119" s="502"/>
      <c r="L119" s="961"/>
      <c r="M119" s="426"/>
    </row>
    <row r="120" spans="1:13" ht="15.75" customHeight="1">
      <c r="A120" s="639">
        <f t="shared" si="1"/>
        <v>71</v>
      </c>
      <c r="B120" s="69"/>
      <c r="C120" s="8" t="s">
        <v>360</v>
      </c>
      <c r="D120" s="17"/>
      <c r="E120" s="388"/>
      <c r="F120" s="1022" t="str">
        <f>"(Line "&amp;A114&amp;") -  Sum ("&amp;A115&amp;" to "&amp;A119&amp;")"</f>
        <v>(Line 65) -  Sum (66 to 70)</v>
      </c>
      <c r="G120" s="104"/>
      <c r="H120" s="509">
        <f>H114-H116-H117-H118-H119-H115</f>
        <v>149526591.05000001</v>
      </c>
      <c r="I120" s="992"/>
      <c r="J120" s="509">
        <f>$H$120</f>
        <v>149526591.05000001</v>
      </c>
      <c r="K120" s="1061">
        <f>$H$120</f>
        <v>149526591.05000001</v>
      </c>
      <c r="L120" s="955">
        <f>$H$120</f>
        <v>149526591.05000001</v>
      </c>
      <c r="M120" s="426"/>
    </row>
    <row r="121" spans="1:13" ht="15.75" customHeight="1">
      <c r="A121" s="639">
        <f t="shared" si="1"/>
        <v>72</v>
      </c>
      <c r="B121" s="69"/>
      <c r="C121" s="393" t="s">
        <v>843</v>
      </c>
      <c r="D121" s="32"/>
      <c r="E121" s="637"/>
      <c r="F121" s="1046" t="str">
        <f>"(Line "&amp;A$13&amp;")"</f>
        <v>(Line 5)</v>
      </c>
      <c r="G121" s="791"/>
      <c r="H121" s="918">
        <f>+H13</f>
        <v>0.10801595633021691</v>
      </c>
      <c r="I121" s="1055"/>
      <c r="J121" s="712">
        <f>+$J$13</f>
        <v>0.10801595633021691</v>
      </c>
      <c r="K121" s="712"/>
      <c r="L121" s="976"/>
      <c r="M121" s="426"/>
    </row>
    <row r="122" spans="1:13" ht="15.75" customHeight="1">
      <c r="A122" s="639">
        <f t="shared" si="1"/>
        <v>73</v>
      </c>
      <c r="B122" s="69"/>
      <c r="C122" s="8" t="s">
        <v>362</v>
      </c>
      <c r="D122" s="25"/>
      <c r="E122" s="714"/>
      <c r="F122" s="1028" t="str">
        <f>"(Line "&amp;A120&amp;" * "&amp;A121&amp;")"</f>
        <v>(Line 71 * 72)</v>
      </c>
      <c r="G122" s="104"/>
      <c r="H122" s="909">
        <f>+H121*H120</f>
        <v>16151257.729063002</v>
      </c>
      <c r="I122" s="426"/>
      <c r="J122" s="909">
        <f>+J121*J120</f>
        <v>16151257.729063002</v>
      </c>
      <c r="K122" s="1411">
        <f>+K121*K120</f>
        <v>0</v>
      </c>
      <c r="L122" s="1412">
        <f>+L121*L120</f>
        <v>0</v>
      </c>
      <c r="M122" s="426"/>
    </row>
    <row r="123" spans="1:13" ht="15.75" customHeight="1">
      <c r="A123" s="639"/>
      <c r="B123" s="69"/>
      <c r="C123" s="11"/>
      <c r="D123" s="25"/>
      <c r="E123" s="957"/>
      <c r="F123" s="1044"/>
      <c r="G123" s="104"/>
      <c r="H123" s="509"/>
      <c r="I123" s="426"/>
      <c r="J123" s="502"/>
      <c r="K123" s="502"/>
      <c r="L123" s="961"/>
      <c r="M123" s="426"/>
    </row>
    <row r="124" spans="1:13" ht="15.75" customHeight="1">
      <c r="A124" s="639"/>
      <c r="B124" s="11" t="s">
        <v>785</v>
      </c>
      <c r="C124" s="36"/>
      <c r="D124" s="25"/>
      <c r="E124" s="957"/>
      <c r="F124" s="1044"/>
      <c r="G124" s="104"/>
      <c r="H124" s="509"/>
      <c r="I124" s="426"/>
      <c r="J124" s="502"/>
      <c r="K124" s="503"/>
      <c r="L124" s="952"/>
      <c r="M124" s="426"/>
    </row>
    <row r="125" spans="1:13" ht="15.75" customHeight="1">
      <c r="A125" s="639">
        <f>+A122+1</f>
        <v>74</v>
      </c>
      <c r="B125" s="982"/>
      <c r="C125" s="390" t="s">
        <v>905</v>
      </c>
      <c r="D125" s="71"/>
      <c r="E125" s="71" t="str">
        <f>"(Note "&amp;B$303&amp;")"</f>
        <v>(Note G)</v>
      </c>
      <c r="F125" s="1047" t="s">
        <v>668</v>
      </c>
      <c r="G125" s="104"/>
      <c r="H125" s="912">
        <f>+'5 - Cost Support'!H109</f>
        <v>4530767.4283016464</v>
      </c>
      <c r="I125" s="426"/>
      <c r="J125" s="502">
        <f>+'5 - Cost Support'!I109</f>
        <v>3434605.6776602552</v>
      </c>
      <c r="K125" s="502">
        <f>+'5 - Cost Support'!J109</f>
        <v>556275.57618301036</v>
      </c>
      <c r="L125" s="961">
        <f>+'5 - Cost Support'!K109</f>
        <v>539886.17445838079</v>
      </c>
      <c r="M125" s="426"/>
    </row>
    <row r="126" spans="1:13" ht="15.75" customHeight="1">
      <c r="A126" s="639">
        <f>+A125+1</f>
        <v>75</v>
      </c>
      <c r="B126" s="982"/>
      <c r="C126" s="57" t="s">
        <v>906</v>
      </c>
      <c r="D126" s="72"/>
      <c r="E126" s="73" t="str">
        <f>"(Note "&amp;B$307&amp;")"</f>
        <v>(Note K)</v>
      </c>
      <c r="F126" s="1041" t="s">
        <v>668</v>
      </c>
      <c r="G126" s="791"/>
      <c r="H126" s="915">
        <f>+'5 - Cost Support'!K114</f>
        <v>0</v>
      </c>
      <c r="I126" s="938"/>
      <c r="J126" s="530">
        <f>H126</f>
        <v>0</v>
      </c>
      <c r="K126" s="510">
        <v>0</v>
      </c>
      <c r="L126" s="975">
        <v>0</v>
      </c>
      <c r="M126" s="426"/>
    </row>
    <row r="127" spans="1:13" ht="15.75" customHeight="1">
      <c r="A127" s="639">
        <f>+A126+1</f>
        <v>76</v>
      </c>
      <c r="B127" s="982"/>
      <c r="C127" s="390" t="s">
        <v>886</v>
      </c>
      <c r="D127" s="993"/>
      <c r="E127" s="984"/>
      <c r="F127" s="1028" t="str">
        <f>"(Line "&amp;A125&amp;" + "&amp;A126&amp;")"</f>
        <v>(Line 74 + 75)</v>
      </c>
      <c r="G127" s="104"/>
      <c r="H127" s="913">
        <f>+H126+H125</f>
        <v>4530767.4283016464</v>
      </c>
      <c r="I127" s="426"/>
      <c r="J127" s="513">
        <f>J125</f>
        <v>3434605.6776602552</v>
      </c>
      <c r="K127" s="503">
        <f>SUM(K125:K126)</f>
        <v>556275.57618301036</v>
      </c>
      <c r="L127" s="952">
        <f>SUM(L125:L126)</f>
        <v>539886.17445838079</v>
      </c>
      <c r="M127" s="426"/>
    </row>
    <row r="128" spans="1:13" ht="15.75" customHeight="1">
      <c r="A128" s="639"/>
      <c r="B128" s="982"/>
      <c r="C128" s="390"/>
      <c r="D128" s="993"/>
      <c r="E128" s="984"/>
      <c r="F128" s="1047"/>
      <c r="G128" s="104"/>
      <c r="H128" s="916"/>
      <c r="I128" s="426"/>
      <c r="J128" s="502"/>
      <c r="K128" s="503"/>
      <c r="L128" s="952"/>
      <c r="M128" s="426"/>
    </row>
    <row r="129" spans="1:16" ht="15.75" customHeight="1">
      <c r="A129" s="639">
        <f>+A127+1</f>
        <v>77</v>
      </c>
      <c r="B129" s="982"/>
      <c r="C129" s="390" t="s">
        <v>907</v>
      </c>
      <c r="D129" s="993"/>
      <c r="E129" s="71" t="str">
        <f>"(Note "&amp;B$302&amp;")"</f>
        <v>(Note F)</v>
      </c>
      <c r="F129" s="1033" t="str">
        <f>"(Line "&amp;A116&amp;")"</f>
        <v>(Line 67)</v>
      </c>
      <c r="G129" s="104"/>
      <c r="H129" s="912">
        <f>+H116</f>
        <v>6318020</v>
      </c>
      <c r="I129" s="426"/>
      <c r="J129" s="502">
        <f>H129</f>
        <v>6318020</v>
      </c>
      <c r="K129" s="503"/>
      <c r="L129" s="952"/>
      <c r="M129" s="426"/>
    </row>
    <row r="130" spans="1:16" ht="16.5" customHeight="1">
      <c r="A130" s="639">
        <f>+A129+1</f>
        <v>78</v>
      </c>
      <c r="B130" s="982"/>
      <c r="C130" s="390" t="s">
        <v>906</v>
      </c>
      <c r="D130" s="993"/>
      <c r="E130" s="71"/>
      <c r="F130" s="1041" t="s">
        <v>668</v>
      </c>
      <c r="G130" s="791"/>
      <c r="H130" s="915">
        <f>'5 - Cost Support'!I114</f>
        <v>0</v>
      </c>
      <c r="I130" s="938"/>
      <c r="J130" s="530">
        <f>H130</f>
        <v>0</v>
      </c>
      <c r="K130" s="510"/>
      <c r="L130" s="975"/>
      <c r="M130" s="426"/>
    </row>
    <row r="131" spans="1:16" ht="15.75" customHeight="1">
      <c r="A131" s="639">
        <f>+A130+1</f>
        <v>79</v>
      </c>
      <c r="B131" s="982"/>
      <c r="C131" s="16" t="s">
        <v>851</v>
      </c>
      <c r="D131" s="768"/>
      <c r="E131" s="66"/>
      <c r="F131" s="1028" t="str">
        <f>"(Line "&amp;A129&amp;" + "&amp;A130&amp;")"</f>
        <v>(Line 77 + 78)</v>
      </c>
      <c r="G131" s="104"/>
      <c r="H131" s="912">
        <f>+H129+H130</f>
        <v>6318020</v>
      </c>
      <c r="I131" s="426"/>
      <c r="J131" s="912">
        <f>+J129+J130</f>
        <v>6318020</v>
      </c>
      <c r="K131" s="503"/>
      <c r="L131" s="952"/>
      <c r="M131" s="426"/>
    </row>
    <row r="132" spans="1:16" ht="15.75" customHeight="1">
      <c r="A132" s="639">
        <f>+A131+1</f>
        <v>80</v>
      </c>
      <c r="B132" s="69"/>
      <c r="C132" s="16" t="s">
        <v>808</v>
      </c>
      <c r="D132" s="34"/>
      <c r="E132" s="65"/>
      <c r="F132" s="1030" t="str">
        <f>"(Line "&amp;A$26&amp;")"</f>
        <v>(Line 14)</v>
      </c>
      <c r="G132" s="791"/>
      <c r="H132" s="918">
        <f>+H26</f>
        <v>0.20213185271297171</v>
      </c>
      <c r="I132" s="938"/>
      <c r="J132" s="1161">
        <f>H132</f>
        <v>0.20213185271297171</v>
      </c>
      <c r="K132" s="510"/>
      <c r="L132" s="975"/>
      <c r="M132" s="426"/>
    </row>
    <row r="133" spans="1:16" ht="15.75" customHeight="1">
      <c r="A133" s="639">
        <f>+A132+1</f>
        <v>81</v>
      </c>
      <c r="B133" s="69"/>
      <c r="C133" s="8" t="s">
        <v>786</v>
      </c>
      <c r="D133" s="17"/>
      <c r="E133" s="71" t="s">
        <v>970</v>
      </c>
      <c r="F133" s="1028" t="str">
        <f>"(Line "&amp;A131&amp;" * "&amp;A132&amp;")"</f>
        <v>(Line 79 * 80)</v>
      </c>
      <c r="G133" s="104"/>
      <c r="H133" s="913">
        <f>+H132*H131</f>
        <v>1277073.0880776094</v>
      </c>
      <c r="I133" s="426"/>
      <c r="J133" s="513">
        <f>H133</f>
        <v>1277073.0880776094</v>
      </c>
      <c r="K133" s="1413">
        <f>+K132*K131</f>
        <v>0</v>
      </c>
      <c r="L133" s="1405">
        <f>+L132*L131</f>
        <v>0</v>
      </c>
      <c r="M133" s="426"/>
    </row>
    <row r="134" spans="1:16" ht="15.75" customHeight="1">
      <c r="A134" s="953"/>
      <c r="B134" s="23"/>
      <c r="C134" s="11"/>
      <c r="D134" s="25"/>
      <c r="E134" s="382"/>
      <c r="F134" s="1025"/>
      <c r="G134" s="97"/>
      <c r="H134" s="903"/>
      <c r="I134" s="426"/>
      <c r="J134" s="503"/>
      <c r="K134" s="503"/>
      <c r="L134" s="952"/>
      <c r="M134" s="426"/>
    </row>
    <row r="135" spans="1:16" ht="16.5" customHeight="1" thickBot="1">
      <c r="A135" s="953">
        <f>+A133+1</f>
        <v>82</v>
      </c>
      <c r="B135" s="23"/>
      <c r="C135" s="9" t="s">
        <v>827</v>
      </c>
      <c r="D135" s="42"/>
      <c r="E135" s="389"/>
      <c r="F135" s="515" t="str">
        <f>"(Line "&amp;A111&amp;" + "&amp;A122&amp;" + "&amp;A127&amp;" + "&amp;A133&amp;")"</f>
        <v>(Line 64 + 73 + 76 + 81)</v>
      </c>
      <c r="G135" s="515"/>
      <c r="H135" s="514">
        <f>+H111+H122+H127+H133</f>
        <v>43143445.579617836</v>
      </c>
      <c r="I135" s="1064"/>
      <c r="J135" s="514">
        <f>+J111+J122+J127+J133</f>
        <v>39710649.828976445</v>
      </c>
      <c r="K135" s="514">
        <f>+K111+K122+K127+K133</f>
        <v>1753563.5761830104</v>
      </c>
      <c r="L135" s="994">
        <f>+L111+L122+L127+L133</f>
        <v>1679232.1744583808</v>
      </c>
      <c r="M135" s="426"/>
    </row>
    <row r="136" spans="1:16" ht="16.5" customHeight="1" thickTop="1" thickBot="1">
      <c r="A136" s="1563"/>
      <c r="B136" s="1564"/>
      <c r="C136" s="1565"/>
      <c r="D136" s="1566"/>
      <c r="E136" s="1567"/>
      <c r="F136" s="1568"/>
      <c r="G136" s="889"/>
      <c r="H136" s="1569"/>
      <c r="I136" s="1129"/>
      <c r="J136" s="1570"/>
      <c r="K136" s="1570"/>
      <c r="L136" s="1571"/>
      <c r="M136" s="426"/>
    </row>
    <row r="137" spans="1:16" ht="15.75" customHeight="1">
      <c r="A137" s="964" t="s">
        <v>821</v>
      </c>
      <c r="B137" s="29"/>
      <c r="C137" s="991"/>
      <c r="D137" s="40"/>
      <c r="E137" s="378"/>
      <c r="F137" s="1032"/>
      <c r="G137" s="978"/>
      <c r="H137" s="906"/>
      <c r="I137" s="965"/>
      <c r="J137" s="506"/>
      <c r="K137" s="506"/>
      <c r="L137" s="966"/>
      <c r="M137" s="426"/>
    </row>
    <row r="138" spans="1:16" ht="15.75" customHeight="1">
      <c r="A138" s="995"/>
      <c r="B138" s="23"/>
      <c r="C138" s="11"/>
      <c r="D138" s="25"/>
      <c r="E138" s="382"/>
      <c r="F138" s="1025"/>
      <c r="G138" s="97"/>
      <c r="H138" s="522"/>
      <c r="I138" s="426"/>
      <c r="J138" s="503"/>
      <c r="K138" s="503"/>
      <c r="L138" s="952"/>
      <c r="M138" s="426"/>
    </row>
    <row r="139" spans="1:16" ht="15.75" customHeight="1">
      <c r="A139" s="958"/>
      <c r="B139" s="59" t="str">
        <f>"Depreciation Expense  (Note "&amp;B312&amp;")"</f>
        <v>Depreciation Expense  (Note P)</v>
      </c>
      <c r="C139" s="36"/>
      <c r="D139" s="25"/>
      <c r="E139" s="74"/>
      <c r="F139" s="1159"/>
      <c r="G139" s="104"/>
      <c r="H139" s="1160"/>
      <c r="I139" s="426"/>
      <c r="J139" s="502"/>
      <c r="K139" s="502"/>
      <c r="L139" s="952"/>
      <c r="M139" s="426"/>
    </row>
    <row r="140" spans="1:16" ht="15.75" customHeight="1">
      <c r="A140" s="953">
        <f>+A135+1</f>
        <v>83</v>
      </c>
      <c r="B140" s="996"/>
      <c r="C140" s="57" t="s">
        <v>757</v>
      </c>
      <c r="D140" s="441"/>
      <c r="E140" s="65"/>
      <c r="F140" s="1041" t="s">
        <v>618</v>
      </c>
      <c r="G140" s="147"/>
      <c r="H140" s="1437">
        <v>37335524</v>
      </c>
      <c r="I140" s="938"/>
      <c r="J140" s="1435">
        <v>34175757</v>
      </c>
      <c r="K140" s="1435">
        <v>1538038</v>
      </c>
      <c r="L140" s="2029">
        <v>1621729</v>
      </c>
      <c r="M140" s="426"/>
      <c r="P140" s="1787"/>
    </row>
    <row r="141" spans="1:16" ht="15.75" customHeight="1">
      <c r="A141" s="953">
        <f>A140+1</f>
        <v>84</v>
      </c>
      <c r="B141" s="996"/>
      <c r="C141" s="11" t="s">
        <v>282</v>
      </c>
      <c r="D141" s="69"/>
      <c r="E141" s="36"/>
      <c r="F141" s="1033" t="str">
        <f>"(Line "&amp;A140&amp;")"</f>
        <v>(Line 83)</v>
      </c>
      <c r="G141" s="104"/>
      <c r="H141" s="913">
        <f>+H140</f>
        <v>37335524</v>
      </c>
      <c r="I141" s="426"/>
      <c r="J141" s="913">
        <f>+J140</f>
        <v>34175757</v>
      </c>
      <c r="K141" s="913">
        <f>+K140</f>
        <v>1538038</v>
      </c>
      <c r="L141" s="997">
        <f>+L140</f>
        <v>1621729</v>
      </c>
      <c r="M141" s="426"/>
      <c r="P141" s="56"/>
    </row>
    <row r="142" spans="1:16" ht="15.75" customHeight="1">
      <c r="A142" s="953"/>
      <c r="B142" s="996"/>
      <c r="C142" s="390"/>
      <c r="D142" s="25"/>
      <c r="E142" s="69"/>
      <c r="F142" s="1047"/>
      <c r="G142" s="104"/>
      <c r="H142" s="913"/>
      <c r="I142" s="426"/>
      <c r="J142" s="502"/>
      <c r="K142" s="502"/>
      <c r="L142" s="952"/>
      <c r="M142" s="426"/>
      <c r="P142" s="1953"/>
    </row>
    <row r="143" spans="1:16" ht="15.75" customHeight="1">
      <c r="A143" s="953">
        <f>+A140+1</f>
        <v>84</v>
      </c>
      <c r="B143" s="996"/>
      <c r="C143" s="390" t="s">
        <v>468</v>
      </c>
      <c r="D143" s="25"/>
      <c r="E143" s="69"/>
      <c r="F143" s="1047" t="s">
        <v>469</v>
      </c>
      <c r="G143" s="104"/>
      <c r="H143" s="1436">
        <v>62215323</v>
      </c>
      <c r="I143" s="426"/>
      <c r="J143" s="1435">
        <f>H143</f>
        <v>62215323</v>
      </c>
      <c r="K143" s="502"/>
      <c r="L143" s="952"/>
      <c r="M143" s="426"/>
      <c r="P143" s="56"/>
    </row>
    <row r="144" spans="1:16" ht="15.75" customHeight="1">
      <c r="A144" s="953">
        <f t="shared" ref="A144:A150" si="2">+A143+1</f>
        <v>85</v>
      </c>
      <c r="B144" s="996"/>
      <c r="C144" s="402" t="s">
        <v>208</v>
      </c>
      <c r="D144" s="441"/>
      <c r="E144" s="65"/>
      <c r="F144" s="1041"/>
      <c r="G144" s="147"/>
      <c r="H144" s="1943">
        <v>0.16615823137050936</v>
      </c>
      <c r="I144" s="1470"/>
      <c r="J144" s="1943">
        <v>0.16615823137050936</v>
      </c>
      <c r="K144" s="502"/>
      <c r="L144" s="952"/>
      <c r="M144" s="426"/>
    </row>
    <row r="145" spans="1:16" ht="15.75" customHeight="1">
      <c r="A145" s="953">
        <f t="shared" si="2"/>
        <v>86</v>
      </c>
      <c r="B145" s="26"/>
      <c r="C145" s="393" t="s">
        <v>210</v>
      </c>
      <c r="D145" s="36"/>
      <c r="E145" s="36"/>
      <c r="F145" s="1023"/>
      <c r="G145" s="36"/>
      <c r="H145" s="502">
        <f>H143*H144</f>
        <v>10337588.033824973</v>
      </c>
      <c r="I145" s="426"/>
      <c r="J145" s="502">
        <f>J143*J144</f>
        <v>10337588.033824973</v>
      </c>
      <c r="K145" s="502"/>
      <c r="L145" s="952"/>
      <c r="M145" s="426"/>
      <c r="P145" s="1849"/>
    </row>
    <row r="146" spans="1:16" s="15" customFormat="1" ht="15.75" customHeight="1">
      <c r="A146" s="953">
        <f t="shared" si="2"/>
        <v>87</v>
      </c>
      <c r="B146" s="996"/>
      <c r="C146" s="390" t="s">
        <v>850</v>
      </c>
      <c r="D146" s="25"/>
      <c r="E146" s="69"/>
      <c r="F146" s="1047" t="s">
        <v>619</v>
      </c>
      <c r="G146" s="104"/>
      <c r="H146" s="1436">
        <v>15618734</v>
      </c>
      <c r="I146" s="426"/>
      <c r="J146" s="502"/>
      <c r="K146" s="502"/>
      <c r="L146" s="961"/>
      <c r="M146" s="426"/>
      <c r="P146" s="1954"/>
    </row>
    <row r="147" spans="1:16" ht="15.75" customHeight="1">
      <c r="A147" s="953">
        <f t="shared" si="2"/>
        <v>88</v>
      </c>
      <c r="B147" s="996"/>
      <c r="C147" s="57" t="s">
        <v>809</v>
      </c>
      <c r="D147" s="441"/>
      <c r="E147" s="73" t="str">
        <f>"(Note "&amp;B$297&amp;")"</f>
        <v>(Note A)</v>
      </c>
      <c r="F147" s="1041" t="s">
        <v>620</v>
      </c>
      <c r="G147" s="791"/>
      <c r="H147" s="1437">
        <v>11541190</v>
      </c>
      <c r="I147" s="938"/>
      <c r="J147" s="530"/>
      <c r="K147" s="530"/>
      <c r="L147" s="975"/>
      <c r="M147" s="426"/>
    </row>
    <row r="148" spans="1:16" ht="15.75" customHeight="1">
      <c r="A148" s="953">
        <f t="shared" si="2"/>
        <v>89</v>
      </c>
      <c r="B148" s="996"/>
      <c r="C148" s="390" t="s">
        <v>851</v>
      </c>
      <c r="D148" s="25"/>
      <c r="E148" s="69"/>
      <c r="F148" s="1028" t="str">
        <f>"(Line "&amp;A146&amp;" + "&amp;A147&amp;")"</f>
        <v>(Line 87 + 88)</v>
      </c>
      <c r="G148" s="104"/>
      <c r="H148" s="912">
        <f>SUM(H146:H147)</f>
        <v>27159924</v>
      </c>
      <c r="I148" s="426"/>
      <c r="J148" s="502">
        <f>$H$148</f>
        <v>27159924</v>
      </c>
      <c r="K148" s="502">
        <f>J148</f>
        <v>27159924</v>
      </c>
      <c r="L148" s="952">
        <f>$H$148</f>
        <v>27159924</v>
      </c>
      <c r="M148" s="426"/>
    </row>
    <row r="149" spans="1:16" ht="15.75" customHeight="1">
      <c r="A149" s="953">
        <f t="shared" si="2"/>
        <v>90</v>
      </c>
      <c r="B149" s="996"/>
      <c r="C149" s="390" t="s">
        <v>843</v>
      </c>
      <c r="D149" s="32"/>
      <c r="E149" s="637"/>
      <c r="F149" s="1046" t="str">
        <f>"(Line "&amp;A$13&amp;")"</f>
        <v>(Line 5)</v>
      </c>
      <c r="G149" s="791"/>
      <c r="H149" s="918">
        <f>+H13</f>
        <v>0.10801595633021691</v>
      </c>
      <c r="I149" s="938"/>
      <c r="J149" s="712">
        <f>+$J$13</f>
        <v>0.10801595633021691</v>
      </c>
      <c r="K149" s="712"/>
      <c r="L149" s="976"/>
      <c r="M149" s="426"/>
    </row>
    <row r="150" spans="1:16" ht="15.75" customHeight="1">
      <c r="A150" s="639">
        <f t="shared" si="2"/>
        <v>91</v>
      </c>
      <c r="B150" s="996"/>
      <c r="C150" s="59" t="s">
        <v>811</v>
      </c>
      <c r="D150" s="25"/>
      <c r="E150" s="714"/>
      <c r="F150" s="1022" t="str">
        <f>"(Line "&amp;A148&amp;" * "&amp;A149&amp;"+"&amp;A145&amp;")"</f>
        <v>(Line 89 * 90+86)</v>
      </c>
      <c r="G150" s="97"/>
      <c r="H150" s="913">
        <f>(+H148*H149)+H145</f>
        <v>13271293.198540982</v>
      </c>
      <c r="I150" s="426"/>
      <c r="J150" s="913">
        <f>(+J148*J149)+J145</f>
        <v>13271293.198540982</v>
      </c>
      <c r="K150" s="1404">
        <f>+K148*K149</f>
        <v>0</v>
      </c>
      <c r="L150" s="1414">
        <f>+L148*L149</f>
        <v>0</v>
      </c>
      <c r="M150" s="426"/>
    </row>
    <row r="151" spans="1:16" ht="15.75" customHeight="1">
      <c r="A151" s="998"/>
      <c r="B151" s="999"/>
      <c r="C151" s="390"/>
      <c r="D151" s="25"/>
      <c r="E151" s="69"/>
      <c r="F151" s="1047"/>
      <c r="G151" s="97"/>
      <c r="H151" s="914"/>
      <c r="I151" s="426"/>
      <c r="J151" s="503"/>
      <c r="K151" s="503"/>
      <c r="L151" s="952"/>
      <c r="M151" s="426"/>
    </row>
    <row r="152" spans="1:16" s="1" customFormat="1" ht="16.5" customHeight="1" thickBot="1">
      <c r="A152" s="639">
        <f>+A150+1</f>
        <v>92</v>
      </c>
      <c r="B152" s="391" t="s">
        <v>822</v>
      </c>
      <c r="C152" s="391"/>
      <c r="D152" s="37"/>
      <c r="E152" s="392"/>
      <c r="F152" s="515" t="str">
        <f>"(Line "&amp;A141&amp;" + "&amp;A150&amp;")"</f>
        <v>(Line 84 + 91)</v>
      </c>
      <c r="G152" s="515"/>
      <c r="H152" s="515">
        <f>+H150+H141</f>
        <v>50606817.198540986</v>
      </c>
      <c r="I152" s="1066"/>
      <c r="J152" s="515">
        <f>+J150+J141</f>
        <v>47447050.198540986</v>
      </c>
      <c r="K152" s="515">
        <f>+K150+K141</f>
        <v>1538038</v>
      </c>
      <c r="L152" s="1000">
        <f>+L150+L141</f>
        <v>1621729</v>
      </c>
      <c r="M152" s="972"/>
    </row>
    <row r="153" spans="1:16" ht="16.5" customHeight="1" thickTop="1">
      <c r="A153" s="990"/>
      <c r="B153" s="21"/>
      <c r="C153" s="21"/>
      <c r="D153" s="21"/>
      <c r="E153" s="61"/>
      <c r="F153" s="1026"/>
      <c r="G153" s="97"/>
      <c r="H153" s="828"/>
      <c r="I153" s="426"/>
      <c r="J153" s="503"/>
      <c r="K153" s="503"/>
      <c r="L153" s="952"/>
      <c r="M153" s="426"/>
    </row>
    <row r="154" spans="1:16" ht="16.5" customHeight="1">
      <c r="A154" s="964" t="s">
        <v>659</v>
      </c>
      <c r="B154" s="29"/>
      <c r="C154" s="991"/>
      <c r="D154" s="40"/>
      <c r="E154" s="101"/>
      <c r="F154" s="1032"/>
      <c r="G154" s="978"/>
      <c r="H154" s="906"/>
      <c r="I154" s="965"/>
      <c r="J154" s="506"/>
      <c r="K154" s="506"/>
      <c r="L154" s="966"/>
      <c r="M154" s="426"/>
    </row>
    <row r="155" spans="1:16" ht="15.75" customHeight="1">
      <c r="A155" s="979"/>
      <c r="B155" s="23"/>
      <c r="C155" s="11"/>
      <c r="D155" s="25"/>
      <c r="E155" s="382"/>
      <c r="F155" s="1025"/>
      <c r="G155" s="97"/>
      <c r="H155" s="522"/>
      <c r="I155" s="426"/>
      <c r="J155" s="503"/>
      <c r="K155" s="503"/>
      <c r="L155" s="952"/>
      <c r="M155" s="426"/>
    </row>
    <row r="156" spans="1:16" ht="15.75" customHeight="1">
      <c r="A156" s="639">
        <f>+A152+1</f>
        <v>93</v>
      </c>
      <c r="B156" s="102" t="s">
        <v>572</v>
      </c>
      <c r="C156" s="983"/>
      <c r="D156" s="25"/>
      <c r="E156" s="981"/>
      <c r="F156" s="1023" t="s">
        <v>670</v>
      </c>
      <c r="G156" s="1158"/>
      <c r="H156" s="502">
        <f>SUM(J156:L156)</f>
        <v>9873825.9054017793</v>
      </c>
      <c r="I156" s="972"/>
      <c r="J156" s="502">
        <f>'2 - Other Tax'!G52</f>
        <v>8342600.9054017793</v>
      </c>
      <c r="K156" s="502">
        <f>'2 - Other Tax'!G49</f>
        <v>988777</v>
      </c>
      <c r="L156" s="961">
        <f>'2 - Other Tax'!G50</f>
        <v>542448</v>
      </c>
      <c r="M156" s="426"/>
    </row>
    <row r="157" spans="1:16" ht="15.75" customHeight="1">
      <c r="A157" s="971"/>
      <c r="B157" s="25"/>
      <c r="C157" s="21"/>
      <c r="D157" s="21"/>
      <c r="E157" s="23"/>
      <c r="F157" s="1023"/>
      <c r="G157" s="97"/>
      <c r="H157" s="905"/>
      <c r="I157" s="426"/>
      <c r="J157" s="503"/>
      <c r="K157" s="503"/>
      <c r="L157" s="952"/>
      <c r="M157" s="426"/>
    </row>
    <row r="158" spans="1:16" ht="16.5" customHeight="1" thickBot="1">
      <c r="A158" s="639">
        <f>+A156+1</f>
        <v>94</v>
      </c>
      <c r="B158" s="9" t="s">
        <v>751</v>
      </c>
      <c r="C158" s="9"/>
      <c r="D158" s="37"/>
      <c r="E158" s="64"/>
      <c r="F158" s="1037" t="str">
        <f>"(Line "&amp;A156&amp;")"</f>
        <v>(Line 93)</v>
      </c>
      <c r="G158" s="1053"/>
      <c r="H158" s="508">
        <f>+H156</f>
        <v>9873825.9054017793</v>
      </c>
      <c r="I158" s="1064"/>
      <c r="J158" s="508">
        <f>+J156</f>
        <v>8342600.9054017793</v>
      </c>
      <c r="K158" s="508">
        <f>+K156</f>
        <v>988777</v>
      </c>
      <c r="L158" s="973">
        <f>+L156</f>
        <v>542448</v>
      </c>
      <c r="M158" s="426"/>
    </row>
    <row r="159" spans="1:16" ht="17.25" customHeight="1" thickTop="1">
      <c r="A159" s="958"/>
      <c r="B159" s="21"/>
      <c r="C159" s="21"/>
      <c r="D159" s="21"/>
      <c r="E159" s="61"/>
      <c r="F159" s="1026"/>
      <c r="G159" s="97"/>
      <c r="H159" s="828"/>
      <c r="I159" s="426"/>
      <c r="J159" s="503"/>
      <c r="K159" s="503"/>
      <c r="L159" s="952"/>
      <c r="M159" s="426"/>
    </row>
    <row r="160" spans="1:16" ht="15.75" customHeight="1">
      <c r="A160" s="964" t="s">
        <v>812</v>
      </c>
      <c r="B160" s="29"/>
      <c r="C160" s="991"/>
      <c r="D160" s="40"/>
      <c r="E160" s="378"/>
      <c r="F160" s="1032"/>
      <c r="G160" s="978"/>
      <c r="H160" s="906"/>
      <c r="I160" s="965"/>
      <c r="J160" s="506"/>
      <c r="K160" s="506"/>
      <c r="L160" s="966"/>
      <c r="M160" s="426"/>
    </row>
    <row r="161" spans="1:13" ht="15.75" customHeight="1">
      <c r="A161" s="963"/>
      <c r="B161" s="23"/>
      <c r="C161" s="11"/>
      <c r="D161" s="25"/>
      <c r="E161" s="382"/>
      <c r="F161" s="1025"/>
      <c r="G161" s="97"/>
      <c r="H161" s="522"/>
      <c r="I161" s="426"/>
      <c r="J161" s="503"/>
      <c r="K161" s="503"/>
      <c r="L161" s="952"/>
      <c r="M161" s="426"/>
    </row>
    <row r="162" spans="1:13" ht="15.75" customHeight="1">
      <c r="A162" s="639"/>
      <c r="B162" s="1139" t="s">
        <v>344</v>
      </c>
      <c r="C162" s="1140"/>
      <c r="D162" s="1141"/>
      <c r="E162" s="1141"/>
      <c r="F162" s="1142"/>
      <c r="G162" s="1143"/>
      <c r="H162" s="1144"/>
      <c r="I162" s="830"/>
      <c r="J162" s="829"/>
      <c r="K162" s="503"/>
      <c r="L162" s="952"/>
      <c r="M162" s="426"/>
    </row>
    <row r="163" spans="1:13" ht="15.75" customHeight="1">
      <c r="A163" s="639">
        <f>+A158+1</f>
        <v>95</v>
      </c>
      <c r="B163" s="1143"/>
      <c r="C163" s="1143" t="s">
        <v>306</v>
      </c>
      <c r="D163" s="1143" t="s">
        <v>343</v>
      </c>
      <c r="E163" s="1145"/>
      <c r="F163" s="1146"/>
      <c r="G163" s="1143"/>
      <c r="H163" s="1147">
        <f>+'WKSHT6 - Cost of Capital'!P5</f>
        <v>5070013846.1538458</v>
      </c>
      <c r="I163" s="26"/>
      <c r="J163" s="828"/>
      <c r="K163" s="503"/>
      <c r="L163" s="952"/>
      <c r="M163" s="426"/>
    </row>
    <row r="164" spans="1:13" ht="15.75" customHeight="1">
      <c r="A164" s="639">
        <f>+A163+1</f>
        <v>96</v>
      </c>
      <c r="B164" s="1143"/>
      <c r="C164" s="1143" t="s">
        <v>307</v>
      </c>
      <c r="D164" s="1143" t="s">
        <v>343</v>
      </c>
      <c r="E164" s="1145"/>
      <c r="F164" s="1146"/>
      <c r="G164" s="1143"/>
      <c r="H164" s="1147">
        <f>+'WKSHT6 - Cost of Capital'!P6</f>
        <v>0</v>
      </c>
      <c r="I164" s="26"/>
      <c r="J164" s="828"/>
      <c r="K164" s="503"/>
      <c r="L164" s="952"/>
      <c r="M164" s="426"/>
    </row>
    <row r="165" spans="1:13" ht="15.75" customHeight="1">
      <c r="A165" s="639">
        <f t="shared" ref="A165:A201" si="3">+A164+1</f>
        <v>97</v>
      </c>
      <c r="B165" s="1143"/>
      <c r="C165" s="1143" t="s">
        <v>308</v>
      </c>
      <c r="D165" s="1143" t="s">
        <v>343</v>
      </c>
      <c r="E165" s="1145"/>
      <c r="F165" s="1146"/>
      <c r="G165" s="1143"/>
      <c r="H165" s="1147">
        <f>+'WKSHT6 - Cost of Capital'!P8</f>
        <v>0</v>
      </c>
      <c r="I165" s="26"/>
      <c r="J165" s="828"/>
      <c r="K165" s="503"/>
      <c r="L165" s="952"/>
      <c r="M165" s="426"/>
    </row>
    <row r="166" spans="1:13" ht="15.75" customHeight="1">
      <c r="A166" s="639">
        <f t="shared" si="3"/>
        <v>98</v>
      </c>
      <c r="B166" s="1143"/>
      <c r="C166" s="1148" t="s">
        <v>309</v>
      </c>
      <c r="D166" s="1148" t="s">
        <v>343</v>
      </c>
      <c r="E166" s="1149"/>
      <c r="F166" s="1150"/>
      <c r="G166" s="1151"/>
      <c r="H166" s="1151">
        <f>+'WKSHT6 - Cost of Capital'!P9</f>
        <v>0</v>
      </c>
      <c r="I166" s="26"/>
      <c r="J166" s="828"/>
      <c r="K166" s="503"/>
      <c r="L166" s="952"/>
      <c r="M166" s="426"/>
    </row>
    <row r="167" spans="1:13" ht="15.75" customHeight="1">
      <c r="A167" s="639">
        <f t="shared" si="3"/>
        <v>99</v>
      </c>
      <c r="B167" s="1143"/>
      <c r="C167" s="1143" t="s">
        <v>673</v>
      </c>
      <c r="D167" s="1143" t="str">
        <f>"(Sum Ln "&amp;A163&amp;" through "&amp;A166&amp;""</f>
        <v>(Sum Ln 95 through 98</v>
      </c>
      <c r="E167" s="1145"/>
      <c r="F167" s="1146"/>
      <c r="G167" s="1143"/>
      <c r="H167" s="1147">
        <f>SUM(H163:H166)</f>
        <v>5070013846.1538458</v>
      </c>
      <c r="I167" s="26"/>
      <c r="J167" s="828"/>
      <c r="K167" s="503"/>
      <c r="L167" s="952"/>
      <c r="M167" s="426"/>
    </row>
    <row r="168" spans="1:13" ht="15.75" customHeight="1">
      <c r="A168" s="639"/>
      <c r="B168" s="1143"/>
      <c r="C168" s="1143"/>
      <c r="D168" s="1143"/>
      <c r="E168" s="1145"/>
      <c r="F168" s="1146"/>
      <c r="G168" s="1143"/>
      <c r="H168" s="1147"/>
      <c r="I168" s="26"/>
      <c r="J168" s="828"/>
      <c r="K168" s="503"/>
      <c r="L168" s="952"/>
      <c r="M168" s="426"/>
    </row>
    <row r="169" spans="1:13" ht="15.75" customHeight="1">
      <c r="A169" s="639">
        <f>+A167+1</f>
        <v>100</v>
      </c>
      <c r="B169" s="1143"/>
      <c r="C169" s="1143" t="s">
        <v>310</v>
      </c>
      <c r="D169" s="1143" t="s">
        <v>343</v>
      </c>
      <c r="E169" s="1145"/>
      <c r="F169" s="1146" t="s">
        <v>341</v>
      </c>
      <c r="G169" s="1143"/>
      <c r="H169" s="1147">
        <f>+'WKSHT6 - Cost of Capital'!P12</f>
        <v>-17567751.48153846</v>
      </c>
      <c r="I169" s="26"/>
      <c r="J169" s="828"/>
      <c r="K169" s="503"/>
      <c r="L169" s="952"/>
      <c r="M169" s="426"/>
    </row>
    <row r="170" spans="1:13" ht="15.75" customHeight="1">
      <c r="A170" s="639">
        <f t="shared" si="3"/>
        <v>101</v>
      </c>
      <c r="B170" s="1143"/>
      <c r="C170" s="1143" t="s">
        <v>311</v>
      </c>
      <c r="D170" s="1143" t="s">
        <v>343</v>
      </c>
      <c r="E170" s="1145"/>
      <c r="F170" s="1146" t="s">
        <v>341</v>
      </c>
      <c r="G170" s="1143"/>
      <c r="H170" s="1147">
        <f>+'WKSHT6 - Cost of Capital'!P13</f>
        <v>-23908641.103846155</v>
      </c>
      <c r="I170" s="26"/>
      <c r="J170" s="828"/>
      <c r="K170" s="503"/>
      <c r="L170" s="952"/>
      <c r="M170" s="426"/>
    </row>
    <row r="171" spans="1:13" ht="15.75" customHeight="1">
      <c r="A171" s="639">
        <f t="shared" si="3"/>
        <v>102</v>
      </c>
      <c r="B171" s="1143"/>
      <c r="C171" s="1143" t="s">
        <v>312</v>
      </c>
      <c r="D171" s="1143" t="s">
        <v>343</v>
      </c>
      <c r="E171" s="1145"/>
      <c r="F171" s="1146" t="s">
        <v>341</v>
      </c>
      <c r="G171" s="1152"/>
      <c r="H171" s="1147">
        <f>+'WKSHT6 - Cost of Capital'!P14</f>
        <v>-32677380.176153842</v>
      </c>
      <c r="I171" s="26"/>
      <c r="J171" s="828"/>
      <c r="K171" s="503"/>
      <c r="L171" s="952"/>
      <c r="M171" s="426"/>
    </row>
    <row r="172" spans="1:13" ht="15.75" customHeight="1">
      <c r="A172" s="639">
        <f t="shared" si="3"/>
        <v>103</v>
      </c>
      <c r="B172" s="1143"/>
      <c r="C172" s="1143" t="s">
        <v>313</v>
      </c>
      <c r="D172" s="1143" t="s">
        <v>343</v>
      </c>
      <c r="E172" s="1145"/>
      <c r="F172" s="1146" t="s">
        <v>341</v>
      </c>
      <c r="G172" s="1152"/>
      <c r="H172" s="1147">
        <f>+'WKSHT6 - Cost of Capital'!P15</f>
        <v>0</v>
      </c>
      <c r="I172" s="26"/>
      <c r="J172" s="828"/>
      <c r="K172" s="503"/>
      <c r="L172" s="952"/>
      <c r="M172" s="426"/>
    </row>
    <row r="173" spans="1:13" ht="15.75" customHeight="1">
      <c r="A173" s="639">
        <f t="shared" si="3"/>
        <v>104</v>
      </c>
      <c r="B173" s="1143"/>
      <c r="C173" s="1148" t="s">
        <v>314</v>
      </c>
      <c r="D173" s="1148" t="s">
        <v>343</v>
      </c>
      <c r="E173" s="1149"/>
      <c r="F173" s="1150" t="s">
        <v>341</v>
      </c>
      <c r="G173" s="1153"/>
      <c r="H173" s="1151">
        <f>+'WKSHT6 - Cost of Capital'!P16</f>
        <v>0</v>
      </c>
      <c r="I173" s="26"/>
      <c r="J173" s="828"/>
      <c r="K173" s="503"/>
      <c r="L173" s="952"/>
      <c r="M173" s="426"/>
    </row>
    <row r="174" spans="1:13" ht="15.75" customHeight="1">
      <c r="A174" s="639">
        <f t="shared" si="3"/>
        <v>105</v>
      </c>
      <c r="B174" s="1143"/>
      <c r="C174" s="1143" t="s">
        <v>674</v>
      </c>
      <c r="D174" s="1143" t="str">
        <f>"(Sum Ln "&amp;A169&amp;" through "&amp;A173&amp;""</f>
        <v>(Sum Ln 100 through 104</v>
      </c>
      <c r="E174" s="1145"/>
      <c r="F174" s="1146"/>
      <c r="G174" s="1152"/>
      <c r="H174" s="1147">
        <f>SUM(H167:H173)</f>
        <v>4995860073.3923063</v>
      </c>
      <c r="I174" s="26"/>
      <c r="J174" s="828"/>
      <c r="K174" s="503"/>
      <c r="L174" s="952"/>
      <c r="M174" s="426"/>
    </row>
    <row r="175" spans="1:13" ht="15.75" customHeight="1">
      <c r="A175" s="639"/>
      <c r="B175" s="1143"/>
      <c r="C175" s="1143"/>
      <c r="D175" s="1143"/>
      <c r="E175" s="1145"/>
      <c r="F175" s="1146"/>
      <c r="G175" s="1152"/>
      <c r="H175" s="1147"/>
      <c r="I175" s="26"/>
      <c r="J175" s="828"/>
      <c r="K175" s="503"/>
      <c r="L175" s="952"/>
      <c r="M175" s="426"/>
    </row>
    <row r="176" spans="1:13" ht="15.75" customHeight="1">
      <c r="A176" s="639"/>
      <c r="B176" s="1139" t="s">
        <v>687</v>
      </c>
      <c r="C176" s="1143"/>
      <c r="D176" s="1143"/>
      <c r="E176" s="1145"/>
      <c r="F176" s="1146"/>
      <c r="G176" s="1143"/>
      <c r="H176" s="1147"/>
      <c r="I176" s="26"/>
      <c r="J176" s="828"/>
      <c r="K176" s="503"/>
      <c r="L176" s="952"/>
      <c r="M176" s="426"/>
    </row>
    <row r="177" spans="1:13" ht="15.75" customHeight="1">
      <c r="A177" s="639">
        <f>+A174+1</f>
        <v>106</v>
      </c>
      <c r="B177" s="1143"/>
      <c r="C177" s="1143" t="s">
        <v>315</v>
      </c>
      <c r="D177" s="1143" t="s">
        <v>343</v>
      </c>
      <c r="E177" s="1145"/>
      <c r="F177" s="1146" t="s">
        <v>341</v>
      </c>
      <c r="G177" s="1143"/>
      <c r="H177" s="1147">
        <f>+'WKSHT6 - Cost of Capital'!P24</f>
        <v>253214629</v>
      </c>
      <c r="I177" s="26"/>
      <c r="J177" s="828"/>
      <c r="K177" s="503"/>
      <c r="L177" s="952"/>
      <c r="M177" s="426"/>
    </row>
    <row r="178" spans="1:13" ht="15.75" customHeight="1">
      <c r="A178" s="639">
        <f t="shared" si="3"/>
        <v>107</v>
      </c>
      <c r="B178" s="1143"/>
      <c r="C178" s="1143" t="s">
        <v>316</v>
      </c>
      <c r="D178" s="1143" t="s">
        <v>343</v>
      </c>
      <c r="E178" s="1145"/>
      <c r="F178" s="1146" t="s">
        <v>341</v>
      </c>
      <c r="G178" s="1143"/>
      <c r="H178" s="1147">
        <f>+'WKSHT6 - Cost of Capital'!P25</f>
        <v>2648196</v>
      </c>
      <c r="I178" s="26"/>
      <c r="J178" s="828"/>
      <c r="K178" s="503"/>
      <c r="L178" s="952"/>
      <c r="M178" s="426"/>
    </row>
    <row r="179" spans="1:13" ht="15.75" customHeight="1">
      <c r="A179" s="639">
        <f>+A178+1</f>
        <v>108</v>
      </c>
      <c r="B179" s="1143"/>
      <c r="C179" s="1143" t="s">
        <v>317</v>
      </c>
      <c r="D179" s="1143" t="s">
        <v>343</v>
      </c>
      <c r="E179" s="1145"/>
      <c r="F179" s="1146" t="s">
        <v>341</v>
      </c>
      <c r="G179" s="1143"/>
      <c r="H179" s="1147">
        <f>+'WKSHT6 - Cost of Capital'!P26</f>
        <v>2106146</v>
      </c>
      <c r="I179" s="26"/>
      <c r="J179" s="828"/>
      <c r="K179" s="503"/>
      <c r="L179" s="952"/>
      <c r="M179" s="426"/>
    </row>
    <row r="180" spans="1:13" ht="15.75" customHeight="1">
      <c r="A180" s="639">
        <f t="shared" si="3"/>
        <v>109</v>
      </c>
      <c r="B180" s="1143"/>
      <c r="C180" s="1143" t="s">
        <v>318</v>
      </c>
      <c r="D180" s="1143" t="s">
        <v>343</v>
      </c>
      <c r="E180" s="1145"/>
      <c r="F180" s="1146" t="s">
        <v>341</v>
      </c>
      <c r="G180" s="1143"/>
      <c r="H180" s="1147">
        <f>+'WKSHT6 - Cost of Capital'!P27</f>
        <v>0</v>
      </c>
      <c r="I180" s="26"/>
      <c r="J180" s="828"/>
      <c r="K180" s="503"/>
      <c r="L180" s="952"/>
      <c r="M180" s="426"/>
    </row>
    <row r="181" spans="1:13" ht="15.75" customHeight="1">
      <c r="A181" s="639">
        <f>+A180+1</f>
        <v>110</v>
      </c>
      <c r="B181" s="1143"/>
      <c r="C181" s="1143" t="s">
        <v>336</v>
      </c>
      <c r="D181" s="1143" t="s">
        <v>343</v>
      </c>
      <c r="E181" s="1145"/>
      <c r="F181" s="1146" t="s">
        <v>342</v>
      </c>
      <c r="G181" s="1143"/>
      <c r="H181" s="1147">
        <v>0</v>
      </c>
      <c r="I181" s="26"/>
      <c r="J181" s="828"/>
      <c r="K181" s="503"/>
      <c r="L181" s="952"/>
      <c r="M181" s="426"/>
    </row>
    <row r="182" spans="1:13" ht="15.75" customHeight="1">
      <c r="A182" s="639">
        <f>+A181+1</f>
        <v>111</v>
      </c>
      <c r="B182" s="1143"/>
      <c r="C182" s="1148" t="s">
        <v>319</v>
      </c>
      <c r="D182" s="1148" t="s">
        <v>343</v>
      </c>
      <c r="E182" s="1149"/>
      <c r="F182" s="1150" t="s">
        <v>341</v>
      </c>
      <c r="G182" s="1151"/>
      <c r="H182" s="1151">
        <f>+'WKSHT6 - Cost of Capital'!P28</f>
        <v>0</v>
      </c>
      <c r="I182" s="26"/>
      <c r="J182" s="828"/>
      <c r="K182" s="503"/>
      <c r="L182" s="952"/>
      <c r="M182" s="426"/>
    </row>
    <row r="183" spans="1:13" ht="15.75" customHeight="1">
      <c r="A183" s="639">
        <f>+A182+1</f>
        <v>112</v>
      </c>
      <c r="B183" s="1143"/>
      <c r="C183" s="1143" t="s">
        <v>675</v>
      </c>
      <c r="D183" s="1143" t="str">
        <f>"(Sum Ln "&amp;A177&amp;" through "&amp;A183&amp;""</f>
        <v>(Sum Ln 106 through 112</v>
      </c>
      <c r="E183" s="1145"/>
      <c r="F183" s="1146"/>
      <c r="G183" s="1143"/>
      <c r="H183" s="1147">
        <f>SUM(H177:H182)</f>
        <v>257968971</v>
      </c>
      <c r="I183" s="26"/>
      <c r="J183" s="828"/>
      <c r="K183" s="1387"/>
      <c r="L183" s="952"/>
      <c r="M183" s="426"/>
    </row>
    <row r="184" spans="1:13" ht="15.75" customHeight="1">
      <c r="A184" s="639"/>
      <c r="B184" s="1143"/>
      <c r="C184" s="1143"/>
      <c r="D184" s="1143"/>
      <c r="E184" s="1145"/>
      <c r="F184" s="1146"/>
      <c r="G184" s="1143"/>
      <c r="H184" s="1147"/>
      <c r="I184" s="26"/>
      <c r="J184" s="828"/>
      <c r="K184" s="1387"/>
      <c r="L184" s="952"/>
      <c r="M184" s="426"/>
    </row>
    <row r="185" spans="1:13" ht="15.75" customHeight="1">
      <c r="A185" s="639"/>
      <c r="B185" s="1139" t="s">
        <v>345</v>
      </c>
      <c r="C185" s="1140"/>
      <c r="D185" s="1143"/>
      <c r="E185" s="1145"/>
      <c r="F185" s="1146"/>
      <c r="G185" s="1143"/>
      <c r="H185" s="1154"/>
      <c r="I185" s="26"/>
      <c r="J185" s="828"/>
      <c r="K185" s="1387"/>
      <c r="L185" s="952"/>
      <c r="M185" s="426"/>
    </row>
    <row r="186" spans="1:13" ht="15.75" customHeight="1">
      <c r="A186" s="639">
        <f>+A183+1</f>
        <v>113</v>
      </c>
      <c r="B186" s="1143"/>
      <c r="C186" s="1143" t="s">
        <v>320</v>
      </c>
      <c r="D186" s="1143" t="s">
        <v>343</v>
      </c>
      <c r="E186" s="1145"/>
      <c r="F186" s="1146"/>
      <c r="G186" s="1143"/>
      <c r="H186" s="1147">
        <f>+'WKSHT6 - Cost of Capital'!P32</f>
        <v>0</v>
      </c>
      <c r="I186" s="26"/>
      <c r="J186" s="828"/>
      <c r="K186" s="1387"/>
      <c r="L186" s="952"/>
      <c r="M186" s="426"/>
    </row>
    <row r="187" spans="1:13" ht="15.75" customHeight="1">
      <c r="A187" s="639">
        <f t="shared" si="3"/>
        <v>114</v>
      </c>
      <c r="B187" s="1143"/>
      <c r="C187" s="1143" t="s">
        <v>321</v>
      </c>
      <c r="D187" s="1143" t="s">
        <v>343</v>
      </c>
      <c r="E187" s="1145"/>
      <c r="F187" s="1146"/>
      <c r="G187" s="1143"/>
      <c r="H187" s="1147">
        <f>+'WKSHT6 - Cost of Capital'!P33</f>
        <v>0</v>
      </c>
      <c r="I187" s="26"/>
      <c r="J187" s="828"/>
      <c r="K187" s="1387"/>
      <c r="L187" s="952"/>
      <c r="M187" s="426"/>
    </row>
    <row r="188" spans="1:13" ht="15.75" customHeight="1">
      <c r="A188" s="639">
        <f t="shared" si="3"/>
        <v>115</v>
      </c>
      <c r="B188" s="1143"/>
      <c r="C188" s="1143" t="s">
        <v>322</v>
      </c>
      <c r="D188" s="1143" t="s">
        <v>343</v>
      </c>
      <c r="E188" s="1145"/>
      <c r="F188" s="1146"/>
      <c r="G188" s="1143"/>
      <c r="H188" s="1147">
        <f>+'WKSHT6 - Cost of Capital'!P34</f>
        <v>0</v>
      </c>
      <c r="I188" s="26"/>
      <c r="J188" s="828"/>
      <c r="K188" s="1387"/>
      <c r="L188" s="952"/>
      <c r="M188" s="426"/>
    </row>
    <row r="189" spans="1:13" ht="15.75" customHeight="1">
      <c r="A189" s="639">
        <f t="shared" si="3"/>
        <v>116</v>
      </c>
      <c r="B189" s="1143"/>
      <c r="C189" s="1143" t="s">
        <v>323</v>
      </c>
      <c r="D189" s="1143" t="s">
        <v>343</v>
      </c>
      <c r="E189" s="1145"/>
      <c r="F189" s="1146"/>
      <c r="G189" s="1143"/>
      <c r="H189" s="1147">
        <f>+'WKSHT6 - Cost of Capital'!P35</f>
        <v>0</v>
      </c>
      <c r="I189" s="26"/>
      <c r="J189" s="828"/>
      <c r="K189" s="503"/>
      <c r="L189" s="952"/>
      <c r="M189" s="426"/>
    </row>
    <row r="190" spans="1:13" ht="15.75" customHeight="1">
      <c r="A190" s="639">
        <f t="shared" si="3"/>
        <v>117</v>
      </c>
      <c r="B190" s="1143"/>
      <c r="C190" s="1143" t="s">
        <v>324</v>
      </c>
      <c r="D190" s="1143" t="s">
        <v>343</v>
      </c>
      <c r="E190" s="1145"/>
      <c r="F190" s="1146"/>
      <c r="G190" s="1143"/>
      <c r="H190" s="1147">
        <f>+'WKSHT6 - Cost of Capital'!P36</f>
        <v>0</v>
      </c>
      <c r="I190" s="26"/>
      <c r="J190" s="828"/>
      <c r="K190" s="1387"/>
      <c r="L190" s="952"/>
      <c r="M190" s="426"/>
    </row>
    <row r="191" spans="1:13" ht="15.75" customHeight="1">
      <c r="A191" s="639">
        <f t="shared" si="3"/>
        <v>118</v>
      </c>
      <c r="B191" s="1143"/>
      <c r="C191" s="1148" t="s">
        <v>325</v>
      </c>
      <c r="D191" s="1148" t="s">
        <v>343</v>
      </c>
      <c r="E191" s="1149"/>
      <c r="F191" s="1150"/>
      <c r="G191" s="1151"/>
      <c r="H191" s="1151">
        <f>+'WKSHT6 - Cost of Capital'!P37</f>
        <v>0</v>
      </c>
      <c r="I191" s="26"/>
      <c r="J191" s="828"/>
      <c r="K191" s="1387"/>
      <c r="L191" s="952"/>
      <c r="M191" s="426"/>
    </row>
    <row r="192" spans="1:13" ht="15.75" customHeight="1">
      <c r="A192" s="639">
        <f t="shared" si="3"/>
        <v>119</v>
      </c>
      <c r="B192" s="1143"/>
      <c r="C192" s="1143" t="s">
        <v>326</v>
      </c>
      <c r="D192" s="1143" t="str">
        <f>"(Sum Ln "&amp;A186&amp;" through "&amp;A191&amp;""</f>
        <v>(Sum Ln 113 through 118</v>
      </c>
      <c r="E192" s="1143"/>
      <c r="F192" s="1142"/>
      <c r="G192" s="1143"/>
      <c r="H192" s="1147">
        <f>SUM(H186:H191)</f>
        <v>0</v>
      </c>
      <c r="I192" s="26"/>
      <c r="J192" s="828"/>
      <c r="K192" s="1387"/>
      <c r="L192" s="952"/>
      <c r="M192" s="426"/>
    </row>
    <row r="193" spans="1:13" ht="15.75" customHeight="1">
      <c r="A193" s="639"/>
      <c r="B193" s="1143"/>
      <c r="C193" s="1143"/>
      <c r="D193" s="1143"/>
      <c r="E193" s="1143"/>
      <c r="F193" s="1142"/>
      <c r="G193" s="1143"/>
      <c r="H193" s="1147"/>
      <c r="I193" s="26"/>
      <c r="J193" s="828"/>
      <c r="K193" s="1387"/>
      <c r="L193" s="952"/>
      <c r="M193" s="426"/>
    </row>
    <row r="194" spans="1:13" ht="15.75" customHeight="1">
      <c r="A194" s="639">
        <f>+A192+1</f>
        <v>120</v>
      </c>
      <c r="B194" s="1143"/>
      <c r="C194" s="1143" t="s">
        <v>676</v>
      </c>
      <c r="D194" s="1143" t="s">
        <v>343</v>
      </c>
      <c r="E194" s="1145"/>
      <c r="F194" s="1146" t="s">
        <v>327</v>
      </c>
      <c r="G194" s="1143"/>
      <c r="H194" s="1147">
        <f>+'WKSHT6 - Cost of Capital'!P39</f>
        <v>0</v>
      </c>
      <c r="I194" s="26"/>
      <c r="J194" s="828"/>
      <c r="K194" s="1387"/>
      <c r="L194" s="952"/>
      <c r="M194" s="426"/>
    </row>
    <row r="195" spans="1:13" ht="15.75" customHeight="1">
      <c r="A195" s="639"/>
      <c r="B195" s="1143"/>
      <c r="C195" s="1143"/>
      <c r="D195" s="1143"/>
      <c r="E195" s="1145"/>
      <c r="F195" s="1146"/>
      <c r="G195" s="1143"/>
      <c r="H195" s="1147"/>
      <c r="I195" s="26"/>
      <c r="J195" s="828"/>
      <c r="K195" s="503"/>
      <c r="L195" s="952"/>
      <c r="M195" s="426"/>
    </row>
    <row r="196" spans="1:13" ht="15.75" customHeight="1">
      <c r="A196" s="639"/>
      <c r="B196" s="1139" t="s">
        <v>740</v>
      </c>
      <c r="C196" s="1140"/>
      <c r="D196" s="1143"/>
      <c r="E196" s="1145"/>
      <c r="F196" s="1146"/>
      <c r="G196" s="1143"/>
      <c r="H196" s="1154"/>
      <c r="I196" s="26"/>
      <c r="J196" s="828"/>
      <c r="K196" s="503"/>
      <c r="L196" s="952"/>
      <c r="M196" s="426"/>
    </row>
    <row r="197" spans="1:13" ht="15.75" customHeight="1">
      <c r="A197" s="639">
        <f>+A194+1</f>
        <v>121</v>
      </c>
      <c r="B197" s="1143"/>
      <c r="C197" s="1143" t="s">
        <v>853</v>
      </c>
      <c r="D197" s="1143" t="s">
        <v>343</v>
      </c>
      <c r="E197" s="1145"/>
      <c r="F197" s="1146"/>
      <c r="G197" s="1143"/>
      <c r="H197" s="1147">
        <f>+'WKSHT6 - Cost of Capital'!P42</f>
        <v>4899404507.3269234</v>
      </c>
      <c r="I197" s="26"/>
      <c r="J197" s="828"/>
      <c r="K197" s="503"/>
      <c r="L197" s="952"/>
      <c r="M197" s="426"/>
    </row>
    <row r="198" spans="1:13" ht="15.75" customHeight="1">
      <c r="A198" s="639">
        <f t="shared" si="3"/>
        <v>122</v>
      </c>
      <c r="B198" s="1143"/>
      <c r="C198" s="1143" t="s">
        <v>328</v>
      </c>
      <c r="D198" s="1143" t="s">
        <v>343</v>
      </c>
      <c r="E198" s="1145"/>
      <c r="F198" s="1146"/>
      <c r="G198" s="1143"/>
      <c r="H198" s="1147">
        <f>+'WKSHT6 - Cost of Capital'!P43</f>
        <v>0</v>
      </c>
      <c r="I198" s="26"/>
      <c r="J198" s="828"/>
      <c r="K198" s="503"/>
      <c r="L198" s="952"/>
      <c r="M198" s="426"/>
    </row>
    <row r="199" spans="1:13" ht="15.75" customHeight="1">
      <c r="A199" s="639">
        <f t="shared" si="3"/>
        <v>123</v>
      </c>
      <c r="B199" s="1143"/>
      <c r="C199" s="1143" t="s">
        <v>329</v>
      </c>
      <c r="D199" s="1143" t="s">
        <v>343</v>
      </c>
      <c r="E199" s="1145"/>
      <c r="F199" s="1146"/>
      <c r="G199" s="1143"/>
      <c r="H199" s="1147">
        <f>+'WKSHT6 - Cost of Capital'!P44</f>
        <v>-12921594.898461539</v>
      </c>
      <c r="I199" s="26"/>
      <c r="J199" s="828"/>
      <c r="K199" s="503"/>
      <c r="L199" s="952"/>
      <c r="M199" s="426"/>
    </row>
    <row r="200" spans="1:13" ht="15.75" customHeight="1">
      <c r="A200" s="639">
        <f t="shared" si="3"/>
        <v>124</v>
      </c>
      <c r="B200" s="1143"/>
      <c r="C200" s="1148" t="s">
        <v>330</v>
      </c>
      <c r="D200" s="1148" t="s">
        <v>343</v>
      </c>
      <c r="E200" s="1149"/>
      <c r="F200" s="1150"/>
      <c r="G200" s="1151"/>
      <c r="H200" s="1151">
        <f>+'WKSHT6 - Cost of Capital'!P45</f>
        <v>-102552552.7176923</v>
      </c>
      <c r="I200" s="26"/>
      <c r="J200" s="828"/>
      <c r="K200" s="503"/>
      <c r="L200" s="952"/>
      <c r="M200" s="426"/>
    </row>
    <row r="201" spans="1:13" ht="15.75" customHeight="1">
      <c r="A201" s="639">
        <f t="shared" si="3"/>
        <v>125</v>
      </c>
      <c r="B201" s="1143"/>
      <c r="C201" s="1143" t="s">
        <v>677</v>
      </c>
      <c r="D201" s="1143" t="str">
        <f>"(Sum Ln "&amp;A197&amp;" through "&amp;A200&amp;""</f>
        <v>(Sum Ln 121 through 124</v>
      </c>
      <c r="E201" s="1143"/>
      <c r="F201" s="1142"/>
      <c r="G201" s="1143"/>
      <c r="H201" s="1147">
        <f>+H197-H198-H199-H200</f>
        <v>5014878654.9430771</v>
      </c>
      <c r="I201" s="26"/>
      <c r="J201" s="828"/>
      <c r="K201" s="503"/>
      <c r="L201" s="952"/>
      <c r="M201" s="426"/>
    </row>
    <row r="202" spans="1:13" ht="15.75" customHeight="1">
      <c r="A202" s="639"/>
      <c r="B202" s="1143"/>
      <c r="C202" s="1143"/>
      <c r="D202" s="1143"/>
      <c r="E202" s="1143"/>
      <c r="F202" s="1142"/>
      <c r="G202" s="1143"/>
      <c r="H202" s="1147"/>
      <c r="I202" s="26"/>
      <c r="J202" s="828"/>
      <c r="K202" s="503"/>
      <c r="L202" s="952"/>
      <c r="M202" s="426"/>
    </row>
    <row r="203" spans="1:13" ht="15.75" customHeight="1">
      <c r="A203" s="639">
        <f>+A201+1</f>
        <v>126</v>
      </c>
      <c r="B203" s="36"/>
      <c r="C203" s="390" t="s">
        <v>331</v>
      </c>
      <c r="D203" s="393" t="s">
        <v>745</v>
      </c>
      <c r="E203" s="71" t="s">
        <v>107</v>
      </c>
      <c r="F203" s="1038" t="str">
        <f>"1 minus Sum Lines "&amp;A204&amp;" &amp; "&amp;A205&amp;"))"</f>
        <v>1 minus Sum Lines 127 &amp; 128))</v>
      </c>
      <c r="G203" s="328"/>
      <c r="H203" s="919">
        <f>1-H204-H205</f>
        <v>0.5027335537391584</v>
      </c>
      <c r="I203" s="26"/>
      <c r="J203" s="828"/>
      <c r="K203" s="503"/>
      <c r="L203" s="952"/>
      <c r="M203" s="426"/>
    </row>
    <row r="204" spans="1:13" ht="15.75" customHeight="1">
      <c r="A204" s="639">
        <f>+A203+1</f>
        <v>127</v>
      </c>
      <c r="B204" s="36"/>
      <c r="C204" s="390" t="s">
        <v>332</v>
      </c>
      <c r="D204" s="393" t="s">
        <v>765</v>
      </c>
      <c r="E204" s="71"/>
      <c r="F204" s="1028" t="str">
        <f>"(Line "&amp;A192&amp;" / (Lines "&amp;A$167&amp;" + "&amp;A$192&amp;" +"&amp;A$201&amp;"))"</f>
        <v>(Line 119 / (Lines 99 + 119 +125))</v>
      </c>
      <c r="G204" s="328"/>
      <c r="H204" s="1155">
        <f>H192/(H167+H192+H201)</f>
        <v>0</v>
      </c>
      <c r="I204" s="26"/>
      <c r="J204" s="828"/>
      <c r="K204" s="503"/>
      <c r="L204" s="952"/>
      <c r="M204" s="426"/>
    </row>
    <row r="205" spans="1:13" ht="15.75" customHeight="1">
      <c r="A205" s="639">
        <f>+A204+1</f>
        <v>128</v>
      </c>
      <c r="B205" s="36"/>
      <c r="C205" s="390" t="s">
        <v>333</v>
      </c>
      <c r="D205" s="393" t="s">
        <v>770</v>
      </c>
      <c r="E205" s="71"/>
      <c r="F205" s="1038" t="str">
        <f>"Lesser of 50% or (Line "&amp;A201&amp;" / (Lines "&amp;A$167&amp;" + "&amp;A$192&amp;" +"&amp;A$201&amp;"))"</f>
        <v>Lesser of 50% or (Line 125 / (Lines 99 + 119 +125))</v>
      </c>
      <c r="G205" s="328"/>
      <c r="H205" s="1155">
        <f>IF(H201/(H167+H192+H201)&gt;0.5,0.5,H201/(H167+H192+H201))</f>
        <v>0.49726644626084154</v>
      </c>
      <c r="I205" s="26"/>
      <c r="J205" s="828"/>
      <c r="K205" s="503"/>
      <c r="L205" s="952"/>
      <c r="M205" s="426"/>
    </row>
    <row r="206" spans="1:13" ht="18">
      <c r="A206" s="639"/>
      <c r="B206" s="36"/>
      <c r="C206" s="1156"/>
      <c r="D206" s="25"/>
      <c r="E206" s="74"/>
      <c r="F206" s="1028"/>
      <c r="G206" s="328"/>
      <c r="H206" s="1386"/>
      <c r="I206" s="26"/>
      <c r="J206" s="828"/>
      <c r="K206" s="503"/>
      <c r="L206" s="952"/>
      <c r="M206" s="426"/>
    </row>
    <row r="207" spans="1:13" ht="15.75" customHeight="1">
      <c r="A207" s="639"/>
      <c r="B207" s="36"/>
      <c r="C207" s="1156"/>
      <c r="D207" s="25"/>
      <c r="E207" s="74"/>
      <c r="F207" s="1028"/>
      <c r="G207" s="509"/>
      <c r="H207" s="828"/>
      <c r="I207" s="26"/>
      <c r="J207" s="828"/>
      <c r="K207" s="503"/>
      <c r="L207" s="952"/>
      <c r="M207" s="426"/>
    </row>
    <row r="208" spans="1:13" ht="66.75" customHeight="1">
      <c r="A208" s="639">
        <f>+A205+1</f>
        <v>129</v>
      </c>
      <c r="B208" s="36"/>
      <c r="C208" s="1156" t="s">
        <v>911</v>
      </c>
      <c r="D208" s="1157" t="s">
        <v>334</v>
      </c>
      <c r="E208" s="74"/>
      <c r="F208" s="1028" t="str">
        <f>"(Line "&amp;A183&amp;" / Line "&amp;A174&amp;")"</f>
        <v>(Line 112 / Line 105)</v>
      </c>
      <c r="G208" s="328"/>
      <c r="H208" s="919">
        <f>H183/H174</f>
        <v>5.1636548504216416E-2</v>
      </c>
      <c r="I208" s="26"/>
      <c r="J208" s="828"/>
      <c r="K208" s="503"/>
      <c r="L208" s="952"/>
      <c r="M208" s="426"/>
    </row>
    <row r="209" spans="1:13" ht="15.75" customHeight="1">
      <c r="A209" s="639">
        <f>+A208+1</f>
        <v>130</v>
      </c>
      <c r="B209" s="36"/>
      <c r="C209" s="1156" t="s">
        <v>917</v>
      </c>
      <c r="D209" s="1157" t="s">
        <v>335</v>
      </c>
      <c r="E209" s="74"/>
      <c r="F209" s="1028" t="str">
        <f>"(Line "&amp;A194&amp;" / Line "&amp;A192&amp;")"</f>
        <v>(Line 120 / Line 119)</v>
      </c>
      <c r="G209" s="328"/>
      <c r="H209" s="919">
        <f>IF(H194=0,0,H194/H192)</f>
        <v>0</v>
      </c>
      <c r="I209" s="26"/>
      <c r="J209" s="828"/>
      <c r="K209" s="503"/>
      <c r="L209" s="952"/>
      <c r="M209" s="426"/>
    </row>
    <row r="210" spans="1:13" ht="15.75" customHeight="1">
      <c r="A210" s="639">
        <f>+A209+1</f>
        <v>131</v>
      </c>
      <c r="B210" s="36"/>
      <c r="C210" s="1156" t="s">
        <v>912</v>
      </c>
      <c r="D210" s="393" t="s">
        <v>740</v>
      </c>
      <c r="E210" s="71" t="str">
        <f>"(Note "&amp;B306&amp;")"</f>
        <v>(Note J)</v>
      </c>
      <c r="F210" s="1028" t="s">
        <v>894</v>
      </c>
      <c r="G210" s="328"/>
      <c r="H210" s="919">
        <v>9.8000000000000004E-2</v>
      </c>
      <c r="I210" s="26"/>
      <c r="J210" s="828"/>
      <c r="K210" s="503"/>
      <c r="L210" s="952"/>
      <c r="M210" s="426"/>
    </row>
    <row r="211" spans="1:13" ht="15.75" customHeight="1">
      <c r="A211" s="639"/>
      <c r="B211" s="36"/>
      <c r="C211" s="1156"/>
      <c r="D211" s="393"/>
      <c r="E211" s="71"/>
      <c r="F211" s="1028"/>
      <c r="G211" s="328"/>
      <c r="H211" s="919"/>
      <c r="I211" s="26"/>
      <c r="J211" s="828"/>
      <c r="K211" s="503"/>
      <c r="L211" s="952"/>
      <c r="M211" s="426"/>
    </row>
    <row r="212" spans="1:13" ht="15.75" customHeight="1">
      <c r="A212" s="639">
        <f>+A210+1</f>
        <v>132</v>
      </c>
      <c r="B212" s="69"/>
      <c r="C212" s="390" t="s">
        <v>913</v>
      </c>
      <c r="D212" s="393"/>
      <c r="E212" s="74"/>
      <c r="F212" s="1028" t="str">
        <f>"(Line "&amp;A203&amp;" * "&amp;A208&amp;")"</f>
        <v>(Line 126 * 129)</v>
      </c>
      <c r="G212" s="104"/>
      <c r="H212" s="920">
        <f>+H203*H208</f>
        <v>2.5959425532349142E-2</v>
      </c>
      <c r="I212" s="426"/>
      <c r="J212" s="503"/>
      <c r="K212" s="503"/>
      <c r="L212" s="952"/>
      <c r="M212" s="426"/>
    </row>
    <row r="213" spans="1:13" ht="15.75" customHeight="1">
      <c r="A213" s="639">
        <f>+A212+1</f>
        <v>133</v>
      </c>
      <c r="B213" s="69"/>
      <c r="C213" s="390" t="s">
        <v>943</v>
      </c>
      <c r="D213" s="393"/>
      <c r="E213" s="74"/>
      <c r="F213" s="1028" t="str">
        <f>"(Line "&amp;A204&amp;" * "&amp;A209&amp;")"</f>
        <v>(Line 127 * 130)</v>
      </c>
      <c r="G213" s="104"/>
      <c r="H213" s="920">
        <f>+H204*H209</f>
        <v>0</v>
      </c>
      <c r="I213" s="426"/>
      <c r="J213" s="503"/>
      <c r="K213" s="503"/>
      <c r="L213" s="952"/>
      <c r="M213" s="426"/>
    </row>
    <row r="214" spans="1:13" ht="15.75" customHeight="1">
      <c r="A214" s="639">
        <f>+A213+1</f>
        <v>134</v>
      </c>
      <c r="B214" s="60"/>
      <c r="C214" s="33" t="s">
        <v>914</v>
      </c>
      <c r="D214" s="322"/>
      <c r="E214" s="67"/>
      <c r="F214" s="1035" t="str">
        <f>"(Line "&amp;A205&amp;" * "&amp;A210&amp;")"</f>
        <v>(Line 128 * 131)</v>
      </c>
      <c r="G214" s="789"/>
      <c r="H214" s="923">
        <f>+H205*H210</f>
        <v>4.8732111733562476E-2</v>
      </c>
      <c r="I214" s="426"/>
      <c r="J214" s="502"/>
      <c r="K214" s="502"/>
      <c r="L214" s="961"/>
      <c r="M214" s="426"/>
    </row>
    <row r="215" spans="1:13" s="1" customFormat="1" ht="15.75" customHeight="1">
      <c r="A215" s="953">
        <f>+A214+1</f>
        <v>135</v>
      </c>
      <c r="B215" s="27" t="s">
        <v>746</v>
      </c>
      <c r="C215" s="27"/>
      <c r="D215" s="47"/>
      <c r="E215" s="68"/>
      <c r="F215" s="1022" t="str">
        <f>"(Sum Lines "&amp;A212&amp;" to "&amp;A214&amp;")"</f>
        <v>(Sum Lines 132 to 134)</v>
      </c>
      <c r="G215" s="443"/>
      <c r="H215" s="924">
        <f>SUM(H212:H214)</f>
        <v>7.4691537265911614E-2</v>
      </c>
      <c r="I215" s="972"/>
      <c r="J215" s="513"/>
      <c r="K215" s="513"/>
      <c r="L215" s="1001"/>
      <c r="M215" s="972"/>
    </row>
    <row r="216" spans="1:13" s="1" customFormat="1" ht="15.75" customHeight="1">
      <c r="A216" s="1002"/>
      <c r="B216" s="408"/>
      <c r="C216" s="27"/>
      <c r="D216" s="47"/>
      <c r="E216" s="68"/>
      <c r="F216" s="1048"/>
      <c r="G216" s="443"/>
      <c r="H216" s="925"/>
      <c r="I216" s="972"/>
      <c r="J216" s="513"/>
      <c r="K216" s="513"/>
      <c r="L216" s="1001"/>
      <c r="M216" s="972"/>
    </row>
    <row r="217" spans="1:13" ht="16.5" customHeight="1" thickBot="1">
      <c r="A217" s="953">
        <f>+A215+1</f>
        <v>136</v>
      </c>
      <c r="B217" s="39" t="s">
        <v>817</v>
      </c>
      <c r="C217" s="38"/>
      <c r="D217" s="37"/>
      <c r="E217" s="439"/>
      <c r="F217" s="1037" t="str">
        <f>"(Line "&amp;A102&amp;" * "&amp;A215&amp;")"</f>
        <v>(Line 59 * 135)</v>
      </c>
      <c r="G217" s="1068"/>
      <c r="H217" s="1037">
        <f>+H102*H215</f>
        <v>78211278.403712317</v>
      </c>
      <c r="I217" s="1064"/>
      <c r="J217" s="514">
        <f>$H$217*J103</f>
        <v>73171288.816106066</v>
      </c>
      <c r="K217" s="514">
        <f>+H215*K102</f>
        <v>1767040.8976312042</v>
      </c>
      <c r="L217" s="994">
        <f>$H$217*L103</f>
        <v>3272948.6899750475</v>
      </c>
      <c r="M217" s="426"/>
    </row>
    <row r="218" spans="1:13" ht="16.5" customHeight="1" thickTop="1">
      <c r="A218" s="953"/>
      <c r="B218" s="23"/>
      <c r="C218" s="381"/>
      <c r="D218" s="21"/>
      <c r="E218" s="61"/>
      <c r="F218" s="1022"/>
      <c r="G218" s="97"/>
      <c r="H218" s="926"/>
      <c r="I218" s="426"/>
      <c r="J218" s="502"/>
      <c r="K218" s="502"/>
      <c r="L218" s="961"/>
      <c r="M218" s="426"/>
    </row>
    <row r="219" spans="1:13" ht="15.75" customHeight="1">
      <c r="A219" s="964" t="s">
        <v>603</v>
      </c>
      <c r="B219" s="29"/>
      <c r="C219" s="991"/>
      <c r="D219" s="40"/>
      <c r="E219" s="101"/>
      <c r="F219" s="1032"/>
      <c r="G219" s="978"/>
      <c r="H219" s="906"/>
      <c r="I219" s="965"/>
      <c r="J219" s="506"/>
      <c r="K219" s="506"/>
      <c r="L219" s="966"/>
      <c r="M219" s="426"/>
    </row>
    <row r="220" spans="1:13" ht="15.75" customHeight="1">
      <c r="A220" s="1003"/>
      <c r="B220" s="23"/>
      <c r="C220" s="11"/>
      <c r="D220" s="25"/>
      <c r="E220" s="382"/>
      <c r="F220" s="1025"/>
      <c r="G220" s="97"/>
      <c r="H220" s="522"/>
      <c r="I220" s="426"/>
      <c r="J220" s="502"/>
      <c r="K220" s="502"/>
      <c r="L220" s="961"/>
      <c r="M220" s="426"/>
    </row>
    <row r="221" spans="1:13" ht="15.75" customHeight="1">
      <c r="A221" s="953" t="s">
        <v>760</v>
      </c>
      <c r="B221" s="48" t="s">
        <v>818</v>
      </c>
      <c r="C221" s="21"/>
      <c r="D221" s="21"/>
      <c r="E221" s="382"/>
      <c r="F221" s="1022"/>
      <c r="G221" s="97"/>
      <c r="H221" s="927"/>
      <c r="I221" s="426"/>
      <c r="J221" s="502"/>
      <c r="K221" s="502"/>
      <c r="L221" s="961"/>
      <c r="M221" s="426"/>
    </row>
    <row r="222" spans="1:13" ht="15.75" customHeight="1">
      <c r="A222" s="953">
        <f>+A217+1</f>
        <v>137</v>
      </c>
      <c r="B222" s="23"/>
      <c r="C222" s="21" t="s">
        <v>816</v>
      </c>
      <c r="D222" s="21"/>
      <c r="E222" s="61"/>
      <c r="F222" s="1025"/>
      <c r="G222" s="97"/>
      <c r="H222" s="928">
        <v>0.21</v>
      </c>
      <c r="I222" s="426"/>
      <c r="J222" s="502"/>
      <c r="K222" s="502"/>
      <c r="L222" s="961"/>
      <c r="M222" s="426"/>
    </row>
    <row r="223" spans="1:13" ht="15.75" customHeight="1">
      <c r="A223" s="953">
        <f>+A222+1</f>
        <v>138</v>
      </c>
      <c r="B223" s="23"/>
      <c r="C223" s="1004" t="s">
        <v>815</v>
      </c>
      <c r="D223" s="1005"/>
      <c r="E223" s="71" t="str">
        <f>"(Note "&amp;B$305&amp;")"</f>
        <v>(Note I)</v>
      </c>
      <c r="F223" s="1025"/>
      <c r="G223" s="97"/>
      <c r="H223" s="928">
        <v>0</v>
      </c>
      <c r="I223" s="426"/>
      <c r="J223" s="502"/>
      <c r="K223" s="502"/>
      <c r="L223" s="961"/>
      <c r="M223" s="426"/>
    </row>
    <row r="224" spans="1:13" ht="15.75" customHeight="1">
      <c r="A224" s="953">
        <f>+A223+1</f>
        <v>139</v>
      </c>
      <c r="B224" s="23"/>
      <c r="C224" s="1004" t="s">
        <v>888</v>
      </c>
      <c r="D224" s="1004" t="s">
        <v>889</v>
      </c>
      <c r="E224" s="61"/>
      <c r="F224" s="1025" t="s">
        <v>727</v>
      </c>
      <c r="G224" s="97"/>
      <c r="H224" s="928">
        <v>0</v>
      </c>
      <c r="I224" s="426"/>
      <c r="J224" s="502"/>
      <c r="K224" s="502"/>
      <c r="L224" s="961"/>
      <c r="M224" s="426"/>
    </row>
    <row r="225" spans="1:13" ht="15.75" customHeight="1">
      <c r="A225" s="953">
        <f>+A224+1</f>
        <v>140</v>
      </c>
      <c r="B225" s="23"/>
      <c r="C225" s="1004" t="s">
        <v>617</v>
      </c>
      <c r="D225" s="394" t="s">
        <v>908</v>
      </c>
      <c r="E225" s="61"/>
      <c r="F225" s="1025"/>
      <c r="G225" s="97"/>
      <c r="H225" s="929">
        <f>IF(H222&gt;0,1-(((1-H223)*(1-H222))/(1-H223*H222*H224)),0)</f>
        <v>0.20999999999999996</v>
      </c>
      <c r="I225" s="426"/>
      <c r="J225" s="502"/>
      <c r="K225" s="502"/>
      <c r="L225" s="961"/>
      <c r="M225" s="426"/>
    </row>
    <row r="226" spans="1:13" ht="15.75" customHeight="1">
      <c r="A226" s="953">
        <f>+A225+1</f>
        <v>141</v>
      </c>
      <c r="B226" s="23"/>
      <c r="C226" s="1004" t="s">
        <v>887</v>
      </c>
      <c r="D226" s="1005"/>
      <c r="E226" s="61"/>
      <c r="F226" s="1025"/>
      <c r="G226" s="97"/>
      <c r="H226" s="928">
        <f>+H225/(1-H225)</f>
        <v>0.2658227848101265</v>
      </c>
      <c r="I226" s="426"/>
      <c r="J226" s="502"/>
      <c r="K226" s="502"/>
      <c r="L226" s="961"/>
      <c r="M226" s="426"/>
    </row>
    <row r="227" spans="1:13" ht="15.75" customHeight="1">
      <c r="A227" s="953"/>
      <c r="B227" s="23"/>
      <c r="C227" s="21"/>
      <c r="D227" s="21"/>
      <c r="E227" s="1006"/>
      <c r="F227" s="1049"/>
      <c r="G227" s="97"/>
      <c r="H227" s="929"/>
      <c r="I227" s="426"/>
      <c r="J227" s="502"/>
      <c r="K227" s="502"/>
      <c r="L227" s="961"/>
      <c r="M227" s="426"/>
    </row>
    <row r="228" spans="1:13" ht="15.75" customHeight="1">
      <c r="A228" s="953"/>
      <c r="B228" s="48" t="s">
        <v>813</v>
      </c>
      <c r="C228" s="381"/>
      <c r="D228" s="21"/>
      <c r="E228" s="71" t="str">
        <f>"(Note "&amp;B$305&amp;")"</f>
        <v>(Note I)</v>
      </c>
      <c r="F228" s="1022"/>
      <c r="G228" s="97"/>
      <c r="H228" s="930"/>
      <c r="I228" s="426"/>
      <c r="J228" s="502"/>
      <c r="K228" s="502"/>
      <c r="L228" s="961"/>
      <c r="M228" s="426"/>
    </row>
    <row r="229" spans="1:13" ht="15.75" customHeight="1">
      <c r="A229" s="953">
        <f>+A226+1</f>
        <v>142</v>
      </c>
      <c r="B229" s="23"/>
      <c r="C229" s="393" t="s">
        <v>483</v>
      </c>
      <c r="D229" s="25" t="str">
        <f>"(Note "&amp;$B$297&amp;")"</f>
        <v>(Note A)</v>
      </c>
      <c r="E229" s="957" t="s">
        <v>893</v>
      </c>
      <c r="F229" s="1047" t="s">
        <v>667</v>
      </c>
      <c r="G229" s="104"/>
      <c r="H229" s="509">
        <f>+'1 - ADIT'!H132</f>
        <v>0</v>
      </c>
      <c r="I229" s="942"/>
      <c r="J229" s="543"/>
      <c r="K229" s="502"/>
      <c r="L229" s="961"/>
      <c r="M229" s="426"/>
    </row>
    <row r="230" spans="1:13" ht="15.75" customHeight="1">
      <c r="A230" s="953">
        <f>+A229+1</f>
        <v>143</v>
      </c>
      <c r="B230" s="23"/>
      <c r="C230" s="393" t="s">
        <v>277</v>
      </c>
      <c r="D230" s="25"/>
      <c r="E230" s="23"/>
      <c r="F230" s="1028" t="str">
        <f>"(1 / (1-Line "&amp;A225&amp;"))"</f>
        <v>(1 / (1-Line 140))</v>
      </c>
      <c r="G230" s="104"/>
      <c r="H230" s="919">
        <f>1/(1-H225)</f>
        <v>1.2658227848101264</v>
      </c>
      <c r="I230" s="426"/>
      <c r="J230" s="502"/>
      <c r="K230" s="502"/>
      <c r="L230" s="961"/>
      <c r="M230" s="426"/>
    </row>
    <row r="231" spans="1:13" ht="15.75" customHeight="1">
      <c r="A231" s="953">
        <f>+A230+1</f>
        <v>144</v>
      </c>
      <c r="B231" s="23"/>
      <c r="C231" s="381" t="s">
        <v>808</v>
      </c>
      <c r="D231" s="32"/>
      <c r="E231" s="60"/>
      <c r="F231" s="1035" t="str">
        <f>"(Line "&amp;A$26&amp;")"</f>
        <v>(Line 14)</v>
      </c>
      <c r="G231" s="1052"/>
      <c r="H231" s="917">
        <f>+H26</f>
        <v>0.20213185271297171</v>
      </c>
      <c r="I231" s="426"/>
      <c r="J231" s="502"/>
      <c r="K231" s="502"/>
      <c r="L231" s="961"/>
      <c r="M231" s="426"/>
    </row>
    <row r="232" spans="1:13" ht="15.75" customHeight="1">
      <c r="A232" s="953">
        <f>+A231+1</f>
        <v>145</v>
      </c>
      <c r="B232" s="23"/>
      <c r="C232" s="49" t="s">
        <v>814</v>
      </c>
      <c r="D232" s="17"/>
      <c r="E232" s="71"/>
      <c r="F232" s="1022" t="str">
        <f>"(Line "&amp;A229&amp;" *  "&amp;A230&amp;" * "&amp;A231&amp;")"</f>
        <v>(Line 142 *  143 * 144)</v>
      </c>
      <c r="G232" s="97"/>
      <c r="H232" s="931">
        <f>+H229*H230*H231</f>
        <v>0</v>
      </c>
      <c r="I232" s="426"/>
      <c r="J232" s="502"/>
      <c r="K232" s="502"/>
      <c r="L232" s="961"/>
      <c r="M232" s="426"/>
    </row>
    <row r="233" spans="1:13" ht="15.75" customHeight="1">
      <c r="A233" s="953"/>
      <c r="B233" s="23"/>
      <c r="C233" s="59"/>
      <c r="D233" s="25"/>
      <c r="E233" s="71"/>
      <c r="F233" s="1022"/>
      <c r="G233" s="97"/>
      <c r="H233" s="1865"/>
      <c r="I233" s="426"/>
      <c r="J233" s="502"/>
      <c r="K233" s="502"/>
      <c r="L233" s="961"/>
      <c r="M233" s="426"/>
    </row>
    <row r="234" spans="1:13" ht="15.75" customHeight="1">
      <c r="A234" s="953"/>
      <c r="B234" s="48" t="s">
        <v>1242</v>
      </c>
      <c r="C234" s="59"/>
      <c r="D234" s="25"/>
      <c r="E234" s="71"/>
      <c r="F234" s="1022"/>
      <c r="G234" s="97"/>
      <c r="H234" s="1865"/>
      <c r="I234" s="426"/>
      <c r="J234" s="502"/>
      <c r="K234" s="502"/>
      <c r="L234" s="961"/>
      <c r="M234" s="426"/>
    </row>
    <row r="235" spans="1:13" ht="15.75" customHeight="1">
      <c r="A235" s="953" t="s">
        <v>1241</v>
      </c>
      <c r="B235" s="48"/>
      <c r="C235" s="59" t="s">
        <v>1244</v>
      </c>
      <c r="D235" s="25"/>
      <c r="E235" s="326"/>
      <c r="F235" s="1026" t="s">
        <v>668</v>
      </c>
      <c r="G235" s="12"/>
      <c r="H235" s="1865">
        <f>'5 - Cost Support'!H254</f>
        <v>-3549779.0332462043</v>
      </c>
      <c r="I235" s="426"/>
      <c r="J235" s="502"/>
      <c r="K235" s="502"/>
      <c r="L235" s="961"/>
      <c r="M235" s="426"/>
    </row>
    <row r="236" spans="1:13" ht="15.75" customHeight="1">
      <c r="A236" s="953" t="s">
        <v>1243</v>
      </c>
      <c r="B236" s="23"/>
      <c r="C236" s="59" t="s">
        <v>1245</v>
      </c>
      <c r="D236" s="21" t="s">
        <v>1246</v>
      </c>
      <c r="F236" s="1022" t="s">
        <v>1247</v>
      </c>
      <c r="G236" s="97"/>
      <c r="H236" s="1865">
        <f>H235*(1/(1-H225))</f>
        <v>-4493391.1813243087</v>
      </c>
      <c r="I236" s="426"/>
      <c r="J236" s="502"/>
      <c r="K236" s="502"/>
      <c r="L236" s="961"/>
      <c r="M236" s="426"/>
    </row>
    <row r="237" spans="1:13" ht="15.75" customHeight="1">
      <c r="A237" s="953"/>
      <c r="B237" s="23"/>
      <c r="C237" s="59"/>
      <c r="D237" s="25"/>
      <c r="E237" s="79"/>
      <c r="F237" s="1050"/>
      <c r="G237" s="97"/>
      <c r="H237" s="932"/>
      <c r="I237" s="426"/>
      <c r="J237" s="502"/>
      <c r="K237" s="502"/>
      <c r="L237" s="961"/>
      <c r="M237" s="426"/>
    </row>
    <row r="238" spans="1:13" ht="15.75" customHeight="1">
      <c r="A238" s="953">
        <f>+A232+1</f>
        <v>146</v>
      </c>
      <c r="B238" s="443" t="s">
        <v>839</v>
      </c>
      <c r="C238" s="26"/>
      <c r="D238" s="21" t="s">
        <v>841</v>
      </c>
      <c r="E238" s="382"/>
      <c r="F238" s="1022" t="str">
        <f>"[Line "&amp;A226&amp;" * "&amp;A217&amp;" * (1-("&amp;A212&amp;" / "&amp;A215&amp;"))]"</f>
        <v>[Line 141 * 136 * (1-(132 / 135))]</v>
      </c>
      <c r="G238" s="97"/>
      <c r="H238" s="523">
        <f>+H226*(1-H212/H215)*H217</f>
        <v>13564550.959910564</v>
      </c>
      <c r="I238" s="426"/>
      <c r="J238" s="502"/>
      <c r="K238" s="502"/>
      <c r="L238" s="961"/>
      <c r="M238" s="426"/>
    </row>
    <row r="239" spans="1:13" ht="15.75" customHeight="1">
      <c r="A239" s="953"/>
      <c r="B239" s="23"/>
      <c r="C239" s="24"/>
      <c r="D239" s="25"/>
      <c r="E239" s="69"/>
      <c r="F239" s="1042"/>
      <c r="G239" s="97"/>
      <c r="H239" s="933"/>
      <c r="I239" s="426"/>
      <c r="J239" s="502"/>
      <c r="K239" s="502"/>
      <c r="L239" s="961"/>
      <c r="M239" s="426"/>
    </row>
    <row r="240" spans="1:13" ht="16.5" customHeight="1" thickBot="1">
      <c r="A240" s="953">
        <f>+A238+1</f>
        <v>147</v>
      </c>
      <c r="B240" s="39" t="s">
        <v>736</v>
      </c>
      <c r="C240" s="39"/>
      <c r="D240" s="37"/>
      <c r="E240" s="64"/>
      <c r="F240" s="1037" t="str">
        <f>"(Line "&amp;A232&amp;" + 145b + "&amp;A238&amp;")"</f>
        <v>(Line 145 + 145b + 146)</v>
      </c>
      <c r="G240" s="1037"/>
      <c r="H240" s="934">
        <f>+H238+H236+H232</f>
        <v>9071159.7785862554</v>
      </c>
      <c r="I240" s="1064"/>
      <c r="J240" s="514">
        <f>$H240*J$103</f>
        <v>8486607.8857557029</v>
      </c>
      <c r="K240" s="514">
        <f>$H$240*K103</f>
        <v>204946.27686520858</v>
      </c>
      <c r="L240" s="994">
        <f>$H$240*L103</f>
        <v>379605.61596534407</v>
      </c>
      <c r="M240" s="426"/>
    </row>
    <row r="241" spans="1:16" ht="16.5" customHeight="1" thickTop="1">
      <c r="A241" s="953"/>
      <c r="B241" s="23"/>
      <c r="C241" s="394"/>
      <c r="D241" s="21"/>
      <c r="E241" s="61"/>
      <c r="F241" s="1038"/>
      <c r="G241" s="97"/>
      <c r="H241" s="935"/>
      <c r="I241" s="426"/>
      <c r="J241" s="502"/>
      <c r="K241" s="502"/>
      <c r="L241" s="961"/>
      <c r="M241" s="426"/>
    </row>
    <row r="242" spans="1:16" ht="15.75" customHeight="1">
      <c r="A242" s="964" t="s">
        <v>747</v>
      </c>
      <c r="B242" s="29"/>
      <c r="C242" s="991"/>
      <c r="D242" s="40"/>
      <c r="E242" s="378"/>
      <c r="F242" s="1032"/>
      <c r="G242" s="978"/>
      <c r="H242" s="906"/>
      <c r="I242" s="965"/>
      <c r="J242" s="506"/>
      <c r="K242" s="506"/>
      <c r="L242" s="966"/>
      <c r="M242" s="426"/>
      <c r="N242" s="56"/>
    </row>
    <row r="243" spans="1:16" ht="15.75" customHeight="1">
      <c r="A243" s="958"/>
      <c r="B243" s="26"/>
      <c r="C243" s="26"/>
      <c r="D243" s="26"/>
      <c r="E243" s="61"/>
      <c r="F243" s="1026"/>
      <c r="G243" s="97"/>
      <c r="H243" s="828"/>
      <c r="I243" s="426"/>
      <c r="J243" s="503"/>
      <c r="K243" s="503"/>
      <c r="L243" s="952"/>
      <c r="M243" s="426"/>
    </row>
    <row r="244" spans="1:16" ht="15.75" customHeight="1">
      <c r="A244" s="958"/>
      <c r="B244" s="443" t="s">
        <v>737</v>
      </c>
      <c r="C244" s="26"/>
      <c r="D244" s="26"/>
      <c r="E244" s="61"/>
      <c r="F244" s="1026"/>
      <c r="G244" s="97"/>
      <c r="H244" s="828"/>
      <c r="I244" s="426"/>
      <c r="J244" s="503"/>
      <c r="K244" s="503"/>
      <c r="L244" s="952"/>
      <c r="M244" s="426"/>
    </row>
    <row r="245" spans="1:16" ht="15.75" customHeight="1">
      <c r="A245" s="958">
        <f>+A240+1</f>
        <v>148</v>
      </c>
      <c r="B245" s="26"/>
      <c r="C245" s="26" t="s">
        <v>738</v>
      </c>
      <c r="D245" s="26"/>
      <c r="E245" s="61"/>
      <c r="F245" s="1022" t="str">
        <f>"(Line "&amp;A61&amp;")"</f>
        <v>(Line 37)</v>
      </c>
      <c r="G245" s="97"/>
      <c r="H245" s="516">
        <f>+H61</f>
        <v>1257632452.8541365</v>
      </c>
      <c r="I245" s="960"/>
      <c r="J245" s="516">
        <f>+J61</f>
        <v>1190155068.2387519</v>
      </c>
      <c r="K245" s="516">
        <f>+K61</f>
        <v>23657846.15384616</v>
      </c>
      <c r="L245" s="1007">
        <f>+L61</f>
        <v>43819538.461538456</v>
      </c>
      <c r="M245" s="426"/>
      <c r="N245" s="1849"/>
    </row>
    <row r="246" spans="1:16" ht="15.75" customHeight="1">
      <c r="A246" s="953">
        <f>+A245+1</f>
        <v>149</v>
      </c>
      <c r="B246" s="26"/>
      <c r="C246" s="26" t="s">
        <v>834</v>
      </c>
      <c r="D246" s="26"/>
      <c r="E246" s="61"/>
      <c r="F246" s="1035" t="str">
        <f>"(Line "&amp;A100&amp;")"</f>
        <v>(Line 58)</v>
      </c>
      <c r="G246" s="789"/>
      <c r="H246" s="516">
        <f>+H100</f>
        <v>-210508758.97071892</v>
      </c>
      <c r="I246" s="960"/>
      <c r="J246" s="516">
        <f>+J100</f>
        <v>-210508758.97071892</v>
      </c>
      <c r="K246" s="516">
        <f>+K100</f>
        <v>0</v>
      </c>
      <c r="L246" s="1007">
        <f>+L100</f>
        <v>0</v>
      </c>
      <c r="M246" s="426"/>
      <c r="N246" s="1788"/>
    </row>
    <row r="247" spans="1:16" ht="15.75" customHeight="1">
      <c r="A247" s="953">
        <f>+A246+1</f>
        <v>150</v>
      </c>
      <c r="B247" s="23"/>
      <c r="C247" s="6" t="s">
        <v>838</v>
      </c>
      <c r="D247" s="50"/>
      <c r="E247" s="70"/>
      <c r="F247" s="1022" t="str">
        <f>"(Line "&amp;A102&amp;")"</f>
        <v>(Line 59)</v>
      </c>
      <c r="G247" s="97"/>
      <c r="H247" s="517">
        <f>+H102</f>
        <v>1047123693.8834176</v>
      </c>
      <c r="I247" s="939"/>
      <c r="J247" s="517">
        <f>+J102</f>
        <v>979646309.26803303</v>
      </c>
      <c r="K247" s="517">
        <f>+K102</f>
        <v>23657846.15384616</v>
      </c>
      <c r="L247" s="1008">
        <f>+L102</f>
        <v>43819538.461538456</v>
      </c>
      <c r="M247" s="426"/>
      <c r="P247" s="56"/>
    </row>
    <row r="248" spans="1:16" ht="15.75" customHeight="1">
      <c r="A248" s="953"/>
      <c r="B248" s="23"/>
      <c r="C248" s="393"/>
      <c r="D248" s="25"/>
      <c r="E248" s="382"/>
      <c r="F248" s="1025"/>
      <c r="G248" s="97"/>
      <c r="H248" s="516"/>
      <c r="I248" s="426"/>
      <c r="J248" s="503"/>
      <c r="K248" s="503"/>
      <c r="L248" s="952"/>
      <c r="M248" s="426"/>
    </row>
    <row r="249" spans="1:16" ht="15.75" customHeight="1">
      <c r="A249" s="953">
        <f>+A247+1</f>
        <v>151</v>
      </c>
      <c r="B249" s="21"/>
      <c r="C249" s="393" t="s">
        <v>896</v>
      </c>
      <c r="D249" s="21"/>
      <c r="E249" s="61"/>
      <c r="F249" s="1022" t="str">
        <f>"(Line "&amp;A135&amp;")"</f>
        <v>(Line 82)</v>
      </c>
      <c r="G249" s="97"/>
      <c r="H249" s="516">
        <f>+H135</f>
        <v>43143445.579617836</v>
      </c>
      <c r="I249" s="960"/>
      <c r="J249" s="516">
        <f>+J135</f>
        <v>39710649.828976445</v>
      </c>
      <c r="K249" s="516">
        <f>+K135</f>
        <v>1753563.5761830104</v>
      </c>
      <c r="L249" s="1007">
        <f>+L135</f>
        <v>1679232.1744583808</v>
      </c>
      <c r="M249" s="404"/>
    </row>
    <row r="250" spans="1:16" ht="15.75" customHeight="1">
      <c r="A250" s="953">
        <f>+A249+1</f>
        <v>152</v>
      </c>
      <c r="B250" s="21"/>
      <c r="C250" s="24" t="s">
        <v>819</v>
      </c>
      <c r="D250" s="21"/>
      <c r="E250" s="61"/>
      <c r="F250" s="1022" t="str">
        <f>"(Line "&amp;A152&amp;")"</f>
        <v>(Line 92)</v>
      </c>
      <c r="G250" s="97"/>
      <c r="H250" s="516">
        <f>+H152</f>
        <v>50606817.198540986</v>
      </c>
      <c r="I250" s="960"/>
      <c r="J250" s="516">
        <f>+J152</f>
        <v>47447050.198540986</v>
      </c>
      <c r="K250" s="516">
        <f>+K152</f>
        <v>1538038</v>
      </c>
      <c r="L250" s="1007">
        <f>+L152</f>
        <v>1621729</v>
      </c>
      <c r="M250" s="404"/>
    </row>
    <row r="251" spans="1:16" ht="15.75" customHeight="1">
      <c r="A251" s="953">
        <f>+A250+1</f>
        <v>153</v>
      </c>
      <c r="B251" s="23"/>
      <c r="C251" s="393" t="s">
        <v>739</v>
      </c>
      <c r="D251" s="25"/>
      <c r="E251" s="382"/>
      <c r="F251" s="1022" t="str">
        <f>"(Line "&amp;A158&amp;")"</f>
        <v>(Line 94)</v>
      </c>
      <c r="G251" s="97"/>
      <c r="H251" s="516">
        <f>+H158</f>
        <v>9873825.9054017793</v>
      </c>
      <c r="I251" s="960"/>
      <c r="J251" s="516">
        <f>+J158</f>
        <v>8342600.9054017793</v>
      </c>
      <c r="K251" s="516">
        <f>+K158</f>
        <v>988777</v>
      </c>
      <c r="L251" s="1007">
        <f>+L158</f>
        <v>542448</v>
      </c>
      <c r="M251" s="404"/>
    </row>
    <row r="252" spans="1:16" ht="15.75" customHeight="1">
      <c r="A252" s="953">
        <f>+A251+1</f>
        <v>154</v>
      </c>
      <c r="B252" s="23"/>
      <c r="C252" s="394" t="s">
        <v>860</v>
      </c>
      <c r="D252" s="25"/>
      <c r="E252" s="382"/>
      <c r="F252" s="1022" t="str">
        <f>"(Line "&amp;A217&amp;")"</f>
        <v>(Line 136)</v>
      </c>
      <c r="G252" s="97"/>
      <c r="H252" s="516">
        <f>+H217</f>
        <v>78211278.403712317</v>
      </c>
      <c r="I252" s="960"/>
      <c r="J252" s="516">
        <f>+J217</f>
        <v>73171288.816106066</v>
      </c>
      <c r="K252" s="516">
        <f>+K217</f>
        <v>1767040.8976312042</v>
      </c>
      <c r="L252" s="1007">
        <f>+L217</f>
        <v>3272948.6899750475</v>
      </c>
      <c r="M252" s="404"/>
    </row>
    <row r="253" spans="1:16" ht="15.75" customHeight="1">
      <c r="A253" s="953">
        <f>+A252+1</f>
        <v>155</v>
      </c>
      <c r="B253" s="23"/>
      <c r="C253" s="394" t="s">
        <v>861</v>
      </c>
      <c r="D253" s="25"/>
      <c r="E253" s="382"/>
      <c r="F253" s="1022" t="str">
        <f>"(Line "&amp;A240&amp;")"</f>
        <v>(Line 147)</v>
      </c>
      <c r="G253" s="97"/>
      <c r="H253" s="516">
        <f>+H240</f>
        <v>9071159.7785862554</v>
      </c>
      <c r="I253" s="960"/>
      <c r="J253" s="516">
        <f>+J240</f>
        <v>8486607.8857557029</v>
      </c>
      <c r="K253" s="516">
        <f>+K240</f>
        <v>204946.27686520858</v>
      </c>
      <c r="L253" s="1007">
        <f>+L240</f>
        <v>379605.61596534407</v>
      </c>
      <c r="M253" s="404"/>
    </row>
    <row r="254" spans="1:16" ht="16.5" customHeight="1" thickBot="1">
      <c r="A254" s="953"/>
      <c r="B254" s="23"/>
      <c r="C254" s="394"/>
      <c r="D254" s="25"/>
      <c r="E254" s="382"/>
      <c r="F254" s="1025"/>
      <c r="G254" s="97"/>
      <c r="H254" s="516"/>
      <c r="I254" s="960"/>
      <c r="J254" s="516"/>
      <c r="K254" s="516"/>
      <c r="L254" s="1007"/>
      <c r="M254" s="426"/>
    </row>
    <row r="255" spans="1:16" ht="18.75" customHeight="1" thickBot="1">
      <c r="A255" s="55">
        <f>+A253+1</f>
        <v>156</v>
      </c>
      <c r="B255" s="54"/>
      <c r="C255" s="395" t="s">
        <v>884</v>
      </c>
      <c r="D255" s="396"/>
      <c r="E255" s="397"/>
      <c r="F255" s="518" t="str">
        <f>"(Sum Lines "&amp;A249&amp;" to "&amp;A253&amp;")"</f>
        <v>(Sum Lines 151 to 155)</v>
      </c>
      <c r="G255" s="1069"/>
      <c r="H255" s="518">
        <f>SUM(H253,H252,H251,H250,H249)</f>
        <v>190906526.86585918</v>
      </c>
      <c r="I255" s="940"/>
      <c r="J255" s="518">
        <f>SUM(J253,J252,J251,J250,J249)</f>
        <v>177158197.634781</v>
      </c>
      <c r="K255" s="518">
        <f>SUM(K253,K252,K251,K250,K249)</f>
        <v>6252365.7506794222</v>
      </c>
      <c r="L255" s="1009">
        <f>SUM(L253,L252,L251,L250,L249)</f>
        <v>7495963.4803987723</v>
      </c>
      <c r="M255" s="426"/>
      <c r="N255" s="1787"/>
      <c r="O255" s="1788"/>
    </row>
    <row r="256" spans="1:16" ht="18" customHeight="1">
      <c r="A256" s="1010"/>
      <c r="B256" s="75"/>
      <c r="C256" s="398"/>
      <c r="D256" s="399"/>
      <c r="E256" s="400"/>
      <c r="F256" s="1048"/>
      <c r="G256" s="97"/>
      <c r="H256" s="936"/>
      <c r="I256" s="426"/>
      <c r="J256" s="503"/>
      <c r="K256" s="503"/>
      <c r="L256" s="952"/>
      <c r="M256" s="426"/>
    </row>
    <row r="257" spans="1:16" ht="18" customHeight="1">
      <c r="A257" s="1010"/>
      <c r="B257" s="59" t="s">
        <v>787</v>
      </c>
      <c r="C257" s="398"/>
      <c r="D257" s="399"/>
      <c r="E257" s="400"/>
      <c r="F257" s="1048"/>
      <c r="G257" s="97"/>
      <c r="H257" s="936"/>
      <c r="I257" s="426"/>
      <c r="J257" s="503"/>
      <c r="K257" s="503"/>
      <c r="L257" s="952"/>
      <c r="M257" s="426"/>
      <c r="N257" s="1789"/>
    </row>
    <row r="258" spans="1:16" ht="18" customHeight="1">
      <c r="A258" s="639">
        <f>+A255+1</f>
        <v>157</v>
      </c>
      <c r="B258" s="69"/>
      <c r="C258" s="393" t="str">
        <f>+C31</f>
        <v>Transmission Plant In Service</v>
      </c>
      <c r="D258" s="399"/>
      <c r="E258" s="400"/>
      <c r="F258" s="1028" t="str">
        <f>"(Line "&amp;A33&amp;")"</f>
        <v>(Line 17)</v>
      </c>
      <c r="G258" s="97"/>
      <c r="H258" s="505">
        <f>+H33</f>
        <v>1856158831.2692306</v>
      </c>
      <c r="I258" s="401"/>
      <c r="J258" s="505">
        <f>+J33</f>
        <v>1660391062.0384614</v>
      </c>
      <c r="K258" s="505">
        <f>+K33</f>
        <v>100969769.23076923</v>
      </c>
      <c r="L258" s="962">
        <f>+L33</f>
        <v>94798000</v>
      </c>
      <c r="M258" s="426"/>
      <c r="N258" s="1789"/>
    </row>
    <row r="259" spans="1:16" ht="18" customHeight="1">
      <c r="A259" s="639">
        <f>+A258+1</f>
        <v>158</v>
      </c>
      <c r="B259" s="69"/>
      <c r="C259" s="402" t="s">
        <v>788</v>
      </c>
      <c r="D259" s="403"/>
      <c r="E259" s="73" t="str">
        <f>"(Note "&amp;B$309&amp;")"</f>
        <v>(Note M)</v>
      </c>
      <c r="F259" s="1030" t="s">
        <v>668</v>
      </c>
      <c r="G259" s="789"/>
      <c r="H259" s="519">
        <f>+J259+K259+L259</f>
        <v>180803000</v>
      </c>
      <c r="I259" s="941"/>
      <c r="J259" s="519">
        <f>'5 - Cost Support'!H121</f>
        <v>176930000</v>
      </c>
      <c r="K259" s="519">
        <f>'5 - Cost Support'!H120</f>
        <v>3873000</v>
      </c>
      <c r="L259" s="1011">
        <f>'5 - Cost Support'!H122</f>
        <v>0</v>
      </c>
      <c r="M259" s="426"/>
    </row>
    <row r="260" spans="1:16" ht="18" customHeight="1">
      <c r="A260" s="639">
        <f>+A259+1</f>
        <v>159</v>
      </c>
      <c r="B260" s="69"/>
      <c r="C260" s="393" t="s">
        <v>789</v>
      </c>
      <c r="D260" s="399"/>
      <c r="E260" s="1549"/>
      <c r="F260" s="1028" t="str">
        <f>"(Line "&amp;A258&amp;" - "&amp;A259&amp;")"</f>
        <v>(Line 157 - 158)</v>
      </c>
      <c r="G260" s="97"/>
      <c r="H260" s="505">
        <f>+H258-H259</f>
        <v>1675355831.2692306</v>
      </c>
      <c r="I260" s="401"/>
      <c r="J260" s="505">
        <f>+J258-J259</f>
        <v>1483461062.0384614</v>
      </c>
      <c r="K260" s="505">
        <f>+K258-K259</f>
        <v>97096769.230769232</v>
      </c>
      <c r="L260" s="962">
        <f>+L258-L259</f>
        <v>94798000</v>
      </c>
      <c r="M260" s="426"/>
      <c r="N260" s="1789"/>
    </row>
    <row r="261" spans="1:16" s="15" customFormat="1" ht="18" customHeight="1">
      <c r="A261" s="639">
        <f>+A260+1</f>
        <v>160</v>
      </c>
      <c r="B261" s="69"/>
      <c r="C261" s="393" t="s">
        <v>790</v>
      </c>
      <c r="D261" s="399"/>
      <c r="E261" s="1549"/>
      <c r="F261" s="1028" t="str">
        <f>"(Line "&amp;A260&amp;" / "&amp;A258&amp;")"</f>
        <v>(Line 159 / 157)</v>
      </c>
      <c r="G261" s="104"/>
      <c r="H261" s="1137">
        <f>+H260/H258</f>
        <v>0.9025929263411322</v>
      </c>
      <c r="I261" s="404"/>
      <c r="J261" s="1137">
        <f>+J260/J258</f>
        <v>0.89344076582610421</v>
      </c>
      <c r="K261" s="1137">
        <f>+K260/K258</f>
        <v>0.96164198423442815</v>
      </c>
      <c r="L261" s="1138">
        <f>+L260/L258</f>
        <v>1</v>
      </c>
      <c r="M261" s="404"/>
      <c r="N261" s="1790"/>
    </row>
    <row r="262" spans="1:16" ht="18" customHeight="1">
      <c r="A262" s="639">
        <f>+A261+1</f>
        <v>161</v>
      </c>
      <c r="B262" s="69"/>
      <c r="C262" s="402" t="s">
        <v>884</v>
      </c>
      <c r="D262" s="403"/>
      <c r="E262" s="1550"/>
      <c r="F262" s="1030" t="str">
        <f>"(Line "&amp;A255&amp;")"</f>
        <v>(Line 156)</v>
      </c>
      <c r="G262" s="789"/>
      <c r="H262" s="519">
        <f>+H255</f>
        <v>190906526.86585918</v>
      </c>
      <c r="I262" s="941"/>
      <c r="J262" s="519">
        <f>+J255</f>
        <v>177158197.634781</v>
      </c>
      <c r="K262" s="519">
        <f>+K255</f>
        <v>6252365.7506794222</v>
      </c>
      <c r="L262" s="1011">
        <f>+L255</f>
        <v>7495963.4803987723</v>
      </c>
      <c r="M262" s="426"/>
      <c r="N262" s="1848"/>
    </row>
    <row r="263" spans="1:16" ht="18" customHeight="1">
      <c r="A263" s="639">
        <f>+A262+1</f>
        <v>162</v>
      </c>
      <c r="B263" s="69"/>
      <c r="C263" s="11" t="s">
        <v>791</v>
      </c>
      <c r="D263" s="399"/>
      <c r="E263" s="1551"/>
      <c r="F263" s="1028" t="str">
        <f>"(Line "&amp;A261&amp;" * "&amp;A262&amp;")"</f>
        <v>(Line 160 * 161)</v>
      </c>
      <c r="G263" s="97"/>
      <c r="H263" s="520">
        <f>+H262*H261</f>
        <v>172310880.74147782</v>
      </c>
      <c r="I263" s="78"/>
      <c r="J263" s="520">
        <f>+J262*J261</f>
        <v>158280355.76719105</v>
      </c>
      <c r="K263" s="520">
        <f>+K262*K261</f>
        <v>6012537.4066427397</v>
      </c>
      <c r="L263" s="988">
        <f>+L262*L261</f>
        <v>7495963.4803987723</v>
      </c>
      <c r="M263" s="426"/>
      <c r="N263" s="56"/>
    </row>
    <row r="264" spans="1:16" ht="15.75" customHeight="1">
      <c r="A264" s="979"/>
      <c r="B264" s="23"/>
      <c r="C264" s="393"/>
      <c r="D264" s="25"/>
      <c r="E264" s="1552"/>
      <c r="F264" s="1025"/>
      <c r="G264" s="97"/>
      <c r="H264" s="522"/>
      <c r="I264" s="426"/>
      <c r="J264" s="503"/>
      <c r="K264" s="503"/>
      <c r="L264" s="952"/>
      <c r="M264" s="426"/>
    </row>
    <row r="265" spans="1:16" ht="15.75" customHeight="1">
      <c r="A265" s="979"/>
      <c r="B265" s="59" t="s">
        <v>155</v>
      </c>
      <c r="C265" s="393"/>
      <c r="D265" s="25"/>
      <c r="E265" s="1552"/>
      <c r="F265" s="1025"/>
      <c r="G265" s="97"/>
      <c r="H265" s="522"/>
      <c r="I265" s="426"/>
      <c r="J265" s="503"/>
      <c r="K265" s="503"/>
      <c r="L265" s="952"/>
      <c r="M265" s="426"/>
    </row>
    <row r="266" spans="1:16" ht="15.75" customHeight="1">
      <c r="A266" s="639">
        <f>+A263+1</f>
        <v>163</v>
      </c>
      <c r="B266" s="26"/>
      <c r="C266" s="102" t="s">
        <v>742</v>
      </c>
      <c r="D266" s="25"/>
      <c r="E266" s="1553"/>
      <c r="F266" s="1025" t="s">
        <v>669</v>
      </c>
      <c r="G266" s="97"/>
      <c r="H266" s="937">
        <f>+'3 - Revenue Credits'!D22</f>
        <v>78652436.021704793</v>
      </c>
      <c r="I266" s="426"/>
      <c r="J266" s="502">
        <f>+'3 - Revenue Credits'!F22</f>
        <v>77464074.568868577</v>
      </c>
      <c r="K266" s="502">
        <f>+'3 - Revenue Credits'!G22</f>
        <v>19882.565370828106</v>
      </c>
      <c r="L266" s="961">
        <f>+'3 - Revenue Credits'!H22</f>
        <v>1168478.8874653839</v>
      </c>
      <c r="M266" s="426"/>
    </row>
    <row r="267" spans="1:16" ht="15.75" customHeight="1">
      <c r="A267" s="639">
        <f>+A266+1</f>
        <v>164</v>
      </c>
      <c r="B267" s="26"/>
      <c r="C267" s="59" t="s">
        <v>154</v>
      </c>
      <c r="D267" s="25"/>
      <c r="E267" s="71" t="str">
        <f>"(Note "&amp;B$310&amp;")"</f>
        <v>(Note N)</v>
      </c>
      <c r="F267" s="1025" t="s">
        <v>668</v>
      </c>
      <c r="G267" s="97"/>
      <c r="H267" s="937">
        <f>J267+K267+L267</f>
        <v>0</v>
      </c>
      <c r="I267" s="426"/>
      <c r="J267" s="503">
        <f>'5 - Cost Support'!H234</f>
        <v>0</v>
      </c>
      <c r="K267" s="503">
        <v>0</v>
      </c>
      <c r="L267" s="952">
        <v>0</v>
      </c>
      <c r="M267" s="426"/>
    </row>
    <row r="268" spans="1:16" ht="16.5" customHeight="1" thickBot="1">
      <c r="A268" s="953"/>
      <c r="B268" s="23"/>
      <c r="C268" s="36"/>
      <c r="D268" s="36"/>
      <c r="E268" s="1554"/>
      <c r="F268" s="1025"/>
      <c r="G268" s="97"/>
      <c r="H268" s="522"/>
      <c r="I268" s="426"/>
      <c r="J268" s="503"/>
      <c r="K268" s="503"/>
      <c r="L268" s="952"/>
      <c r="M268" s="426"/>
    </row>
    <row r="269" spans="1:16" s="1" customFormat="1" ht="18.75" customHeight="1" thickBot="1">
      <c r="A269" s="55">
        <f>+A267+1</f>
        <v>165</v>
      </c>
      <c r="B269" s="1070"/>
      <c r="C269" s="1071" t="s">
        <v>895</v>
      </c>
      <c r="D269" s="1072"/>
      <c r="E269" s="1073"/>
      <c r="F269" s="1051" t="str">
        <f>"(Line "&amp;A263&amp;" - "&amp;A266&amp;" + "&amp;A267&amp;")"</f>
        <v>(Line 162 - 163 + 164)</v>
      </c>
      <c r="G269" s="1069"/>
      <c r="H269" s="518">
        <f>+H263-H266+H267</f>
        <v>93658444.719773024</v>
      </c>
      <c r="I269" s="940"/>
      <c r="J269" s="518">
        <f>+J263-J266+J267</f>
        <v>80816281.198322475</v>
      </c>
      <c r="K269" s="518">
        <f>+K263-K266+K267</f>
        <v>5992654.8412719117</v>
      </c>
      <c r="L269" s="1009">
        <f>+L263-L266+L267</f>
        <v>6327484.5929333884</v>
      </c>
      <c r="M269" s="972"/>
      <c r="N269" s="56"/>
      <c r="O269" s="1955"/>
      <c r="P269" s="1956"/>
    </row>
    <row r="270" spans="1:16" ht="15.75" customHeight="1">
      <c r="A270" s="979"/>
      <c r="B270" s="23"/>
      <c r="C270" s="36"/>
      <c r="D270" s="36"/>
      <c r="E270" s="61"/>
      <c r="F270" s="1025"/>
      <c r="G270" s="97"/>
      <c r="H270" s="522"/>
      <c r="I270" s="426"/>
      <c r="J270" s="503"/>
      <c r="K270" s="503"/>
      <c r="L270" s="952"/>
      <c r="M270" s="426"/>
      <c r="N270" s="1836"/>
    </row>
    <row r="271" spans="1:16" ht="15.75" customHeight="1">
      <c r="A271" s="639"/>
      <c r="B271" s="77" t="s">
        <v>936</v>
      </c>
      <c r="C271" s="36"/>
      <c r="D271" s="36"/>
      <c r="E271" s="61"/>
      <c r="F271" s="1025"/>
      <c r="G271" s="97"/>
      <c r="H271" s="522"/>
      <c r="I271" s="426"/>
      <c r="J271" s="503"/>
      <c r="K271" s="503"/>
      <c r="L271" s="952"/>
      <c r="M271" s="426"/>
    </row>
    <row r="272" spans="1:16" ht="15.75" customHeight="1">
      <c r="A272" s="639">
        <f>+A269+1</f>
        <v>166</v>
      </c>
      <c r="B272" s="69"/>
      <c r="C272" s="36" t="str">
        <f>+C255</f>
        <v>Gross Revenue Requirement</v>
      </c>
      <c r="D272" s="36"/>
      <c r="E272" s="74"/>
      <c r="F272" s="1044" t="str">
        <f>"(Line "&amp;A255&amp;")"</f>
        <v>(Line 156)</v>
      </c>
      <c r="G272" s="104"/>
      <c r="H272" s="523">
        <f>+H263</f>
        <v>172310880.74147782</v>
      </c>
      <c r="I272" s="641"/>
      <c r="J272" s="521">
        <f>+J263</f>
        <v>158280355.76719105</v>
      </c>
      <c r="K272" s="521">
        <f>+K263</f>
        <v>6012537.4066427397</v>
      </c>
      <c r="L272" s="1012">
        <f>+L263</f>
        <v>7495963.4803987723</v>
      </c>
      <c r="M272" s="426"/>
      <c r="N272" s="1787"/>
    </row>
    <row r="273" spans="1:13" ht="15.75" customHeight="1">
      <c r="A273" s="639">
        <f>+A272+1</f>
        <v>167</v>
      </c>
      <c r="B273" s="69"/>
      <c r="C273" s="36" t="s">
        <v>138</v>
      </c>
      <c r="D273" s="36"/>
      <c r="E273" s="74"/>
      <c r="F273" s="1044" t="str">
        <f>"(Line "&amp;A31&amp;" - "&amp;A47&amp;")"</f>
        <v>(Line 15 - 26)</v>
      </c>
      <c r="G273" s="104"/>
      <c r="H273" s="523">
        <f>+H31-H47</f>
        <v>1103399209.4399996</v>
      </c>
      <c r="I273" s="641"/>
      <c r="J273" s="521">
        <f>+J31-J47</f>
        <v>1035921824.8246152</v>
      </c>
      <c r="K273" s="521">
        <f>+K31-K47</f>
        <v>23657846.15384616</v>
      </c>
      <c r="L273" s="1012">
        <f>+L31-L47</f>
        <v>43819538.461538456</v>
      </c>
      <c r="M273" s="426"/>
    </row>
    <row r="274" spans="1:13" ht="15.75" customHeight="1">
      <c r="A274" s="639">
        <f>+A273+1</f>
        <v>168</v>
      </c>
      <c r="B274" s="69"/>
      <c r="C274" s="36" t="s">
        <v>940</v>
      </c>
      <c r="D274" s="36"/>
      <c r="E274" s="74"/>
      <c r="F274" s="1044" t="str">
        <f>"(Line "&amp;A255&amp;" / "&amp;A273&amp;")"</f>
        <v>(Line 156 / 167)</v>
      </c>
      <c r="G274" s="104"/>
      <c r="H274" s="904">
        <f>+H255/H273</f>
        <v>0.17301673341124527</v>
      </c>
      <c r="I274" s="640"/>
      <c r="J274" s="522">
        <f>+J272/J273</f>
        <v>0.15279179564924061</v>
      </c>
      <c r="K274" s="522">
        <f>+K272/K273</f>
        <v>0.25414559582235069</v>
      </c>
      <c r="L274" s="1013">
        <f>+L272/L273</f>
        <v>0.17106440970340603</v>
      </c>
      <c r="M274" s="426"/>
    </row>
    <row r="275" spans="1:13" ht="15.75" customHeight="1">
      <c r="A275" s="639">
        <f>+A274+1</f>
        <v>169</v>
      </c>
      <c r="B275" s="69"/>
      <c r="C275" s="36" t="s">
        <v>941</v>
      </c>
      <c r="D275" s="36"/>
      <c r="E275" s="74"/>
      <c r="F275" s="1044" t="str">
        <f>"(Line "&amp;A255&amp;" - "&amp;A140&amp;") / "&amp;A273</f>
        <v>(Line 156 - 83) / 167</v>
      </c>
      <c r="G275" s="104"/>
      <c r="H275" s="904">
        <f>(H255-H140)/H273</f>
        <v>0.13917991018300618</v>
      </c>
      <c r="I275" s="640"/>
      <c r="J275" s="522">
        <f>(J272-J140)/J273</f>
        <v>0.11980112378480137</v>
      </c>
      <c r="K275" s="522">
        <f>(K272-K140)/K273</f>
        <v>0.18913384496395927</v>
      </c>
      <c r="L275" s="1013">
        <f>(L272-L140)/L273</f>
        <v>0.13405514267464821</v>
      </c>
      <c r="M275" s="426"/>
    </row>
    <row r="276" spans="1:13" ht="15.75" customHeight="1">
      <c r="A276" s="639">
        <f>+A275+1</f>
        <v>170</v>
      </c>
      <c r="B276" s="69"/>
      <c r="C276" s="36" t="s">
        <v>942</v>
      </c>
      <c r="D276" s="36"/>
      <c r="E276" s="74"/>
      <c r="F276" s="1044" t="str">
        <f>"(Line "&amp;A255&amp;" - "&amp;A140&amp;" - "&amp;A217&amp;" - "&amp;A240&amp;") / "&amp;A273</f>
        <v>(Line 156 - 83 - 136 - 147) / 167</v>
      </c>
      <c r="G276" s="104"/>
      <c r="H276" s="904">
        <f>(H255-H140-H217-H240)/H273</f>
        <v>6.0076683141003499E-2</v>
      </c>
      <c r="I276" s="640"/>
      <c r="J276" s="522">
        <f>(J272-J140-J217-J240)/J273</f>
        <v>4.0974812044833248E-2</v>
      </c>
      <c r="K276" s="522">
        <f>(K272-K140-K217-K240)/K273</f>
        <v>0.1057793772041874</v>
      </c>
      <c r="L276" s="1013">
        <f>(L272-L140-L217-L240)/L273</f>
        <v>5.0700674914876315E-2</v>
      </c>
      <c r="M276" s="426"/>
    </row>
    <row r="277" spans="1:13" ht="15.75" customHeight="1">
      <c r="A277" s="639"/>
      <c r="B277" s="69"/>
      <c r="C277" s="36"/>
      <c r="D277" s="36"/>
      <c r="E277" s="74"/>
      <c r="F277" s="1044"/>
      <c r="G277" s="104"/>
      <c r="H277" s="904"/>
      <c r="I277" s="426"/>
      <c r="J277" s="503"/>
      <c r="K277" s="503"/>
      <c r="L277" s="952"/>
      <c r="M277" s="426"/>
    </row>
    <row r="278" spans="1:13" ht="15.75" customHeight="1">
      <c r="A278" s="639"/>
      <c r="B278" s="77" t="s">
        <v>937</v>
      </c>
      <c r="C278" s="36"/>
      <c r="D278" s="36"/>
      <c r="E278" s="74"/>
      <c r="F278" s="1044"/>
      <c r="G278" s="104"/>
      <c r="H278" s="904"/>
      <c r="I278" s="426"/>
      <c r="J278" s="502"/>
      <c r="K278" s="502"/>
      <c r="L278" s="961"/>
      <c r="M278" s="426"/>
    </row>
    <row r="279" spans="1:13" ht="15.75" customHeight="1">
      <c r="A279" s="639">
        <f>+A276+1</f>
        <v>171</v>
      </c>
      <c r="B279" s="69"/>
      <c r="C279" s="36" t="s">
        <v>443</v>
      </c>
      <c r="D279" s="36"/>
      <c r="E279" s="74"/>
      <c r="F279" s="1044" t="str">
        <f>"(Line "&amp;A255&amp;" - "&amp;A252&amp;" - "&amp;A253&amp;")"</f>
        <v>(Line 156 - 154 - 155)</v>
      </c>
      <c r="G279" s="104"/>
      <c r="H279" s="523">
        <f>+H255-H252-H253</f>
        <v>103624088.68356061</v>
      </c>
      <c r="I279" s="641"/>
      <c r="J279" s="521">
        <f>+J263-J252-J253</f>
        <v>76622459.065329283</v>
      </c>
      <c r="K279" s="521">
        <f>+K263-K252-K253</f>
        <v>4040550.2321463265</v>
      </c>
      <c r="L279" s="1012">
        <f>+L263-L252-L253</f>
        <v>3843409.1744583808</v>
      </c>
      <c r="M279" s="426"/>
    </row>
    <row r="280" spans="1:13" ht="16.5" customHeight="1">
      <c r="A280" s="639">
        <f>+A279+1</f>
        <v>172</v>
      </c>
      <c r="B280" s="69"/>
      <c r="C280" s="36" t="s">
        <v>368</v>
      </c>
      <c r="D280" s="36"/>
      <c r="E280" s="61"/>
      <c r="F280" s="1044" t="s">
        <v>999</v>
      </c>
      <c r="G280" s="104"/>
      <c r="H280" s="523">
        <f>+'4 - 100 Basis Pt ROE'!G9</f>
        <v>93873570.815880001</v>
      </c>
      <c r="I280" s="426"/>
      <c r="J280" s="523">
        <f>+$H280*J103</f>
        <v>87824292.129738539</v>
      </c>
      <c r="K280" s="523">
        <f>+$H280*K103</f>
        <v>2120901.770485132</v>
      </c>
      <c r="L280" s="1012">
        <f>+$H280*L103</f>
        <v>3928376.9156563347</v>
      </c>
      <c r="M280" s="426"/>
    </row>
    <row r="281" spans="1:13" ht="16.5" customHeight="1">
      <c r="A281" s="639">
        <f>+A280+1</f>
        <v>173</v>
      </c>
      <c r="B281" s="69"/>
      <c r="C281" s="36" t="s">
        <v>444</v>
      </c>
      <c r="D281" s="36"/>
      <c r="E281" s="61"/>
      <c r="F281" s="1044" t="str">
        <f>"(Line "&amp;A279&amp;" + "&amp;A280&amp;")"</f>
        <v>(Line 171 + 172)</v>
      </c>
      <c r="G281" s="97"/>
      <c r="H281" s="521">
        <f>+H280+H279</f>
        <v>197497659.49944061</v>
      </c>
      <c r="I281" s="641"/>
      <c r="J281" s="521">
        <f>+J280+J279</f>
        <v>164446751.19506782</v>
      </c>
      <c r="K281" s="521">
        <f>+K280+K279</f>
        <v>6161452.0026314585</v>
      </c>
      <c r="L281" s="1012">
        <f>+L280+L279</f>
        <v>7771786.0901147155</v>
      </c>
      <c r="M281" s="426"/>
    </row>
    <row r="282" spans="1:13" ht="15.75" customHeight="1">
      <c r="A282" s="639">
        <f>+A281+1</f>
        <v>174</v>
      </c>
      <c r="B282" s="69"/>
      <c r="C282" s="36" t="str">
        <f>+C273</f>
        <v>Net Transmission Plant</v>
      </c>
      <c r="D282" s="36"/>
      <c r="E282" s="61"/>
      <c r="F282" s="1025" t="str">
        <f>"(Line "&amp;A31&amp;" - "&amp;A47&amp;")"</f>
        <v>(Line 15 - 26)</v>
      </c>
      <c r="G282" s="97"/>
      <c r="H282" s="521">
        <f>+H273</f>
        <v>1103399209.4399996</v>
      </c>
      <c r="I282" s="641"/>
      <c r="J282" s="521">
        <f>+J273</f>
        <v>1035921824.8246152</v>
      </c>
      <c r="K282" s="521">
        <f>+K273</f>
        <v>23657846.15384616</v>
      </c>
      <c r="L282" s="1012">
        <f>+L273</f>
        <v>43819538.461538456</v>
      </c>
      <c r="M282" s="426"/>
    </row>
    <row r="283" spans="1:13" ht="15.75" customHeight="1">
      <c r="A283" s="639">
        <f>+A282+1</f>
        <v>175</v>
      </c>
      <c r="B283" s="69"/>
      <c r="C283" s="36" t="s">
        <v>938</v>
      </c>
      <c r="D283" s="36"/>
      <c r="E283" s="61"/>
      <c r="F283" s="1025" t="str">
        <f>"(Line "&amp;A281&amp;" / "&amp;A282&amp;")"</f>
        <v>(Line 173 / 174)</v>
      </c>
      <c r="G283" s="97"/>
      <c r="H283" s="522">
        <f>+H281/H282</f>
        <v>0.17899021297982912</v>
      </c>
      <c r="I283" s="640"/>
      <c r="J283" s="522">
        <f>+J281/J282</f>
        <v>0.158744363960967</v>
      </c>
      <c r="K283" s="522">
        <f>+K281/K282</f>
        <v>0.260440107800336</v>
      </c>
      <c r="L283" s="1013">
        <f>+L281/L282</f>
        <v>0.17735892168139136</v>
      </c>
      <c r="M283" s="426"/>
    </row>
    <row r="284" spans="1:13" ht="15.75" customHeight="1">
      <c r="A284" s="639">
        <f>+A283+1</f>
        <v>176</v>
      </c>
      <c r="B284" s="69"/>
      <c r="C284" s="36" t="s">
        <v>939</v>
      </c>
      <c r="D284" s="36"/>
      <c r="E284" s="61"/>
      <c r="F284" s="1025" t="str">
        <f>"(Line "&amp;A281&amp;" - "&amp;A140&amp;") / "&amp;A282</f>
        <v>(Line 173 - 83) / 174</v>
      </c>
      <c r="G284" s="97"/>
      <c r="H284" s="522">
        <f>(H281-H140)/H282</f>
        <v>0.14515338975159006</v>
      </c>
      <c r="I284" s="640"/>
      <c r="J284" s="522">
        <f>(J281-J140)/J282</f>
        <v>0.12575369209652776</v>
      </c>
      <c r="K284" s="522">
        <f>(K281-K140)/K282</f>
        <v>0.1954283569419446</v>
      </c>
      <c r="L284" s="1013">
        <f>(L281-L140)/L282</f>
        <v>0.14034965465263355</v>
      </c>
      <c r="M284" s="426"/>
    </row>
    <row r="285" spans="1:13" ht="15.75" customHeight="1">
      <c r="A285" s="639"/>
      <c r="B285" s="69"/>
      <c r="C285" s="36"/>
      <c r="D285" s="36"/>
      <c r="E285" s="61"/>
      <c r="F285" s="1025"/>
      <c r="G285" s="97"/>
      <c r="H285" s="522"/>
      <c r="I285" s="426"/>
      <c r="J285" s="503"/>
      <c r="K285" s="503"/>
      <c r="L285" s="952"/>
      <c r="M285" s="426"/>
    </row>
    <row r="286" spans="1:13" ht="15.75" customHeight="1">
      <c r="A286" s="639">
        <f>+A284+1</f>
        <v>177</v>
      </c>
      <c r="B286" s="69"/>
      <c r="C286" s="77" t="s">
        <v>895</v>
      </c>
      <c r="D286" s="36"/>
      <c r="E286" s="74"/>
      <c r="F286" s="1025" t="str">
        <f>"(Line "&amp;A269&amp;")"</f>
        <v>(Line 165)</v>
      </c>
      <c r="G286" s="97"/>
      <c r="H286" s="521">
        <f>+H269</f>
        <v>93658444.719773024</v>
      </c>
      <c r="I286" s="641"/>
      <c r="J286" s="521">
        <f>+J269</f>
        <v>80816281.198322475</v>
      </c>
      <c r="K286" s="521">
        <f>+K269</f>
        <v>5992654.8412719117</v>
      </c>
      <c r="L286" s="1012">
        <f>+L269</f>
        <v>6327484.5929333884</v>
      </c>
      <c r="M286" s="426"/>
    </row>
    <row r="287" spans="1:13" ht="15.75" customHeight="1">
      <c r="A287" s="639">
        <f>+A286+1</f>
        <v>178</v>
      </c>
      <c r="B287" s="69"/>
      <c r="C287" s="36" t="s">
        <v>369</v>
      </c>
      <c r="D287" s="36"/>
      <c r="E287" s="382"/>
      <c r="F287" s="1033" t="s">
        <v>666</v>
      </c>
      <c r="G287" s="97"/>
      <c r="H287" s="523">
        <f>SUM(J287:L287)</f>
        <v>-44497256.450419128</v>
      </c>
      <c r="I287" s="327"/>
      <c r="J287" s="1722">
        <f>'6 - Est and True up'!I155</f>
        <v>-39138940.381424129</v>
      </c>
      <c r="K287" s="523">
        <f>'6A-Colstrip'!H136</f>
        <v>-5130912.6417478891</v>
      </c>
      <c r="L287" s="1014">
        <f>'6B-So Intertie'!H135</f>
        <v>-227403.42724710761</v>
      </c>
      <c r="M287" s="426"/>
    </row>
    <row r="288" spans="1:13" ht="15.75" customHeight="1">
      <c r="A288" s="639">
        <f>+A287+1</f>
        <v>179</v>
      </c>
      <c r="B288" s="69"/>
      <c r="C288" s="154" t="s">
        <v>612</v>
      </c>
      <c r="D288" s="36"/>
      <c r="E288" s="382"/>
      <c r="F288" s="1033" t="s">
        <v>365</v>
      </c>
      <c r="G288" s="97"/>
      <c r="H288" s="523">
        <f>+'7 - Cap Add WS'!M32</f>
        <v>0</v>
      </c>
      <c r="I288" s="327"/>
      <c r="J288" s="523">
        <f>+H288</f>
        <v>0</v>
      </c>
      <c r="K288" s="523">
        <v>0</v>
      </c>
      <c r="L288" s="1014">
        <v>0</v>
      </c>
      <c r="M288" s="426"/>
    </row>
    <row r="289" spans="1:164" ht="15.75" customHeight="1">
      <c r="A289" s="639">
        <f>+A288+1</f>
        <v>180</v>
      </c>
      <c r="B289" s="69"/>
      <c r="C289" s="25" t="s">
        <v>114</v>
      </c>
      <c r="D289" s="150"/>
      <c r="E289" s="71"/>
      <c r="F289" s="1044" t="s">
        <v>720</v>
      </c>
      <c r="G289" s="97"/>
      <c r="H289" s="523">
        <v>0</v>
      </c>
      <c r="I289" s="327"/>
      <c r="J289" s="523">
        <v>0</v>
      </c>
      <c r="K289" s="523">
        <v>0</v>
      </c>
      <c r="L289" s="1014">
        <v>0</v>
      </c>
      <c r="M289" s="426"/>
      <c r="FH289" s="12">
        <f>SUM(A289:FG289)</f>
        <v>180</v>
      </c>
    </row>
    <row r="290" spans="1:164" ht="15.75" customHeight="1">
      <c r="A290" s="639">
        <f>+A289+1</f>
        <v>181</v>
      </c>
      <c r="B290" s="69"/>
      <c r="C290" s="77" t="s">
        <v>616</v>
      </c>
      <c r="D290" s="36"/>
      <c r="E290" s="74"/>
      <c r="F290" s="1025" t="str">
        <f>"(Line "&amp;A286&amp;" - "&amp;A287&amp;" + "&amp;A288&amp;" + "&amp;A289&amp;")"</f>
        <v>(Line 177 - 178 + 179 + 180)</v>
      </c>
      <c r="G290" s="97"/>
      <c r="H290" s="523">
        <f>SUM(H286:H289)</f>
        <v>49161188.269353896</v>
      </c>
      <c r="I290" s="641"/>
      <c r="J290" s="521">
        <f>SUM(J286:J289)</f>
        <v>41677340.816898346</v>
      </c>
      <c r="K290" s="521">
        <f>SUM(K286:K289)</f>
        <v>861742.19952402264</v>
      </c>
      <c r="L290" s="1012">
        <f>SUM(L286:L289)</f>
        <v>6100081.1656862805</v>
      </c>
      <c r="M290" s="426"/>
    </row>
    <row r="291" spans="1:164" ht="15.75" customHeight="1">
      <c r="A291" s="639"/>
      <c r="B291" s="23"/>
      <c r="C291" s="36"/>
      <c r="D291" s="36"/>
      <c r="E291" s="61"/>
      <c r="F291" s="1025"/>
      <c r="G291" s="97"/>
      <c r="H291" s="904"/>
      <c r="I291" s="425"/>
      <c r="J291" s="503"/>
      <c r="K291" s="503"/>
      <c r="L291" s="952"/>
      <c r="M291" s="426"/>
    </row>
    <row r="292" spans="1:164" ht="15.75" customHeight="1">
      <c r="A292" s="639"/>
      <c r="B292" s="102" t="s">
        <v>1084</v>
      </c>
      <c r="C292" s="36"/>
      <c r="D292" s="36"/>
      <c r="E292" s="61"/>
      <c r="F292" s="1025"/>
      <c r="G292" s="97"/>
      <c r="H292" s="904"/>
      <c r="I292" s="425"/>
      <c r="J292" s="503"/>
      <c r="K292" s="503"/>
      <c r="L292" s="952"/>
      <c r="M292" s="426"/>
      <c r="N292" s="1789"/>
    </row>
    <row r="293" spans="1:164" ht="15.75" customHeight="1">
      <c r="A293" s="639">
        <f>+A290+1</f>
        <v>182</v>
      </c>
      <c r="B293" s="69"/>
      <c r="C293" s="24" t="s">
        <v>433</v>
      </c>
      <c r="D293" s="642" t="s">
        <v>760</v>
      </c>
      <c r="E293" s="71" t="s">
        <v>755</v>
      </c>
      <c r="F293" s="1025" t="s">
        <v>102</v>
      </c>
      <c r="G293" s="1025"/>
      <c r="H293" s="1850">
        <f>+'WKSHT4 - Monthly Tx System Peak'!C26</f>
        <v>4453205.3016066216</v>
      </c>
      <c r="I293" s="36"/>
      <c r="J293" s="913">
        <f>H293</f>
        <v>4453205.3016066216</v>
      </c>
      <c r="K293" s="1851">
        <f>+'WKSHT4 - Monthly Tx System Peak'!C74</f>
        <v>721250</v>
      </c>
      <c r="L293" s="1012">
        <f>+'WKSHT4 - Monthly Tx System Peak'!C51</f>
        <v>700000</v>
      </c>
      <c r="M293" s="426"/>
      <c r="N293" s="56"/>
      <c r="O293" s="1787"/>
    </row>
    <row r="294" spans="1:164" ht="15.75" customHeight="1">
      <c r="A294" s="971">
        <f>+A293+1</f>
        <v>183</v>
      </c>
      <c r="B294" s="25"/>
      <c r="C294" s="24" t="s">
        <v>1084</v>
      </c>
      <c r="D294" s="1074"/>
      <c r="E294" s="405"/>
      <c r="F294" s="1022" t="str">
        <f>"(Line "&amp;A290&amp;" / "&amp;A293&amp;")"</f>
        <v>(Line 181 / 182)</v>
      </c>
      <c r="G294" s="97"/>
      <c r="H294" s="1136"/>
      <c r="I294" s="1852"/>
      <c r="J294" s="1136">
        <f>+J290/J293</f>
        <v>9.3589533817050938</v>
      </c>
      <c r="K294" s="1853">
        <f>+K290/K293</f>
        <v>1.1947898780229083</v>
      </c>
      <c r="L294" s="1854">
        <f>+L290/L293</f>
        <v>8.7144016652661147</v>
      </c>
      <c r="M294" s="426"/>
      <c r="N294" s="1789"/>
      <c r="O294" s="1955"/>
      <c r="P294" s="1956"/>
    </row>
    <row r="295" spans="1:164" ht="15.75" customHeight="1" thickBot="1">
      <c r="A295" s="1075">
        <f>+A294+1</f>
        <v>184</v>
      </c>
      <c r="B295" s="1076"/>
      <c r="C295" s="1077" t="s">
        <v>417</v>
      </c>
      <c r="D295" s="1078"/>
      <c r="E295" s="1079"/>
      <c r="F295" s="1080" t="str">
        <f>"(Line "&amp;A293&amp;" / 12)"</f>
        <v>(Line 182 / 12)</v>
      </c>
      <c r="G295" s="1081"/>
      <c r="H295" s="1082"/>
      <c r="I295" s="1083"/>
      <c r="J295" s="1743">
        <f>J294/12</f>
        <v>0.77991278180875778</v>
      </c>
      <c r="K295" s="1845">
        <f>K294/12</f>
        <v>9.9565823168575693E-2</v>
      </c>
      <c r="L295" s="1855">
        <f>L294/12</f>
        <v>0.72620013877217626</v>
      </c>
      <c r="M295" s="426"/>
      <c r="N295" s="1789"/>
      <c r="O295" s="1955"/>
      <c r="P295" s="1956"/>
    </row>
    <row r="296" spans="1:164" s="26" customFormat="1" ht="15.75" customHeight="1">
      <c r="A296" s="58"/>
      <c r="B296" s="59" t="s">
        <v>890</v>
      </c>
      <c r="C296" s="21"/>
      <c r="D296" s="21"/>
      <c r="E296" s="407"/>
      <c r="F296" s="406"/>
      <c r="H296" s="188"/>
      <c r="I296" s="425"/>
      <c r="J296" s="821"/>
      <c r="K296" s="821"/>
      <c r="L296" s="821"/>
      <c r="M296" s="426"/>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c r="DS296" s="12"/>
      <c r="DT296" s="12"/>
      <c r="DU296" s="12"/>
      <c r="DV296" s="12"/>
      <c r="DW296" s="12"/>
      <c r="DX296" s="12"/>
      <c r="DY296" s="12"/>
      <c r="DZ296" s="12"/>
      <c r="EA296" s="12"/>
      <c r="EB296" s="12"/>
      <c r="EC296" s="12"/>
      <c r="ED296" s="12"/>
      <c r="EE296" s="12"/>
      <c r="EF296" s="12"/>
      <c r="EG296" s="12"/>
      <c r="EH296" s="12"/>
      <c r="EI296" s="12"/>
      <c r="EJ296" s="12"/>
      <c r="EK296" s="12"/>
      <c r="EL296" s="12"/>
      <c r="EM296" s="12"/>
      <c r="EN296" s="12"/>
      <c r="EO296" s="12"/>
      <c r="EP296" s="12"/>
      <c r="EQ296" s="12"/>
      <c r="ER296" s="12"/>
      <c r="ES296" s="12"/>
      <c r="ET296" s="12"/>
      <c r="EU296" s="12"/>
      <c r="EV296" s="12"/>
      <c r="EW296" s="12"/>
      <c r="EX296" s="12"/>
      <c r="EY296" s="12"/>
      <c r="EZ296" s="12"/>
      <c r="FA296" s="12"/>
      <c r="FB296" s="12"/>
      <c r="FC296" s="12"/>
      <c r="FD296" s="12"/>
      <c r="FE296" s="12"/>
      <c r="FF296" s="12"/>
      <c r="FG296" s="12"/>
      <c r="FH296" s="12"/>
    </row>
    <row r="297" spans="1:164" ht="15.75" customHeight="1">
      <c r="A297" s="408"/>
      <c r="B297" s="69" t="s">
        <v>762</v>
      </c>
      <c r="C297" s="752" t="s">
        <v>900</v>
      </c>
      <c r="D297" s="753"/>
      <c r="E297" s="754"/>
      <c r="F297" s="755"/>
      <c r="G297" s="756"/>
      <c r="H297" s="757"/>
      <c r="I297" s="425"/>
      <c r="J297" s="425"/>
      <c r="K297" s="425"/>
      <c r="L297" s="425"/>
      <c r="M297" s="1561"/>
    </row>
    <row r="298" spans="1:164" ht="59.25" customHeight="1">
      <c r="A298" s="377"/>
      <c r="B298" s="1336" t="s">
        <v>852</v>
      </c>
      <c r="C298" s="1966" t="s">
        <v>515</v>
      </c>
      <c r="D298" s="1966"/>
      <c r="E298" s="1966"/>
      <c r="F298" s="1966"/>
      <c r="G298" s="1966"/>
      <c r="H298" s="1966"/>
      <c r="I298" s="1966"/>
      <c r="J298" s="1966"/>
      <c r="K298" s="1966"/>
      <c r="L298" s="1966"/>
      <c r="M298" s="426"/>
    </row>
    <row r="299" spans="1:164" ht="15.75" customHeight="1">
      <c r="A299" s="377"/>
      <c r="B299" s="69" t="s">
        <v>743</v>
      </c>
      <c r="C299" s="758" t="s">
        <v>901</v>
      </c>
      <c r="D299" s="752"/>
      <c r="E299" s="759"/>
      <c r="F299" s="760"/>
      <c r="G299" s="1132"/>
      <c r="H299" s="1133"/>
      <c r="I299" s="426"/>
      <c r="J299" s="426"/>
      <c r="K299" s="425"/>
      <c r="L299" s="425"/>
      <c r="M299" s="426"/>
    </row>
    <row r="300" spans="1:164" ht="15.75" customHeight="1">
      <c r="A300" s="377"/>
      <c r="B300" s="69" t="s">
        <v>763</v>
      </c>
      <c r="C300" s="750" t="s">
        <v>439</v>
      </c>
      <c r="D300" s="752"/>
      <c r="E300" s="759"/>
      <c r="F300" s="760"/>
      <c r="G300" s="1132"/>
      <c r="H300" s="1133"/>
      <c r="I300" s="426"/>
      <c r="J300" s="426"/>
      <c r="K300" s="425"/>
      <c r="L300" s="425"/>
      <c r="M300" s="426"/>
    </row>
    <row r="301" spans="1:164" ht="15.75" customHeight="1">
      <c r="A301" s="377"/>
      <c r="B301" s="69" t="s">
        <v>761</v>
      </c>
      <c r="C301" s="751" t="s">
        <v>441</v>
      </c>
      <c r="D301" s="752"/>
      <c r="E301" s="759"/>
      <c r="F301" s="760"/>
      <c r="G301" s="1132"/>
      <c r="H301" s="1133"/>
      <c r="I301" s="426"/>
      <c r="J301" s="426"/>
      <c r="K301" s="425"/>
      <c r="L301" s="425"/>
      <c r="M301" s="426"/>
    </row>
    <row r="302" spans="1:164" ht="15.75" customHeight="1">
      <c r="A302" s="377"/>
      <c r="B302" s="69" t="s">
        <v>175</v>
      </c>
      <c r="C302" s="752" t="s">
        <v>440</v>
      </c>
      <c r="D302" s="752"/>
      <c r="E302" s="759"/>
      <c r="F302" s="760"/>
      <c r="G302" s="1132"/>
      <c r="H302" s="1133"/>
      <c r="I302" s="426"/>
      <c r="J302" s="426"/>
      <c r="K302" s="425"/>
      <c r="L302" s="425"/>
      <c r="M302" s="426"/>
    </row>
    <row r="303" spans="1:164" ht="18">
      <c r="A303" s="377"/>
      <c r="B303" s="1336" t="s">
        <v>764</v>
      </c>
      <c r="C303" s="1968" t="s">
        <v>425</v>
      </c>
      <c r="D303" s="1968"/>
      <c r="E303" s="1968"/>
      <c r="F303" s="1968"/>
      <c r="G303" s="1968"/>
      <c r="H303" s="1968"/>
      <c r="I303" s="1968"/>
      <c r="J303" s="1968"/>
      <c r="K303" s="1968"/>
      <c r="L303" s="1968"/>
      <c r="M303" s="426"/>
    </row>
    <row r="304" spans="1:164" ht="18">
      <c r="A304" s="377"/>
      <c r="B304" s="69" t="s">
        <v>518</v>
      </c>
      <c r="C304" s="12" t="s">
        <v>110</v>
      </c>
      <c r="D304" s="1326"/>
      <c r="E304" s="1326"/>
      <c r="F304" s="1326"/>
      <c r="G304" s="1326"/>
      <c r="H304" s="1326"/>
      <c r="I304" s="1326"/>
      <c r="J304" s="1326"/>
      <c r="K304" s="1326"/>
      <c r="L304" s="1326"/>
      <c r="M304" s="426"/>
    </row>
    <row r="305" spans="1:13" ht="75.95" customHeight="1">
      <c r="A305" s="377"/>
      <c r="B305" s="1336" t="s">
        <v>748</v>
      </c>
      <c r="C305" s="1968" t="s">
        <v>516</v>
      </c>
      <c r="D305" s="1968"/>
      <c r="E305" s="1968"/>
      <c r="F305" s="1968"/>
      <c r="G305" s="1968"/>
      <c r="H305" s="1968"/>
      <c r="I305" s="1968"/>
      <c r="J305" s="1968"/>
      <c r="K305" s="1968"/>
      <c r="L305" s="1968"/>
      <c r="M305" s="426"/>
    </row>
    <row r="306" spans="1:13" ht="32.25" customHeight="1">
      <c r="A306" s="377"/>
      <c r="B306" s="1336" t="s">
        <v>752</v>
      </c>
      <c r="C306" s="1968" t="s">
        <v>25</v>
      </c>
      <c r="D306" s="1968"/>
      <c r="E306" s="1968"/>
      <c r="F306" s="1968"/>
      <c r="G306" s="1968"/>
      <c r="H306" s="1968"/>
      <c r="I306" s="1968"/>
      <c r="J306" s="1968"/>
      <c r="K306" s="1968"/>
      <c r="L306" s="1968"/>
      <c r="M306" s="426"/>
    </row>
    <row r="307" spans="1:13" ht="18">
      <c r="A307" s="377"/>
      <c r="B307" s="69" t="s">
        <v>766</v>
      </c>
      <c r="C307" s="1967" t="s">
        <v>442</v>
      </c>
      <c r="D307" s="1967"/>
      <c r="E307" s="1967"/>
      <c r="F307" s="1967"/>
      <c r="G307" s="1967"/>
      <c r="H307" s="1967"/>
      <c r="I307" s="1967"/>
      <c r="J307" s="1967"/>
      <c r="K307" s="1967"/>
      <c r="L307" s="1967"/>
      <c r="M307" s="426"/>
    </row>
    <row r="308" spans="1:13" ht="15.75" customHeight="1">
      <c r="A308" s="377"/>
      <c r="B308" s="69" t="s">
        <v>823</v>
      </c>
      <c r="C308" s="1969" t="s">
        <v>517</v>
      </c>
      <c r="D308" s="1969"/>
      <c r="E308" s="1969"/>
      <c r="F308" s="1969"/>
      <c r="G308" s="1969"/>
      <c r="H308" s="1969"/>
      <c r="I308" s="1969"/>
      <c r="J308" s="1969"/>
      <c r="K308" s="1969"/>
      <c r="L308" s="1969"/>
      <c r="M308" s="426"/>
    </row>
    <row r="309" spans="1:13" ht="15.75" customHeight="1">
      <c r="A309" s="22"/>
      <c r="B309" s="22" t="s">
        <v>824</v>
      </c>
      <c r="C309" s="751" t="s">
        <v>934</v>
      </c>
      <c r="D309" s="751"/>
      <c r="E309" s="759"/>
      <c r="F309" s="760"/>
      <c r="G309" s="1134"/>
      <c r="H309" s="1133"/>
      <c r="I309" s="153"/>
      <c r="J309" s="426"/>
      <c r="K309" s="425"/>
      <c r="L309" s="425"/>
      <c r="M309" s="426"/>
    </row>
    <row r="310" spans="1:13" ht="35.25" customHeight="1">
      <c r="A310" s="22"/>
      <c r="B310" s="1336" t="s">
        <v>176</v>
      </c>
      <c r="C310" s="1965" t="s">
        <v>997</v>
      </c>
      <c r="D310" s="1965"/>
      <c r="E310" s="1965"/>
      <c r="F310" s="1965"/>
      <c r="G310" s="1965"/>
      <c r="H310" s="1965"/>
      <c r="I310" s="1965"/>
      <c r="J310" s="1965"/>
      <c r="K310" s="1965"/>
      <c r="L310" s="1965"/>
      <c r="M310" s="426"/>
    </row>
    <row r="311" spans="1:13" ht="15.75" customHeight="1">
      <c r="A311" s="69"/>
      <c r="B311" s="69" t="s">
        <v>283</v>
      </c>
      <c r="C311" s="752" t="s">
        <v>303</v>
      </c>
      <c r="D311" s="752"/>
      <c r="E311" s="759"/>
      <c r="F311" s="760"/>
      <c r="G311" s="1134"/>
      <c r="H311" s="1133"/>
      <c r="I311" s="153"/>
      <c r="J311" s="426"/>
      <c r="K311" s="425"/>
      <c r="L311" s="425"/>
      <c r="M311" s="426"/>
    </row>
    <row r="312" spans="1:13" ht="15.75" customHeight="1">
      <c r="A312" s="69"/>
      <c r="B312" s="69" t="s">
        <v>305</v>
      </c>
      <c r="C312" s="752" t="s">
        <v>304</v>
      </c>
      <c r="D312" s="752"/>
      <c r="E312" s="759"/>
      <c r="F312" s="760"/>
      <c r="G312" s="1134"/>
      <c r="H312" s="1133"/>
      <c r="I312" s="153"/>
      <c r="J312" s="426"/>
      <c r="K312" s="425"/>
      <c r="L312" s="425"/>
      <c r="M312" s="426"/>
    </row>
    <row r="313" spans="1:13" ht="17.45" customHeight="1">
      <c r="A313" s="69"/>
      <c r="B313" s="69" t="s">
        <v>337</v>
      </c>
      <c r="C313" s="1965" t="s">
        <v>340</v>
      </c>
      <c r="D313" s="1965"/>
      <c r="E313" s="1965"/>
      <c r="F313" s="1965"/>
      <c r="G313" s="1965"/>
      <c r="H313" s="1965"/>
      <c r="I313" s="153"/>
      <c r="J313" s="426"/>
      <c r="K313" s="425"/>
      <c r="L313" s="425"/>
      <c r="M313" s="426"/>
    </row>
    <row r="314" spans="1:13" ht="18">
      <c r="A314" s="69"/>
      <c r="B314" s="69" t="s">
        <v>339</v>
      </c>
      <c r="C314" s="1965" t="s">
        <v>338</v>
      </c>
      <c r="D314" s="1965"/>
      <c r="E314" s="1965"/>
      <c r="F314" s="1965"/>
      <c r="G314" s="1965"/>
      <c r="H314" s="1965"/>
      <c r="I314" s="153"/>
      <c r="J314" s="426"/>
      <c r="K314" s="425"/>
      <c r="L314" s="425"/>
      <c r="M314" s="426"/>
    </row>
    <row r="315" spans="1:13" ht="15" customHeight="1">
      <c r="A315" s="69"/>
      <c r="B315" s="69" t="s">
        <v>971</v>
      </c>
      <c r="C315" s="25" t="s">
        <v>998</v>
      </c>
      <c r="D315" s="25"/>
      <c r="E315" s="405"/>
      <c r="F315" s="409"/>
      <c r="G315" s="2"/>
      <c r="H315" s="1135"/>
      <c r="I315" s="153"/>
      <c r="J315" s="426"/>
      <c r="K315" s="425"/>
      <c r="L315" s="425"/>
      <c r="M315" s="426"/>
    </row>
    <row r="316" spans="1:13" ht="15.75">
      <c r="A316" s="69"/>
      <c r="B316" s="12"/>
      <c r="C316" s="12"/>
      <c r="D316" s="25"/>
      <c r="E316" s="405"/>
      <c r="F316" s="409"/>
      <c r="H316" s="188"/>
      <c r="I316" s="56"/>
      <c r="J316" s="56"/>
      <c r="K316" s="56"/>
      <c r="L316" s="56"/>
    </row>
    <row r="317" spans="1:13" ht="15.75">
      <c r="A317" s="69"/>
      <c r="B317" s="69"/>
      <c r="C317" s="12"/>
      <c r="D317" s="25"/>
      <c r="E317" s="405"/>
      <c r="F317" s="409"/>
      <c r="H317" s="188"/>
      <c r="I317" s="56"/>
      <c r="J317" s="56"/>
      <c r="K317" s="56"/>
      <c r="L317" s="56"/>
    </row>
    <row r="318" spans="1:13" ht="15.75">
      <c r="A318" s="69"/>
      <c r="B318" s="69"/>
      <c r="C318" s="25"/>
      <c r="D318" s="25"/>
      <c r="E318" s="405"/>
      <c r="F318" s="409"/>
      <c r="H318" s="188"/>
      <c r="I318" s="56"/>
      <c r="J318" s="56"/>
      <c r="K318" s="56"/>
      <c r="L318" s="56"/>
    </row>
    <row r="319" spans="1:13" ht="15.75">
      <c r="A319" s="13"/>
      <c r="B319" s="4"/>
      <c r="C319" s="3"/>
      <c r="D319" s="14"/>
      <c r="E319" s="105"/>
      <c r="F319" s="5"/>
      <c r="H319" s="7"/>
      <c r="I319" s="56"/>
      <c r="J319" s="56"/>
      <c r="K319" s="56"/>
      <c r="L319" s="56"/>
    </row>
    <row r="320" spans="1:13" ht="15.75">
      <c r="A320" s="52" t="s">
        <v>741</v>
      </c>
      <c r="B320" s="51"/>
      <c r="C320" s="45"/>
      <c r="D320" s="44"/>
      <c r="E320" s="410"/>
      <c r="F320" s="44"/>
      <c r="G320" s="442"/>
      <c r="H320" s="45"/>
      <c r="I320" s="435"/>
      <c r="J320" s="435"/>
      <c r="K320" s="435"/>
      <c r="L320" s="435"/>
    </row>
  </sheetData>
  <mergeCells count="9">
    <mergeCell ref="C314:H314"/>
    <mergeCell ref="C298:L298"/>
    <mergeCell ref="C313:H313"/>
    <mergeCell ref="C307:L307"/>
    <mergeCell ref="C306:L306"/>
    <mergeCell ref="C303:L303"/>
    <mergeCell ref="C305:L305"/>
    <mergeCell ref="C310:L310"/>
    <mergeCell ref="C308:L308"/>
  </mergeCells>
  <phoneticPr fontId="64" type="noConversion"/>
  <pageMargins left="0.1" right="0.1" top="0" bottom="0" header="0.5" footer="0.5"/>
  <pageSetup scale="48" fitToHeight="4" orientation="landscape" r:id="rId1"/>
  <headerFooter alignWithMargins="0"/>
  <rowBreaks count="5" manualBreakCount="5">
    <brk id="62" max="11" man="1"/>
    <brk id="136" max="11" man="1"/>
    <brk id="159" max="11" man="1"/>
    <brk id="218" max="11" man="1"/>
    <brk id="29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40"/>
  <sheetViews>
    <sheetView topLeftCell="A90" zoomScale="75" zoomScaleNormal="75" zoomScaleSheetLayoutView="65" workbookViewId="0">
      <selection activeCell="H53" sqref="H53"/>
    </sheetView>
  </sheetViews>
  <sheetFormatPr defaultRowHeight="12.75"/>
  <cols>
    <col min="1" max="1" width="11.42578125" style="110" customWidth="1"/>
    <col min="2" max="2" width="37.42578125" style="110" customWidth="1"/>
    <col min="3" max="3" width="19.85546875" style="110" customWidth="1"/>
    <col min="4" max="4" width="17" customWidth="1"/>
    <col min="5" max="5" width="16.5703125" customWidth="1"/>
    <col min="6" max="7" width="16.85546875" customWidth="1"/>
    <col min="8" max="9" width="16.5703125" customWidth="1"/>
    <col min="10" max="10" width="72" customWidth="1"/>
    <col min="11" max="11" width="15.7109375" bestFit="1" customWidth="1"/>
    <col min="14" max="14" width="14.140625" customWidth="1"/>
    <col min="15" max="15" width="10.28515625" bestFit="1" customWidth="1"/>
  </cols>
  <sheetData>
    <row r="1" spans="1:13" ht="18">
      <c r="A1" s="1976" t="str">
        <f>+'ATT H-1 '!A3</f>
        <v xml:space="preserve">Puget Sound Energy </v>
      </c>
      <c r="B1" s="1976"/>
      <c r="C1" s="1976"/>
      <c r="D1" s="1977"/>
      <c r="E1" s="1977"/>
      <c r="F1" s="1977"/>
      <c r="G1" s="1977"/>
      <c r="H1" s="1977"/>
      <c r="I1" s="1977"/>
      <c r="J1" s="1978"/>
    </row>
    <row r="2" spans="1:13" ht="18">
      <c r="A2" s="106"/>
      <c r="B2" s="106"/>
      <c r="C2" s="106"/>
      <c r="D2" s="168"/>
      <c r="E2" s="168"/>
      <c r="F2" s="168"/>
      <c r="G2" s="168"/>
      <c r="H2" s="168"/>
      <c r="I2" s="168"/>
      <c r="J2" s="85"/>
    </row>
    <row r="3" spans="1:13" ht="15.75">
      <c r="A3" s="1188" t="s">
        <v>664</v>
      </c>
      <c r="B3" s="171"/>
      <c r="C3" s="171"/>
      <c r="D3" s="172"/>
      <c r="E3" s="172"/>
      <c r="F3" s="172"/>
      <c r="G3" s="172"/>
      <c r="H3" s="172"/>
      <c r="I3" s="172"/>
      <c r="J3" s="172"/>
    </row>
    <row r="4" spans="1:13" ht="15">
      <c r="A4" s="167"/>
      <c r="B4" s="167"/>
      <c r="C4" s="167"/>
      <c r="D4" s="149"/>
      <c r="E4" s="149"/>
      <c r="F4" s="149"/>
      <c r="G4" s="149"/>
      <c r="H4" s="149"/>
      <c r="I4" s="149"/>
      <c r="J4" s="149"/>
    </row>
    <row r="5" spans="1:13">
      <c r="A5" s="126"/>
      <c r="B5" s="126"/>
      <c r="C5" s="126"/>
      <c r="D5" s="2"/>
      <c r="E5" s="2"/>
      <c r="F5" s="87" t="s">
        <v>760</v>
      </c>
      <c r="G5" s="87"/>
      <c r="H5" s="2"/>
      <c r="I5" s="87"/>
      <c r="J5" s="2"/>
    </row>
    <row r="6" spans="1:13">
      <c r="A6" s="126"/>
      <c r="B6" s="126"/>
      <c r="C6" s="126"/>
      <c r="D6" s="2"/>
      <c r="E6" s="176"/>
      <c r="F6" s="127" t="s">
        <v>944</v>
      </c>
      <c r="G6" s="127" t="s">
        <v>115</v>
      </c>
      <c r="H6" s="127" t="s">
        <v>117</v>
      </c>
      <c r="I6" s="127" t="s">
        <v>851</v>
      </c>
      <c r="J6" s="2"/>
    </row>
    <row r="7" spans="1:13">
      <c r="A7" s="126"/>
      <c r="B7" s="126"/>
      <c r="C7" s="126"/>
      <c r="D7" s="2"/>
      <c r="E7" s="84"/>
      <c r="F7" s="127" t="s">
        <v>116</v>
      </c>
      <c r="G7" s="127" t="s">
        <v>116</v>
      </c>
      <c r="H7" s="127" t="s">
        <v>116</v>
      </c>
      <c r="I7" s="127" t="s">
        <v>125</v>
      </c>
      <c r="J7" s="2"/>
    </row>
    <row r="8" spans="1:13">
      <c r="A8" s="126"/>
      <c r="B8" s="126"/>
      <c r="C8" s="126"/>
      <c r="D8" s="2"/>
      <c r="E8" s="2"/>
      <c r="F8" s="2"/>
      <c r="G8" s="2"/>
      <c r="H8" s="2"/>
      <c r="I8" s="2"/>
      <c r="J8" s="2"/>
      <c r="L8" s="183"/>
    </row>
    <row r="9" spans="1:13">
      <c r="A9" s="126"/>
      <c r="B9" s="126"/>
      <c r="C9" s="126"/>
      <c r="D9" s="2"/>
      <c r="E9" s="2"/>
      <c r="F9" s="2"/>
      <c r="G9" s="2"/>
      <c r="H9" s="2"/>
      <c r="I9" s="2"/>
      <c r="J9" s="2"/>
    </row>
    <row r="10" spans="1:13">
      <c r="A10" s="126"/>
      <c r="B10" s="126"/>
      <c r="C10" s="126"/>
      <c r="D10" s="180" t="s">
        <v>946</v>
      </c>
      <c r="E10" s="2"/>
      <c r="F10" s="107">
        <f>+G71</f>
        <v>0</v>
      </c>
      <c r="G10" s="107">
        <f>+H71</f>
        <v>-1231033407.1472001</v>
      </c>
      <c r="H10" s="107">
        <f>+I71</f>
        <v>0</v>
      </c>
      <c r="I10" s="107">
        <f>SUM(F10:H10)</f>
        <v>-1231033407.1472001</v>
      </c>
      <c r="J10" s="2"/>
    </row>
    <row r="11" spans="1:13">
      <c r="A11" s="126"/>
      <c r="B11" s="126"/>
      <c r="C11" s="126"/>
      <c r="D11" s="180" t="s">
        <v>947</v>
      </c>
      <c r="E11" s="2"/>
      <c r="F11" s="107">
        <f>+G109</f>
        <v>0</v>
      </c>
      <c r="G11" s="107">
        <f>+H109</f>
        <v>-4846569.4800000004</v>
      </c>
      <c r="H11" s="107">
        <f>+I109</f>
        <v>-44369608.497979499</v>
      </c>
      <c r="I11" s="107">
        <f>SUM(F11:H11)</f>
        <v>-49216177.977979496</v>
      </c>
      <c r="J11" s="181"/>
    </row>
    <row r="12" spans="1:13">
      <c r="A12" s="126"/>
      <c r="B12" s="126"/>
      <c r="C12" s="126"/>
      <c r="D12" s="180" t="s">
        <v>945</v>
      </c>
      <c r="E12" s="2"/>
      <c r="F12" s="107">
        <f>+G46</f>
        <v>0</v>
      </c>
      <c r="G12" s="107">
        <f>+H46</f>
        <v>26599170.5</v>
      </c>
      <c r="H12" s="107">
        <f>+I46</f>
        <v>25628322.102961503</v>
      </c>
      <c r="I12" s="107">
        <f>SUM(F12:H12)</f>
        <v>52227492.602961503</v>
      </c>
      <c r="J12" s="181"/>
    </row>
    <row r="13" spans="1:13">
      <c r="A13" s="126"/>
      <c r="B13" s="126"/>
      <c r="C13" s="126"/>
      <c r="D13" s="180" t="s">
        <v>899</v>
      </c>
      <c r="E13" s="2"/>
      <c r="F13" s="107">
        <f>SUM(F10:F12)</f>
        <v>0</v>
      </c>
      <c r="G13" s="107">
        <f>SUM(G10:G12)</f>
        <v>-1209280806.1272001</v>
      </c>
      <c r="H13" s="107">
        <f>SUM(H10:H12)</f>
        <v>-18741286.395017996</v>
      </c>
      <c r="I13" s="107">
        <f>SUM(F13:H13)</f>
        <v>-1228022092.5222182</v>
      </c>
      <c r="J13" s="107"/>
      <c r="K13" s="1744"/>
      <c r="L13" s="1744"/>
    </row>
    <row r="14" spans="1:13">
      <c r="A14" s="126"/>
      <c r="B14" s="126"/>
      <c r="C14" s="126"/>
      <c r="D14" s="180" t="s">
        <v>826</v>
      </c>
      <c r="E14" s="2"/>
      <c r="F14" s="2"/>
      <c r="G14" s="2"/>
      <c r="H14" s="1187">
        <f>+'ATT H-1 '!H13</f>
        <v>0.10801595633021691</v>
      </c>
      <c r="I14" s="2"/>
      <c r="J14" s="2"/>
      <c r="K14" s="97"/>
      <c r="L14" s="97"/>
      <c r="M14" s="97"/>
    </row>
    <row r="15" spans="1:13">
      <c r="A15" s="126"/>
      <c r="B15" s="126"/>
      <c r="C15" s="126"/>
      <c r="D15" s="180" t="s">
        <v>744</v>
      </c>
      <c r="E15" s="2"/>
      <c r="F15" s="2"/>
      <c r="G15" s="1187">
        <f>+'ATT H-1 '!H23</f>
        <v>0.17360751348150233</v>
      </c>
      <c r="H15" s="2"/>
      <c r="I15" s="2"/>
      <c r="J15" s="2"/>
      <c r="K15" s="97"/>
      <c r="L15" s="97"/>
      <c r="M15" s="97"/>
    </row>
    <row r="16" spans="1:13">
      <c r="A16" s="126"/>
      <c r="B16" s="126"/>
      <c r="C16" s="126"/>
      <c r="D16" s="180" t="s">
        <v>125</v>
      </c>
      <c r="E16" s="2"/>
      <c r="F16" s="107">
        <f>+F13</f>
        <v>0</v>
      </c>
      <c r="G16" s="107">
        <f>+G15*G13</f>
        <v>-209940233.8526499</v>
      </c>
      <c r="H16" s="107">
        <f>+H14*H13</f>
        <v>-2024357.972816352</v>
      </c>
      <c r="I16" s="107">
        <f>SUM(F16:H16)</f>
        <v>-211964591.82546625</v>
      </c>
      <c r="J16" s="2"/>
      <c r="K16" s="797"/>
      <c r="L16" s="797"/>
      <c r="M16" s="797"/>
    </row>
    <row r="17" spans="1:13">
      <c r="A17" s="126"/>
      <c r="B17" s="126"/>
      <c r="C17" s="126"/>
      <c r="D17" s="2"/>
      <c r="E17" s="2"/>
      <c r="F17" s="2"/>
      <c r="G17" s="2"/>
      <c r="H17" s="2"/>
      <c r="I17" s="2"/>
      <c r="J17" s="2"/>
      <c r="K17" s="97"/>
      <c r="L17" s="97"/>
      <c r="M17" s="97"/>
    </row>
    <row r="18" spans="1:13">
      <c r="A18" s="1191"/>
      <c r="B18" s="1191"/>
      <c r="C18" s="1191"/>
      <c r="D18" s="1191"/>
      <c r="E18" s="1191"/>
      <c r="F18" s="1191"/>
      <c r="G18" s="1191"/>
      <c r="H18" s="1191"/>
      <c r="I18" s="1191"/>
      <c r="J18" s="1191"/>
      <c r="K18" s="97"/>
      <c r="L18" s="97"/>
      <c r="M18" s="97"/>
    </row>
    <row r="19" spans="1:13">
      <c r="A19" s="1473"/>
      <c r="B19" s="1473"/>
      <c r="C19" s="1473"/>
      <c r="D19" s="1191"/>
      <c r="E19" s="1191"/>
      <c r="F19" s="1191"/>
      <c r="G19" s="1191"/>
      <c r="H19" s="1191"/>
      <c r="I19" s="1191"/>
      <c r="J19" s="1191"/>
    </row>
    <row r="20" spans="1:13">
      <c r="A20" s="1573" t="s">
        <v>180</v>
      </c>
      <c r="B20" s="1473"/>
      <c r="C20" s="1473"/>
      <c r="D20" s="1191"/>
      <c r="E20" s="1191"/>
      <c r="F20" s="1191"/>
      <c r="G20" s="1191"/>
      <c r="H20" s="1191"/>
      <c r="I20" s="1191"/>
      <c r="J20" s="1191"/>
    </row>
    <row r="21" spans="1:13">
      <c r="A21" s="1573" t="s">
        <v>864</v>
      </c>
      <c r="B21" s="1473"/>
      <c r="C21" s="1473"/>
      <c r="D21" s="1191"/>
      <c r="E21" s="1191"/>
      <c r="F21" s="1191"/>
      <c r="G21" s="1191"/>
      <c r="H21" s="1191"/>
      <c r="I21" s="1191"/>
      <c r="J21" s="1191"/>
    </row>
    <row r="22" spans="1:13" ht="15">
      <c r="A22" s="1473"/>
      <c r="B22" s="1473"/>
      <c r="C22" s="1473"/>
      <c r="D22" s="1474"/>
      <c r="E22" s="1474"/>
      <c r="F22" s="1474"/>
      <c r="G22" s="1474"/>
      <c r="H22" s="1474"/>
      <c r="I22" s="1474"/>
      <c r="J22" s="1475"/>
    </row>
    <row r="23" spans="1:13">
      <c r="A23" s="126"/>
      <c r="B23" s="126"/>
      <c r="C23" s="126"/>
      <c r="D23" s="2"/>
      <c r="E23" s="2"/>
      <c r="F23" s="2"/>
      <c r="G23" s="2"/>
      <c r="H23" s="2"/>
      <c r="I23" s="119"/>
      <c r="J23" s="2"/>
    </row>
    <row r="24" spans="1:13">
      <c r="A24" s="127" t="s">
        <v>762</v>
      </c>
      <c r="B24" s="127"/>
      <c r="C24" s="127"/>
      <c r="D24" s="127"/>
      <c r="E24" s="157" t="s">
        <v>852</v>
      </c>
      <c r="F24" s="157" t="s">
        <v>743</v>
      </c>
      <c r="G24" s="157" t="s">
        <v>763</v>
      </c>
      <c r="H24" s="157" t="s">
        <v>761</v>
      </c>
      <c r="I24" s="157" t="s">
        <v>175</v>
      </c>
      <c r="J24" s="157" t="s">
        <v>764</v>
      </c>
    </row>
    <row r="25" spans="1:13">
      <c r="A25" s="126"/>
      <c r="B25" s="126"/>
      <c r="C25" s="835" t="s">
        <v>851</v>
      </c>
      <c r="D25" s="180" t="s">
        <v>851</v>
      </c>
      <c r="E25" s="127" t="s">
        <v>851</v>
      </c>
      <c r="F25" s="127" t="s">
        <v>118</v>
      </c>
      <c r="G25" s="127" t="s">
        <v>120</v>
      </c>
      <c r="H25" s="87"/>
      <c r="I25" s="87"/>
      <c r="J25" s="2"/>
    </row>
    <row r="26" spans="1:13">
      <c r="A26" s="180" t="s">
        <v>945</v>
      </c>
      <c r="B26" s="180"/>
      <c r="C26" s="180" t="s">
        <v>346</v>
      </c>
      <c r="D26" s="180" t="s">
        <v>235</v>
      </c>
      <c r="E26" s="127" t="s">
        <v>347</v>
      </c>
      <c r="F26" s="127" t="s">
        <v>119</v>
      </c>
      <c r="G26" s="127" t="s">
        <v>944</v>
      </c>
      <c r="H26" s="127" t="s">
        <v>115</v>
      </c>
      <c r="I26" s="127" t="s">
        <v>117</v>
      </c>
      <c r="J26" s="2"/>
    </row>
    <row r="27" spans="1:13">
      <c r="A27" s="126"/>
      <c r="B27" s="126"/>
      <c r="C27" s="126"/>
      <c r="D27" s="2"/>
      <c r="E27" s="87"/>
      <c r="F27" s="127" t="s">
        <v>116</v>
      </c>
      <c r="G27" s="127" t="s">
        <v>116</v>
      </c>
      <c r="H27" s="127" t="s">
        <v>116</v>
      </c>
      <c r="I27" s="127" t="s">
        <v>116</v>
      </c>
      <c r="J27" s="127" t="s">
        <v>735</v>
      </c>
    </row>
    <row r="28" spans="1:13">
      <c r="A28" s="126"/>
      <c r="B28" s="126"/>
      <c r="C28" s="126"/>
      <c r="D28" s="1184"/>
      <c r="E28" s="1184"/>
      <c r="F28" s="2"/>
      <c r="G28" s="2"/>
      <c r="H28" s="2"/>
      <c r="I28" s="2"/>
      <c r="J28" s="2"/>
    </row>
    <row r="29" spans="1:13">
      <c r="A29" s="1579" t="s">
        <v>1270</v>
      </c>
      <c r="B29" s="1574"/>
      <c r="C29" s="1575">
        <v>96005049</v>
      </c>
      <c r="D29" s="1575">
        <v>64965749.052605137</v>
      </c>
      <c r="E29" s="1575">
        <f t="shared" ref="E29:E34" si="0">AVERAGE(C29,D29)</f>
        <v>80485399.026302576</v>
      </c>
      <c r="F29" s="1575">
        <v>80485399.026302576</v>
      </c>
      <c r="G29" s="1575"/>
      <c r="H29" s="1575"/>
      <c r="I29" s="1575"/>
      <c r="J29" s="1576" t="s">
        <v>462</v>
      </c>
      <c r="K29" s="97"/>
    </row>
    <row r="30" spans="1:13">
      <c r="A30" s="1579" t="s">
        <v>89</v>
      </c>
      <c r="B30" s="1578"/>
      <c r="C30" s="1575">
        <v>33166144</v>
      </c>
      <c r="D30" s="1575">
        <v>16718700.825923003</v>
      </c>
      <c r="E30" s="1575">
        <f t="shared" si="0"/>
        <v>24942422.412961502</v>
      </c>
      <c r="F30" s="1575"/>
      <c r="G30" s="1575"/>
      <c r="H30" s="1575"/>
      <c r="I30" s="1575">
        <v>24942422.412961502</v>
      </c>
      <c r="J30" s="1576" t="s">
        <v>112</v>
      </c>
      <c r="K30" s="97"/>
    </row>
    <row r="31" spans="1:13">
      <c r="A31" s="1579" t="s">
        <v>90</v>
      </c>
      <c r="B31" s="1578"/>
      <c r="C31" s="1575">
        <v>0</v>
      </c>
      <c r="D31" s="1575">
        <v>0</v>
      </c>
      <c r="E31" s="1575">
        <f t="shared" si="0"/>
        <v>0</v>
      </c>
      <c r="F31" s="1575"/>
      <c r="G31" s="1575"/>
      <c r="H31" s="1575"/>
      <c r="I31" s="1575"/>
      <c r="J31" s="1576" t="s">
        <v>615</v>
      </c>
      <c r="K31" s="97"/>
    </row>
    <row r="32" spans="1:13">
      <c r="A32" s="1579" t="s">
        <v>91</v>
      </c>
      <c r="B32" s="1574"/>
      <c r="C32" s="1575">
        <v>0</v>
      </c>
      <c r="D32" s="1575">
        <v>0</v>
      </c>
      <c r="E32" s="1575">
        <f t="shared" si="0"/>
        <v>0</v>
      </c>
      <c r="F32" s="1575"/>
      <c r="G32" s="1575"/>
      <c r="H32" s="1575"/>
      <c r="I32" s="1575"/>
      <c r="J32" s="1576" t="s">
        <v>615</v>
      </c>
      <c r="K32" s="97"/>
    </row>
    <row r="33" spans="1:11">
      <c r="A33" s="1579" t="s">
        <v>92</v>
      </c>
      <c r="B33" s="1574"/>
      <c r="C33" s="1575">
        <v>63694514</v>
      </c>
      <c r="D33" s="1575">
        <v>62216361.838119999</v>
      </c>
      <c r="E33" s="1575">
        <f t="shared" si="0"/>
        <v>62955437.919059999</v>
      </c>
      <c r="F33" s="1575">
        <v>62955437.919059999</v>
      </c>
      <c r="G33" s="1575"/>
      <c r="H33" s="1575"/>
      <c r="I33" s="1575"/>
      <c r="J33" s="1576" t="s">
        <v>728</v>
      </c>
      <c r="K33" s="97"/>
    </row>
    <row r="34" spans="1:11">
      <c r="A34" s="1579" t="s">
        <v>726</v>
      </c>
      <c r="B34" s="1580"/>
      <c r="C34" s="1575">
        <v>0</v>
      </c>
      <c r="D34" s="1575">
        <v>0</v>
      </c>
      <c r="E34" s="1575">
        <f t="shared" si="0"/>
        <v>0</v>
      </c>
      <c r="F34" s="1575"/>
      <c r="G34" s="1575"/>
      <c r="H34" s="1582"/>
      <c r="I34" s="1575"/>
      <c r="J34" s="1576" t="s">
        <v>1303</v>
      </c>
      <c r="K34" s="1729"/>
    </row>
    <row r="35" spans="1:11">
      <c r="A35" s="1579" t="s">
        <v>1332</v>
      </c>
      <c r="B35" s="1574"/>
      <c r="C35" s="1575">
        <v>64531287</v>
      </c>
      <c r="D35" s="1575">
        <v>64105698.159999996</v>
      </c>
      <c r="E35" s="1575">
        <f>AVERAGE(C35,D35)</f>
        <v>64318492.579999998</v>
      </c>
      <c r="F35" s="1575">
        <v>64318492.579999998</v>
      </c>
      <c r="G35" s="1575"/>
      <c r="H35" s="1575"/>
      <c r="I35" s="1575"/>
      <c r="J35" s="1576" t="s">
        <v>1335</v>
      </c>
      <c r="K35" s="1729"/>
    </row>
    <row r="36" spans="1:11">
      <c r="A36" s="1579" t="s">
        <v>1333</v>
      </c>
      <c r="B36" s="1574"/>
      <c r="C36" s="1575">
        <v>35239080</v>
      </c>
      <c r="D36" s="1575">
        <v>36712632.184271999</v>
      </c>
      <c r="E36" s="1575">
        <f>AVERAGE(C36,D36)</f>
        <v>35975856.092135996</v>
      </c>
      <c r="F36" s="1575">
        <v>9376685.5921359956</v>
      </c>
      <c r="G36" s="1575"/>
      <c r="H36" s="1575">
        <v>26599170.5</v>
      </c>
      <c r="I36" s="1575"/>
      <c r="J36" s="1576" t="s">
        <v>126</v>
      </c>
      <c r="K36" s="97"/>
    </row>
    <row r="37" spans="1:11">
      <c r="A37" s="1579" t="s">
        <v>88</v>
      </c>
      <c r="B37" s="1574"/>
      <c r="C37" s="1575">
        <v>126759287</v>
      </c>
      <c r="D37" s="1575">
        <v>82461422.617379785</v>
      </c>
      <c r="E37" s="1575">
        <f>AVERAGE(C37,D37)</f>
        <v>104610354.80868989</v>
      </c>
      <c r="F37" s="1575">
        <v>104610354.80868989</v>
      </c>
      <c r="G37" s="1575"/>
      <c r="H37" s="1575"/>
      <c r="I37" s="1575"/>
      <c r="J37" s="1576" t="s">
        <v>1336</v>
      </c>
      <c r="K37" s="97"/>
    </row>
    <row r="38" spans="1:11">
      <c r="A38" s="1579" t="s">
        <v>1334</v>
      </c>
      <c r="B38" s="1574"/>
      <c r="C38" s="1575">
        <v>10621083</v>
      </c>
      <c r="D38" s="1575">
        <v>37838475.659999996</v>
      </c>
      <c r="E38" s="1575">
        <f>AVERAGE(C38,D38)</f>
        <v>24229779.329999998</v>
      </c>
      <c r="F38" s="1575">
        <f>E38</f>
        <v>24229779.329999998</v>
      </c>
      <c r="G38" s="1575"/>
      <c r="H38" s="1575"/>
      <c r="I38" s="1575"/>
      <c r="J38" s="1576" t="s">
        <v>1334</v>
      </c>
      <c r="K38" s="97"/>
    </row>
    <row r="39" spans="1:11">
      <c r="A39" s="1579"/>
      <c r="B39" s="1574"/>
      <c r="C39" s="1575"/>
      <c r="D39" s="1583"/>
      <c r="E39" s="1582"/>
      <c r="F39" s="1582"/>
      <c r="G39" s="1582"/>
      <c r="H39" s="1582"/>
      <c r="I39" s="1582"/>
      <c r="J39" s="1576"/>
      <c r="K39" s="97"/>
    </row>
    <row r="40" spans="1:11">
      <c r="A40" s="1579"/>
      <c r="B40" s="1574"/>
      <c r="C40" s="1575"/>
      <c r="D40" s="1584"/>
      <c r="E40" s="1575"/>
      <c r="F40" s="1575"/>
      <c r="G40" s="1575"/>
      <c r="H40" s="1575"/>
      <c r="I40" s="1575"/>
      <c r="J40" s="1576"/>
      <c r="K40" s="97"/>
    </row>
    <row r="41" spans="1:11">
      <c r="A41" s="1579"/>
      <c r="B41" s="1574"/>
      <c r="C41" s="1575"/>
      <c r="D41" s="1584"/>
      <c r="E41" s="1575"/>
      <c r="F41" s="1575"/>
      <c r="G41" s="1575"/>
      <c r="H41" s="1575"/>
      <c r="I41" s="1575"/>
      <c r="J41" s="1576"/>
      <c r="K41" s="97"/>
    </row>
    <row r="42" spans="1:11">
      <c r="A42" s="1579"/>
      <c r="B42" s="1574"/>
      <c r="C42" s="1575"/>
      <c r="D42" s="1584"/>
      <c r="E42" s="1582"/>
      <c r="F42" s="1582"/>
      <c r="G42" s="1582"/>
      <c r="H42" s="1582"/>
      <c r="I42" s="1582"/>
      <c r="J42" s="1576"/>
      <c r="K42" s="97"/>
    </row>
    <row r="43" spans="1:11">
      <c r="A43" s="1585" t="s">
        <v>124</v>
      </c>
      <c r="B43" s="1476"/>
      <c r="C43" s="1476"/>
      <c r="D43" s="1477"/>
      <c r="E43" s="1478">
        <f>SUM(E29:E42)</f>
        <v>397517742.16914999</v>
      </c>
      <c r="F43" s="1478">
        <f>SUM(F29:F42)</f>
        <v>345976149.25618845</v>
      </c>
      <c r="G43" s="130">
        <f>SUM(G29:G42)</f>
        <v>0</v>
      </c>
      <c r="H43" s="130">
        <f>SUM(H29:H42)</f>
        <v>26599170.5</v>
      </c>
      <c r="I43" s="130">
        <f>SUM(I29:I42)</f>
        <v>24942422.412961502</v>
      </c>
      <c r="J43" s="160"/>
      <c r="K43" s="97"/>
    </row>
    <row r="44" spans="1:11">
      <c r="A44" s="1586" t="s">
        <v>671</v>
      </c>
      <c r="B44" s="1479"/>
      <c r="C44" s="1479"/>
      <c r="D44" s="1480"/>
      <c r="E44" s="1478">
        <v>0</v>
      </c>
      <c r="F44" s="1478">
        <v>0</v>
      </c>
      <c r="G44" s="130">
        <v>0</v>
      </c>
      <c r="H44" s="1186">
        <v>0</v>
      </c>
      <c r="I44" s="130">
        <f>E44</f>
        <v>0</v>
      </c>
      <c r="J44" s="162"/>
      <c r="K44" s="97"/>
    </row>
    <row r="45" spans="1:11">
      <c r="A45" s="1587" t="s">
        <v>672</v>
      </c>
      <c r="B45" s="1481"/>
      <c r="C45" s="1481"/>
      <c r="D45" s="1482"/>
      <c r="E45" s="1478">
        <v>-685899.69</v>
      </c>
      <c r="F45" s="1478">
        <v>0</v>
      </c>
      <c r="G45" s="130">
        <v>0</v>
      </c>
      <c r="H45" s="130">
        <v>0</v>
      </c>
      <c r="I45" s="130">
        <f>E45</f>
        <v>-685899.69</v>
      </c>
      <c r="J45" s="162"/>
      <c r="K45" s="97"/>
    </row>
    <row r="46" spans="1:11">
      <c r="A46" s="1585" t="s">
        <v>851</v>
      </c>
      <c r="B46" s="1476"/>
      <c r="C46" s="1526">
        <f>SUM(C29:C45)</f>
        <v>430016444</v>
      </c>
      <c r="D46" s="1526">
        <f>SUM(D29:D45)</f>
        <v>365019040.33829987</v>
      </c>
      <c r="E46" s="1478">
        <f>+E43-E44-E45</f>
        <v>398203641.85914999</v>
      </c>
      <c r="F46" s="1478">
        <f>+F43-F44-F45</f>
        <v>345976149.25618845</v>
      </c>
      <c r="G46" s="130">
        <f>+G43-G44-G45</f>
        <v>0</v>
      </c>
      <c r="H46" s="130">
        <f>+H43-H44-H45</f>
        <v>26599170.5</v>
      </c>
      <c r="I46" s="130">
        <f>+I43-I44-I45</f>
        <v>25628322.102961503</v>
      </c>
      <c r="J46" s="160"/>
      <c r="K46" s="97"/>
    </row>
    <row r="47" spans="1:11">
      <c r="A47" s="1588"/>
      <c r="B47" s="1483"/>
      <c r="C47" s="1483"/>
      <c r="D47" s="1484"/>
      <c r="E47" s="1485"/>
      <c r="F47" s="1486"/>
      <c r="G47" s="104"/>
      <c r="H47" s="148"/>
      <c r="I47" s="103"/>
      <c r="J47" s="138"/>
      <c r="K47" s="97"/>
    </row>
    <row r="48" spans="1:11">
      <c r="A48" s="1589" t="s">
        <v>121</v>
      </c>
      <c r="B48" s="1590"/>
      <c r="C48" s="1591"/>
      <c r="D48" s="1592"/>
      <c r="E48" s="1593"/>
      <c r="F48" s="1594"/>
      <c r="G48" s="97"/>
      <c r="H48" s="97"/>
      <c r="I48" s="138"/>
      <c r="J48" s="97"/>
    </row>
    <row r="49" spans="1:11" ht="25.5" customHeight="1">
      <c r="A49" s="1970" t="s">
        <v>573</v>
      </c>
      <c r="B49" s="1971"/>
      <c r="C49" s="1971"/>
      <c r="D49" s="1971"/>
      <c r="E49" s="1971"/>
      <c r="F49" s="1972"/>
      <c r="G49" s="97"/>
      <c r="H49" s="97"/>
      <c r="I49" s="169"/>
      <c r="J49" s="97"/>
    </row>
    <row r="50" spans="1:11">
      <c r="A50" s="1595" t="s">
        <v>574</v>
      </c>
      <c r="B50" s="1596"/>
      <c r="C50" s="1597"/>
      <c r="D50" s="1597"/>
      <c r="E50" s="1598"/>
      <c r="F50" s="1599"/>
      <c r="G50" s="97"/>
      <c r="H50" s="97"/>
      <c r="I50" s="138"/>
      <c r="J50" s="97"/>
    </row>
    <row r="51" spans="1:11">
      <c r="A51" s="1595" t="s">
        <v>921</v>
      </c>
      <c r="B51" s="1596"/>
      <c r="C51" s="1597"/>
      <c r="D51" s="1597"/>
      <c r="E51" s="1598"/>
      <c r="F51" s="1599"/>
      <c r="G51" s="97"/>
      <c r="H51" s="97"/>
      <c r="I51" s="169"/>
      <c r="J51" s="97"/>
    </row>
    <row r="52" spans="1:11">
      <c r="A52" s="1595" t="s">
        <v>922</v>
      </c>
      <c r="B52" s="1596"/>
      <c r="C52" s="1597"/>
      <c r="D52" s="1597"/>
      <c r="E52" s="1598"/>
      <c r="F52" s="1599"/>
      <c r="G52" s="97"/>
      <c r="H52" s="97"/>
      <c r="I52" s="138"/>
      <c r="J52" s="97"/>
    </row>
    <row r="53" spans="1:11" ht="42" customHeight="1">
      <c r="A53" s="1973" t="s">
        <v>581</v>
      </c>
      <c r="B53" s="1974"/>
      <c r="C53" s="1974"/>
      <c r="D53" s="1974"/>
      <c r="E53" s="1974"/>
      <c r="F53" s="1975"/>
      <c r="G53" s="97"/>
      <c r="H53" s="97"/>
      <c r="I53" s="97"/>
      <c r="J53" s="142"/>
    </row>
    <row r="54" spans="1:11">
      <c r="A54" s="1600" t="s">
        <v>714</v>
      </c>
      <c r="B54" s="1601"/>
      <c r="C54" s="1601"/>
      <c r="D54" s="1601"/>
      <c r="E54" s="1601"/>
      <c r="F54" s="1602"/>
      <c r="G54" s="97"/>
      <c r="H54" s="97"/>
      <c r="I54" s="138"/>
      <c r="J54" s="97"/>
    </row>
    <row r="55" spans="1:11">
      <c r="A55" s="136"/>
      <c r="B55" s="136"/>
      <c r="C55" s="97"/>
      <c r="D55" s="104"/>
      <c r="E55" s="104"/>
      <c r="F55" s="103"/>
      <c r="G55" s="103"/>
      <c r="H55" s="97"/>
      <c r="J55" s="138"/>
      <c r="K55" s="97"/>
    </row>
    <row r="56" spans="1:11" ht="15">
      <c r="A56" s="136"/>
      <c r="B56" s="136"/>
      <c r="C56" s="136"/>
      <c r="D56" s="134"/>
      <c r="E56" s="134"/>
      <c r="F56" s="134"/>
      <c r="G56" s="134"/>
      <c r="H56" s="134"/>
      <c r="I56" s="134"/>
      <c r="J56" s="138"/>
      <c r="K56" s="97"/>
    </row>
    <row r="57" spans="1:11">
      <c r="A57" s="132"/>
      <c r="B57" s="132"/>
      <c r="C57" s="132"/>
      <c r="D57" s="133"/>
      <c r="E57" s="97"/>
      <c r="F57" s="97"/>
      <c r="G57" s="97"/>
      <c r="H57" s="97"/>
      <c r="I57" s="97"/>
      <c r="J57" s="104"/>
      <c r="K57" s="97"/>
    </row>
    <row r="58" spans="1:11" ht="15.75">
      <c r="A58" s="387" t="s">
        <v>664</v>
      </c>
      <c r="B58" s="186"/>
      <c r="C58" s="186"/>
      <c r="D58" s="135"/>
      <c r="E58" s="135"/>
      <c r="F58" s="135"/>
      <c r="G58" s="135"/>
      <c r="H58" s="135"/>
      <c r="I58" s="135"/>
      <c r="J58" s="135"/>
      <c r="K58" s="97"/>
    </row>
    <row r="59" spans="1:11" ht="15">
      <c r="A59" s="134"/>
      <c r="B59" s="134"/>
      <c r="C59" s="134"/>
      <c r="D59" s="135"/>
      <c r="E59" s="135"/>
      <c r="F59" s="135"/>
      <c r="G59" s="135"/>
      <c r="H59" s="135"/>
      <c r="I59" s="135"/>
      <c r="J59" s="135"/>
      <c r="K59" s="97"/>
    </row>
    <row r="60" spans="1:11">
      <c r="A60" s="157" t="s">
        <v>762</v>
      </c>
      <c r="B60" s="136"/>
      <c r="C60" s="136"/>
      <c r="E60" s="157" t="s">
        <v>852</v>
      </c>
      <c r="F60" s="157" t="s">
        <v>743</v>
      </c>
      <c r="G60" s="157" t="s">
        <v>763</v>
      </c>
      <c r="H60" s="157" t="s">
        <v>761</v>
      </c>
      <c r="I60" s="157" t="s">
        <v>175</v>
      </c>
      <c r="J60" s="157" t="s">
        <v>764</v>
      </c>
      <c r="K60" s="97"/>
    </row>
    <row r="61" spans="1:11">
      <c r="A61" s="2"/>
      <c r="B61" s="1189"/>
      <c r="C61" s="835" t="s">
        <v>851</v>
      </c>
      <c r="D61" s="180" t="s">
        <v>851</v>
      </c>
      <c r="E61" s="127" t="s">
        <v>851</v>
      </c>
      <c r="F61" s="127" t="s">
        <v>118</v>
      </c>
      <c r="G61" s="127" t="s">
        <v>120</v>
      </c>
      <c r="H61" s="87"/>
      <c r="I61" s="87"/>
      <c r="J61" s="2"/>
      <c r="K61" s="97"/>
    </row>
    <row r="62" spans="1:11">
      <c r="A62" s="632" t="s">
        <v>946</v>
      </c>
      <c r="B62" s="1190"/>
      <c r="C62" s="180" t="s">
        <v>346</v>
      </c>
      <c r="D62" s="180" t="s">
        <v>235</v>
      </c>
      <c r="E62" s="127" t="s">
        <v>347</v>
      </c>
      <c r="F62" s="127" t="s">
        <v>119</v>
      </c>
      <c r="G62" s="127" t="s">
        <v>944</v>
      </c>
      <c r="H62" s="127" t="s">
        <v>115</v>
      </c>
      <c r="I62" s="127" t="s">
        <v>117</v>
      </c>
      <c r="J62" s="1191"/>
      <c r="K62" s="97"/>
    </row>
    <row r="63" spans="1:11">
      <c r="A63" s="1190"/>
      <c r="B63" s="1190"/>
      <c r="C63" s="1190"/>
      <c r="D63" s="1192"/>
      <c r="E63" s="127"/>
      <c r="F63" s="127" t="s">
        <v>116</v>
      </c>
      <c r="G63" s="127" t="s">
        <v>116</v>
      </c>
      <c r="H63" s="127" t="s">
        <v>116</v>
      </c>
      <c r="I63" s="127" t="s">
        <v>116</v>
      </c>
      <c r="J63" s="127" t="s">
        <v>735</v>
      </c>
      <c r="K63" s="97"/>
    </row>
    <row r="64" spans="1:11">
      <c r="A64" s="1603" t="s">
        <v>950</v>
      </c>
      <c r="B64" s="1604"/>
      <c r="C64" s="1575">
        <v>-599370776</v>
      </c>
      <c r="D64" s="1575">
        <v>-592857535.70560002</v>
      </c>
      <c r="E64" s="1575">
        <f>AVERAGE(C64,D64)</f>
        <v>-596114155.85280001</v>
      </c>
      <c r="F64" s="1575">
        <v>-596114155.85280001</v>
      </c>
      <c r="G64" s="1575"/>
      <c r="H64" s="1575"/>
      <c r="I64" s="1575"/>
      <c r="J64" s="1581" t="s">
        <v>111</v>
      </c>
      <c r="K64" s="97"/>
    </row>
    <row r="65" spans="1:15">
      <c r="A65" s="1603" t="s">
        <v>951</v>
      </c>
      <c r="B65" s="1604"/>
      <c r="C65" s="1575">
        <v>-1255961008</v>
      </c>
      <c r="D65" s="1575">
        <v>-1206105806.2944</v>
      </c>
      <c r="E65" s="1575">
        <f>AVERAGE(C65,D65)</f>
        <v>-1231033407.1472001</v>
      </c>
      <c r="F65" s="1575">
        <v>0</v>
      </c>
      <c r="G65" s="1575"/>
      <c r="H65" s="1575">
        <v>-1231033407.1472001</v>
      </c>
      <c r="I65" s="1575"/>
      <c r="J65" s="1581" t="s">
        <v>461</v>
      </c>
      <c r="K65" s="97"/>
    </row>
    <row r="66" spans="1:15">
      <c r="A66" s="1603" t="s">
        <v>1337</v>
      </c>
      <c r="B66" s="1604"/>
      <c r="C66" s="1942">
        <v>2687891</v>
      </c>
      <c r="D66" s="1942">
        <v>2487178</v>
      </c>
      <c r="E66" s="1575">
        <f>AVERAGE(C66,D66)</f>
        <v>2587534.5</v>
      </c>
      <c r="F66" s="1575">
        <v>2587534.5</v>
      </c>
      <c r="G66" s="1575"/>
      <c r="H66" s="1575"/>
      <c r="I66" s="1575"/>
      <c r="J66" s="1581" t="s">
        <v>1338</v>
      </c>
      <c r="K66" s="97"/>
    </row>
    <row r="67" spans="1:15">
      <c r="A67" s="1488"/>
      <c r="B67" s="1489"/>
      <c r="C67" s="1489"/>
      <c r="D67" s="161"/>
      <c r="E67" s="130"/>
      <c r="F67" s="130"/>
      <c r="G67" s="130"/>
      <c r="H67" s="130"/>
      <c r="I67" s="130"/>
      <c r="J67" s="160"/>
      <c r="K67" s="97"/>
      <c r="O67" s="1527"/>
    </row>
    <row r="68" spans="1:15">
      <c r="A68" s="1605" t="s">
        <v>715</v>
      </c>
      <c r="B68" s="1490"/>
      <c r="C68" s="1490"/>
      <c r="D68" s="161"/>
      <c r="E68" s="1478">
        <f>SUM(E64:E67)</f>
        <v>-1824560028.5</v>
      </c>
      <c r="F68" s="1478">
        <f>SUM(F64:F67)</f>
        <v>-593526621.35280001</v>
      </c>
      <c r="G68" s="130">
        <f>SUM(G64:G67)</f>
        <v>0</v>
      </c>
      <c r="H68" s="130">
        <f>SUM(H64:H67)</f>
        <v>-1231033407.1472001</v>
      </c>
      <c r="I68" s="130">
        <f>SUM(I64:I67)</f>
        <v>0</v>
      </c>
      <c r="J68" s="160"/>
      <c r="K68" s="97"/>
    </row>
    <row r="69" spans="1:15">
      <c r="A69" s="1606" t="s">
        <v>671</v>
      </c>
      <c r="B69" s="1491"/>
      <c r="C69" s="1889">
        <v>675615181</v>
      </c>
      <c r="D69" s="1889">
        <v>647817341.05170012</v>
      </c>
      <c r="E69" s="130">
        <f>AVERAGE(C69,D69)</f>
        <v>661716261.02585006</v>
      </c>
      <c r="F69" s="1478">
        <f>E69</f>
        <v>661716261.02585006</v>
      </c>
      <c r="G69" s="130"/>
      <c r="H69" s="130">
        <v>0</v>
      </c>
      <c r="I69" s="130"/>
      <c r="J69" s="162"/>
      <c r="K69" s="97"/>
      <c r="O69" s="1528"/>
    </row>
    <row r="70" spans="1:15">
      <c r="A70" s="1607" t="s">
        <v>672</v>
      </c>
      <c r="B70" s="1492"/>
      <c r="C70" s="1821"/>
      <c r="D70" s="1821"/>
      <c r="E70" s="1478">
        <f>SUM(F70:I70)</f>
        <v>0</v>
      </c>
      <c r="F70" s="1478"/>
      <c r="G70" s="130"/>
      <c r="H70" s="130"/>
      <c r="I70" s="130"/>
      <c r="J70" s="162"/>
      <c r="K70" s="97"/>
    </row>
    <row r="71" spans="1:15">
      <c r="A71" s="1608" t="s">
        <v>851</v>
      </c>
      <c r="B71" s="1334"/>
      <c r="C71" s="1822">
        <f>SUM(C64:C70)</f>
        <v>-1177028712</v>
      </c>
      <c r="D71" s="1822">
        <f>SUM(D64:D70)</f>
        <v>-1148658822.9482999</v>
      </c>
      <c r="E71" s="1478">
        <f>+E68-E69-E70</f>
        <v>-2486276289.5258503</v>
      </c>
      <c r="F71" s="1478">
        <f>+F68-F69-F70</f>
        <v>-1255242882.3786502</v>
      </c>
      <c r="G71" s="130">
        <f>+G68-G69-G70</f>
        <v>0</v>
      </c>
      <c r="H71" s="130">
        <f>+H68-H69-H70</f>
        <v>-1231033407.1472001</v>
      </c>
      <c r="I71" s="130">
        <f>+I68-I69-I70</f>
        <v>0</v>
      </c>
      <c r="J71" s="160"/>
      <c r="K71" s="97"/>
    </row>
    <row r="72" spans="1:15">
      <c r="A72" s="1190"/>
      <c r="B72" s="1190"/>
      <c r="C72" s="1190"/>
      <c r="D72" s="1493"/>
      <c r="E72" s="1487"/>
      <c r="F72" s="1487"/>
      <c r="G72" s="146"/>
      <c r="H72" s="103"/>
      <c r="I72" s="103"/>
      <c r="J72" s="138"/>
      <c r="K72" s="97"/>
    </row>
    <row r="73" spans="1:15">
      <c r="A73" s="1589" t="s">
        <v>123</v>
      </c>
      <c r="B73" s="1591"/>
      <c r="C73" s="1591"/>
      <c r="D73" s="1591"/>
      <c r="E73" s="1609"/>
      <c r="F73" s="1594"/>
      <c r="G73" s="138"/>
      <c r="H73" s="104"/>
      <c r="I73" s="2"/>
      <c r="J73" s="2"/>
    </row>
    <row r="74" spans="1:15">
      <c r="A74" s="1970" t="s">
        <v>573</v>
      </c>
      <c r="B74" s="1971"/>
      <c r="C74" s="1971"/>
      <c r="D74" s="1971"/>
      <c r="E74" s="1971"/>
      <c r="F74" s="1972"/>
      <c r="G74" s="138"/>
      <c r="H74" s="1809"/>
      <c r="I74" s="104"/>
      <c r="J74" s="2"/>
    </row>
    <row r="75" spans="1:15">
      <c r="A75" s="1595" t="s">
        <v>574</v>
      </c>
      <c r="B75" s="1597"/>
      <c r="C75" s="1597"/>
      <c r="D75" s="1597"/>
      <c r="E75" s="1598"/>
      <c r="F75" s="1599"/>
      <c r="G75" s="138"/>
      <c r="H75" s="1809"/>
      <c r="I75" s="104"/>
      <c r="J75" s="2"/>
      <c r="O75" s="1528"/>
    </row>
    <row r="76" spans="1:15">
      <c r="A76" s="1595" t="s">
        <v>921</v>
      </c>
      <c r="B76" s="1597"/>
      <c r="C76" s="1597"/>
      <c r="D76" s="1597"/>
      <c r="E76" s="1598"/>
      <c r="F76" s="1599"/>
      <c r="G76" s="138"/>
      <c r="H76" s="1809"/>
      <c r="I76" s="104"/>
      <c r="J76" s="2"/>
    </row>
    <row r="77" spans="1:15">
      <c r="A77" s="1595" t="s">
        <v>922</v>
      </c>
      <c r="B77" s="1597"/>
      <c r="C77" s="1597"/>
      <c r="D77" s="1597"/>
      <c r="E77" s="1598"/>
      <c r="F77" s="1599"/>
      <c r="G77" s="138"/>
      <c r="H77" s="104"/>
      <c r="I77" s="2"/>
      <c r="J77" s="2"/>
    </row>
    <row r="78" spans="1:15" ht="39" customHeight="1">
      <c r="A78" s="1970" t="s">
        <v>581</v>
      </c>
      <c r="B78" s="1971"/>
      <c r="C78" s="1971"/>
      <c r="D78" s="1971"/>
      <c r="E78" s="1971"/>
      <c r="F78" s="1972"/>
      <c r="G78" s="104"/>
      <c r="H78" s="142"/>
      <c r="I78" s="2"/>
      <c r="J78" s="2"/>
    </row>
    <row r="79" spans="1:15">
      <c r="A79" s="1600" t="s">
        <v>714</v>
      </c>
      <c r="B79" s="1610"/>
      <c r="C79" s="1610"/>
      <c r="D79" s="1610"/>
      <c r="E79" s="1611"/>
      <c r="F79" s="1612"/>
      <c r="G79" s="138"/>
      <c r="H79" s="104"/>
      <c r="I79" s="2"/>
      <c r="J79" s="2"/>
    </row>
    <row r="80" spans="1:15">
      <c r="A80" s="1189"/>
      <c r="B80" s="1189"/>
      <c r="C80" s="1189"/>
      <c r="D80" s="143"/>
      <c r="E80" s="104"/>
      <c r="F80" s="104"/>
      <c r="G80" s="104"/>
      <c r="H80" s="103"/>
      <c r="I80" s="103"/>
      <c r="J80" s="138"/>
      <c r="K80" s="97"/>
    </row>
    <row r="81" spans="1:11" ht="18">
      <c r="A81" s="1193"/>
      <c r="B81" s="1193"/>
      <c r="C81" s="1193"/>
      <c r="D81" s="1194"/>
      <c r="E81" s="1194"/>
      <c r="F81" s="1194"/>
      <c r="G81" s="1194"/>
      <c r="H81" s="1194"/>
      <c r="I81" s="1194"/>
      <c r="J81" s="1195"/>
      <c r="K81" s="97"/>
    </row>
    <row r="82" spans="1:11" ht="18">
      <c r="A82" s="1196"/>
      <c r="B82" s="1196"/>
      <c r="C82" s="1196"/>
      <c r="D82" s="1197"/>
      <c r="E82" s="165"/>
      <c r="F82" s="165"/>
      <c r="G82" s="165"/>
      <c r="H82" s="165"/>
      <c r="I82" s="165"/>
      <c r="J82" s="165"/>
      <c r="K82" s="97"/>
    </row>
    <row r="83" spans="1:11" ht="15.75">
      <c r="A83" s="1427" t="s">
        <v>664</v>
      </c>
      <c r="B83" s="1198"/>
      <c r="C83" s="1198"/>
      <c r="D83" s="1195"/>
      <c r="E83" s="1195"/>
      <c r="F83" s="1195"/>
      <c r="G83" s="1195"/>
      <c r="H83" s="1195"/>
      <c r="I83" s="1195"/>
      <c r="J83" s="1195"/>
      <c r="K83" s="97"/>
    </row>
    <row r="84" spans="1:11">
      <c r="A84" s="1189"/>
      <c r="B84" s="1189"/>
      <c r="C84" s="1189"/>
      <c r="D84" s="104"/>
      <c r="E84" s="104"/>
      <c r="F84" s="104"/>
      <c r="G84" s="104"/>
      <c r="H84" s="104"/>
      <c r="I84" s="1199"/>
      <c r="J84" s="138"/>
      <c r="K84" s="97"/>
    </row>
    <row r="85" spans="1:11">
      <c r="A85" s="127" t="s">
        <v>762</v>
      </c>
      <c r="B85" s="1189"/>
      <c r="C85" s="1189"/>
      <c r="D85" s="2"/>
      <c r="E85" s="127" t="s">
        <v>852</v>
      </c>
      <c r="F85" s="127" t="s">
        <v>743</v>
      </c>
      <c r="G85" s="127" t="s">
        <v>763</v>
      </c>
      <c r="H85" s="127" t="s">
        <v>761</v>
      </c>
      <c r="I85" s="127" t="s">
        <v>175</v>
      </c>
      <c r="J85" s="127" t="s">
        <v>764</v>
      </c>
      <c r="K85" s="97"/>
    </row>
    <row r="86" spans="1:11">
      <c r="A86" s="185"/>
      <c r="B86" s="1200"/>
      <c r="C86" s="835" t="s">
        <v>851</v>
      </c>
      <c r="D86" s="180" t="s">
        <v>851</v>
      </c>
      <c r="E86" s="127" t="s">
        <v>851</v>
      </c>
      <c r="F86" s="127" t="s">
        <v>118</v>
      </c>
      <c r="G86" s="127" t="s">
        <v>120</v>
      </c>
      <c r="H86" s="127"/>
      <c r="I86" s="127"/>
      <c r="J86" s="84"/>
      <c r="K86" s="97"/>
    </row>
    <row r="87" spans="1:11">
      <c r="A87" s="632" t="s">
        <v>947</v>
      </c>
      <c r="B87" s="1201"/>
      <c r="C87" s="180" t="s">
        <v>346</v>
      </c>
      <c r="D87" s="180" t="s">
        <v>235</v>
      </c>
      <c r="E87" s="127" t="s">
        <v>347</v>
      </c>
      <c r="F87" s="127" t="s">
        <v>119</v>
      </c>
      <c r="G87" s="127" t="s">
        <v>944</v>
      </c>
      <c r="H87" s="127" t="s">
        <v>115</v>
      </c>
      <c r="I87" s="127" t="s">
        <v>117</v>
      </c>
      <c r="J87" s="84"/>
      <c r="K87" s="97"/>
    </row>
    <row r="88" spans="1:11">
      <c r="A88" s="1201"/>
      <c r="B88" s="1201"/>
      <c r="C88" s="1201"/>
      <c r="D88" s="1158"/>
      <c r="E88" s="127"/>
      <c r="F88" s="127" t="s">
        <v>116</v>
      </c>
      <c r="G88" s="127" t="s">
        <v>116</v>
      </c>
      <c r="H88" s="127" t="s">
        <v>116</v>
      </c>
      <c r="I88" s="127" t="s">
        <v>116</v>
      </c>
      <c r="J88" s="127" t="s">
        <v>735</v>
      </c>
      <c r="K88" s="97"/>
    </row>
    <row r="89" spans="1:11">
      <c r="A89" s="1603" t="s">
        <v>956</v>
      </c>
      <c r="B89" s="1604"/>
      <c r="C89" s="1575">
        <v>0</v>
      </c>
      <c r="D89" s="1575">
        <v>0</v>
      </c>
      <c r="E89" s="1575">
        <f t="shared" ref="E89:E98" si="1">AVERAGE(C89,D89)</f>
        <v>0</v>
      </c>
      <c r="F89" s="1575"/>
      <c r="G89" s="1575"/>
      <c r="H89" s="1582"/>
      <c r="I89" s="1575"/>
      <c r="J89" s="1581" t="s">
        <v>462</v>
      </c>
      <c r="K89" s="97"/>
    </row>
    <row r="90" spans="1:11">
      <c r="A90" s="1603" t="s">
        <v>952</v>
      </c>
      <c r="B90" s="1604"/>
      <c r="C90" s="1575">
        <v>-47127226</v>
      </c>
      <c r="D90" s="1575">
        <v>-41611990.995958999</v>
      </c>
      <c r="E90" s="1575">
        <f t="shared" si="1"/>
        <v>-44369608.497979499</v>
      </c>
      <c r="F90" s="1575"/>
      <c r="G90" s="1575"/>
      <c r="H90" s="1613"/>
      <c r="I90" s="1575">
        <f>E90</f>
        <v>-44369608.497979499</v>
      </c>
      <c r="J90" s="1581" t="s">
        <v>112</v>
      </c>
      <c r="K90" s="97"/>
    </row>
    <row r="91" spans="1:11">
      <c r="A91" s="1603" t="s">
        <v>957</v>
      </c>
      <c r="B91" s="1604"/>
      <c r="C91" s="1575">
        <v>-26780077</v>
      </c>
      <c r="D91" s="1575">
        <v>-20108300.199999999</v>
      </c>
      <c r="E91" s="1575">
        <f t="shared" si="1"/>
        <v>-23444188.600000001</v>
      </c>
      <c r="F91" s="1575">
        <f>E91</f>
        <v>-23444188.600000001</v>
      </c>
      <c r="G91" s="1575"/>
      <c r="H91" s="1575"/>
      <c r="I91" s="1575"/>
      <c r="J91" s="1576" t="s">
        <v>728</v>
      </c>
      <c r="K91" s="97"/>
    </row>
    <row r="92" spans="1:11">
      <c r="A92" s="1603" t="s">
        <v>958</v>
      </c>
      <c r="B92" s="1604"/>
      <c r="C92" s="1575">
        <v>-72123585</v>
      </c>
      <c r="D92" s="1575">
        <v>-73935896.979999989</v>
      </c>
      <c r="E92" s="1575">
        <f t="shared" si="1"/>
        <v>-73029740.989999995</v>
      </c>
      <c r="F92" s="1575">
        <f>E92</f>
        <v>-73029740.989999995</v>
      </c>
      <c r="G92" s="1575"/>
      <c r="H92" s="1575"/>
      <c r="I92" s="1575"/>
      <c r="J92" s="1576" t="s">
        <v>728</v>
      </c>
      <c r="K92" s="1807"/>
    </row>
    <row r="93" spans="1:11">
      <c r="A93" s="1603" t="s">
        <v>959</v>
      </c>
      <c r="B93" s="1614"/>
      <c r="C93" s="1575">
        <v>0</v>
      </c>
      <c r="D93" s="1575">
        <v>0</v>
      </c>
      <c r="E93" s="1575">
        <f t="shared" si="1"/>
        <v>0</v>
      </c>
      <c r="F93" s="1575"/>
      <c r="G93" s="1575"/>
      <c r="H93" s="1575"/>
      <c r="I93" s="1575"/>
      <c r="J93" s="1576" t="s">
        <v>615</v>
      </c>
      <c r="K93" s="1807"/>
    </row>
    <row r="94" spans="1:11">
      <c r="A94" s="1603" t="s">
        <v>87</v>
      </c>
      <c r="B94" s="1614"/>
      <c r="C94" s="1575">
        <v>0</v>
      </c>
      <c r="D94" s="1575">
        <v>0</v>
      </c>
      <c r="E94" s="1575">
        <f t="shared" si="1"/>
        <v>0</v>
      </c>
      <c r="F94" s="1575"/>
      <c r="G94" s="1575"/>
      <c r="H94" s="1575"/>
      <c r="I94" s="1575"/>
      <c r="J94" s="1576" t="s">
        <v>728</v>
      </c>
      <c r="K94" s="1807"/>
    </row>
    <row r="95" spans="1:11">
      <c r="A95" s="1603" t="s">
        <v>1332</v>
      </c>
      <c r="B95" s="1614"/>
      <c r="C95" s="1575">
        <v>-64627705</v>
      </c>
      <c r="D95" s="1575">
        <v>-64274291.259999998</v>
      </c>
      <c r="E95" s="1575">
        <f t="shared" si="1"/>
        <v>-64450998.129999995</v>
      </c>
      <c r="F95" s="1575">
        <f>E95</f>
        <v>-64450998.129999995</v>
      </c>
      <c r="G95" s="1575"/>
      <c r="H95" s="1575"/>
      <c r="I95" s="1575"/>
      <c r="J95" s="1581" t="s">
        <v>1335</v>
      </c>
      <c r="K95" s="1830"/>
    </row>
    <row r="96" spans="1:11">
      <c r="A96" s="1603" t="s">
        <v>169</v>
      </c>
      <c r="B96" s="1614"/>
      <c r="C96" s="1575">
        <v>-4858358</v>
      </c>
      <c r="D96" s="1575">
        <v>-4834780.96</v>
      </c>
      <c r="E96" s="1575">
        <f t="shared" si="1"/>
        <v>-4846569.4800000004</v>
      </c>
      <c r="F96" s="1575"/>
      <c r="G96" s="1575"/>
      <c r="H96" s="1575">
        <f>E96</f>
        <v>-4846569.4800000004</v>
      </c>
      <c r="I96" s="1575"/>
      <c r="J96" s="1576" t="s">
        <v>461</v>
      </c>
      <c r="K96" s="1809"/>
    </row>
    <row r="97" spans="1:11">
      <c r="A97" s="1603" t="s">
        <v>88</v>
      </c>
      <c r="B97" s="1614"/>
      <c r="C97" s="1575">
        <v>-94146211</v>
      </c>
      <c r="D97" s="1575">
        <v>-64319956.414041013</v>
      </c>
      <c r="E97" s="1575">
        <f t="shared" si="1"/>
        <v>-79233083.707020506</v>
      </c>
      <c r="F97" s="1575">
        <f>E97</f>
        <v>-79233083.707020506</v>
      </c>
      <c r="G97" s="1575"/>
      <c r="H97" s="1575"/>
      <c r="I97" s="1575"/>
      <c r="J97" s="1581" t="s">
        <v>1271</v>
      </c>
      <c r="K97" s="1807"/>
    </row>
    <row r="98" spans="1:11">
      <c r="A98" s="1615" t="s">
        <v>1334</v>
      </c>
      <c r="B98" s="1616"/>
      <c r="C98" s="1575">
        <v>-84909583</v>
      </c>
      <c r="D98" s="1575">
        <v>-28042689.079999998</v>
      </c>
      <c r="E98" s="1575">
        <f t="shared" si="1"/>
        <v>-56476136.039999999</v>
      </c>
      <c r="F98" s="1575">
        <f>E98</f>
        <v>-56476136.039999999</v>
      </c>
      <c r="G98" s="1582"/>
      <c r="H98" s="1582"/>
      <c r="I98" s="1582"/>
      <c r="J98" s="1576"/>
      <c r="K98" s="97"/>
    </row>
    <row r="99" spans="1:11">
      <c r="A99" s="1603"/>
      <c r="B99" s="1614"/>
      <c r="C99" s="1614"/>
      <c r="D99" s="1617"/>
      <c r="E99" s="1575"/>
      <c r="F99" s="1575"/>
      <c r="G99" s="1575"/>
      <c r="H99" s="1582"/>
      <c r="I99" s="1575"/>
      <c r="J99" s="1581"/>
      <c r="K99" s="97"/>
    </row>
    <row r="100" spans="1:11">
      <c r="A100" s="1603"/>
      <c r="B100" s="1604"/>
      <c r="C100" s="1604"/>
      <c r="D100" s="1618"/>
      <c r="E100" s="1575"/>
      <c r="F100" s="1575"/>
      <c r="G100" s="1575"/>
      <c r="H100" s="1575"/>
      <c r="I100" s="1575"/>
      <c r="J100" s="1576"/>
      <c r="K100" s="97"/>
    </row>
    <row r="101" spans="1:11">
      <c r="A101" s="1615"/>
      <c r="B101" s="1616"/>
      <c r="C101" s="1616"/>
      <c r="D101" s="1618"/>
      <c r="E101" s="1575"/>
      <c r="F101" s="1575"/>
      <c r="G101" s="1582"/>
      <c r="H101" s="1575"/>
      <c r="I101" s="1575"/>
      <c r="J101" s="1576"/>
      <c r="K101" s="97"/>
    </row>
    <row r="102" spans="1:11">
      <c r="A102" s="1577"/>
      <c r="B102" s="1616"/>
      <c r="C102" s="1616"/>
      <c r="D102" s="1617"/>
      <c r="E102" s="1575"/>
      <c r="F102" s="1575"/>
      <c r="G102" s="1575"/>
      <c r="H102" s="1575"/>
      <c r="I102" s="1575"/>
      <c r="J102" s="1576"/>
      <c r="K102" s="97"/>
    </row>
    <row r="103" spans="1:11">
      <c r="A103" s="1577"/>
      <c r="B103" s="1578"/>
      <c r="C103" s="1578"/>
      <c r="D103" s="1617"/>
      <c r="E103" s="1575"/>
      <c r="F103" s="1575"/>
      <c r="G103" s="1575"/>
      <c r="H103" s="1575"/>
      <c r="I103" s="1575"/>
      <c r="J103" s="1576"/>
      <c r="K103" s="97"/>
    </row>
    <row r="104" spans="1:11">
      <c r="A104" s="1619"/>
      <c r="B104" s="1620"/>
      <c r="C104" s="1620"/>
      <c r="D104" s="1617"/>
      <c r="E104" s="1575"/>
      <c r="F104" s="1575"/>
      <c r="G104" s="1575"/>
      <c r="H104" s="1575"/>
      <c r="I104" s="1575"/>
      <c r="J104" s="1576"/>
      <c r="K104" s="97"/>
    </row>
    <row r="105" spans="1:11">
      <c r="A105" s="1621"/>
      <c r="B105" s="1622"/>
      <c r="C105" s="1622"/>
      <c r="D105" s="1617"/>
      <c r="E105" s="1575"/>
      <c r="F105" s="1582"/>
      <c r="G105" s="1582"/>
      <c r="H105" s="1582"/>
      <c r="I105" s="1582"/>
      <c r="J105" s="1576"/>
      <c r="K105" s="97"/>
    </row>
    <row r="106" spans="1:11">
      <c r="A106" s="1623" t="s">
        <v>716</v>
      </c>
      <c r="B106" s="1494"/>
      <c r="C106" s="1494"/>
      <c r="D106" s="161"/>
      <c r="E106" s="1478">
        <f>SUM(E89:E105)</f>
        <v>-345850325.44499999</v>
      </c>
      <c r="F106" s="1478">
        <f>SUM(F89:F105)</f>
        <v>-296634147.46702051</v>
      </c>
      <c r="G106" s="130">
        <f>SUM(G89:G105)</f>
        <v>0</v>
      </c>
      <c r="H106" s="130">
        <f>SUM(H89:H105)</f>
        <v>-4846569.4800000004</v>
      </c>
      <c r="I106" s="130">
        <f>SUM(I89:I105)</f>
        <v>-44369608.497979499</v>
      </c>
      <c r="J106" s="162"/>
      <c r="K106" s="97"/>
    </row>
    <row r="107" spans="1:11">
      <c r="A107" s="1608" t="s">
        <v>671</v>
      </c>
      <c r="B107" s="1334"/>
      <c r="C107" s="1334"/>
      <c r="D107" s="161"/>
      <c r="E107" s="1495">
        <v>0</v>
      </c>
      <c r="F107" s="1495">
        <f>+E107</f>
        <v>0</v>
      </c>
      <c r="G107" s="131">
        <v>0</v>
      </c>
      <c r="H107" s="131">
        <v>0</v>
      </c>
      <c r="I107" s="131">
        <v>0</v>
      </c>
      <c r="J107" s="162"/>
      <c r="K107" s="97"/>
    </row>
    <row r="108" spans="1:11">
      <c r="A108" s="1608" t="s">
        <v>672</v>
      </c>
      <c r="B108" s="1334"/>
      <c r="C108" s="1334"/>
      <c r="D108" s="161"/>
      <c r="E108" s="1495">
        <v>0</v>
      </c>
      <c r="F108" s="1495">
        <v>0</v>
      </c>
      <c r="G108" s="131">
        <v>0</v>
      </c>
      <c r="H108" s="131">
        <v>0</v>
      </c>
      <c r="I108" s="131">
        <f>+E108</f>
        <v>0</v>
      </c>
      <c r="J108" s="160"/>
      <c r="K108" s="97"/>
    </row>
    <row r="109" spans="1:11">
      <c r="A109" s="1624" t="s">
        <v>851</v>
      </c>
      <c r="B109" s="1496"/>
      <c r="C109" s="1823">
        <f>SUM(C89:C108)</f>
        <v>-394572745</v>
      </c>
      <c r="D109" s="1823">
        <f>SUM(D89:D108)</f>
        <v>-297127905.88999999</v>
      </c>
      <c r="E109" s="1495">
        <f>+E106-E107-E108</f>
        <v>-345850325.44499999</v>
      </c>
      <c r="F109" s="1495">
        <f>+F106-F107-F108</f>
        <v>-296634147.46702051</v>
      </c>
      <c r="G109" s="131">
        <f>+G106-G107-G108</f>
        <v>0</v>
      </c>
      <c r="H109" s="131">
        <f>+H106-H107-H108</f>
        <v>-4846569.4800000004</v>
      </c>
      <c r="I109" s="131">
        <f>+I106-I107-I108</f>
        <v>-44369608.497979499</v>
      </c>
      <c r="J109" s="160"/>
      <c r="K109" s="97"/>
    </row>
    <row r="110" spans="1:11">
      <c r="A110" s="1190"/>
      <c r="B110" s="1190"/>
      <c r="C110" s="1190"/>
      <c r="D110" s="1829"/>
      <c r="E110" s="1487"/>
      <c r="F110" s="1497"/>
      <c r="G110" s="146"/>
      <c r="H110" s="146"/>
      <c r="I110" s="146"/>
      <c r="J110" s="138"/>
      <c r="K110" s="97"/>
    </row>
    <row r="111" spans="1:11">
      <c r="A111" s="1589" t="s">
        <v>122</v>
      </c>
      <c r="B111" s="1590"/>
      <c r="C111" s="1591"/>
      <c r="D111" s="1591"/>
      <c r="E111" s="1609"/>
      <c r="F111" s="1594"/>
      <c r="G111" s="170"/>
      <c r="H111" s="323"/>
    </row>
    <row r="112" spans="1:11">
      <c r="A112" s="1970" t="s">
        <v>573</v>
      </c>
      <c r="B112" s="1971"/>
      <c r="C112" s="1971"/>
      <c r="D112" s="1971"/>
      <c r="E112" s="1971"/>
      <c r="F112" s="1972"/>
      <c r="G112" s="138"/>
      <c r="H112" s="324"/>
    </row>
    <row r="113" spans="1:11">
      <c r="A113" s="1595" t="s">
        <v>574</v>
      </c>
      <c r="B113" s="1596"/>
      <c r="C113" s="1597"/>
      <c r="D113" s="1597"/>
      <c r="E113" s="1598"/>
      <c r="F113" s="1599"/>
      <c r="G113" s="170"/>
      <c r="H113" s="97"/>
    </row>
    <row r="114" spans="1:11">
      <c r="A114" s="1595" t="s">
        <v>921</v>
      </c>
      <c r="B114" s="1596"/>
      <c r="C114" s="1597"/>
      <c r="D114" s="1597"/>
      <c r="E114" s="1598"/>
      <c r="F114" s="1599"/>
      <c r="G114" s="138"/>
      <c r="H114" s="325"/>
    </row>
    <row r="115" spans="1:11">
      <c r="A115" s="1595" t="s">
        <v>922</v>
      </c>
      <c r="B115" s="1596"/>
      <c r="C115" s="1596"/>
      <c r="D115" s="1596"/>
      <c r="E115" s="1596"/>
      <c r="F115" s="1625"/>
      <c r="G115" s="142"/>
      <c r="H115" s="97"/>
    </row>
    <row r="116" spans="1:11" ht="38.25" customHeight="1">
      <c r="A116" s="1973" t="str">
        <f>+A78</f>
        <v>5. Deferred income taxes arise when items are included in taxable income in different periods than they are included in rates, therefore if the item giving rise to the ADIT is not included in the formula, the associated ADIT amount shall be excluded</v>
      </c>
      <c r="B116" s="1974"/>
      <c r="C116" s="1974"/>
      <c r="D116" s="1974"/>
      <c r="E116" s="1974"/>
      <c r="F116" s="1975"/>
      <c r="G116" s="138"/>
      <c r="H116" s="97"/>
    </row>
    <row r="117" spans="1:11">
      <c r="A117" s="1600" t="s">
        <v>714</v>
      </c>
      <c r="B117" s="1626"/>
      <c r="C117" s="1626"/>
      <c r="D117" s="1626"/>
      <c r="E117" s="1626"/>
      <c r="F117" s="1627"/>
      <c r="G117" s="138"/>
      <c r="H117" s="97"/>
      <c r="J117" s="428"/>
    </row>
    <row r="118" spans="1:11">
      <c r="A118" s="136"/>
      <c r="B118" s="136"/>
      <c r="C118" s="136"/>
      <c r="D118" s="97"/>
      <c r="E118" s="97"/>
      <c r="F118" s="97"/>
      <c r="G118" s="97"/>
      <c r="H118" s="97"/>
      <c r="I118" s="97"/>
      <c r="J118" s="1807"/>
      <c r="K118" s="97"/>
    </row>
    <row r="119" spans="1:11" ht="18">
      <c r="A119" s="163"/>
      <c r="B119" s="163"/>
      <c r="C119" s="163"/>
      <c r="D119" s="164"/>
      <c r="E119" s="164"/>
      <c r="F119" s="164"/>
      <c r="G119" s="164"/>
      <c r="H119" s="164"/>
      <c r="I119" s="164"/>
      <c r="J119" s="1824"/>
      <c r="K119" s="97"/>
    </row>
    <row r="120" spans="1:11">
      <c r="A120" s="187" t="s">
        <v>865</v>
      </c>
      <c r="B120" s="187"/>
      <c r="C120" s="187"/>
      <c r="D120" s="135"/>
      <c r="E120" s="135"/>
      <c r="F120" s="135"/>
      <c r="G120" s="135"/>
      <c r="H120" s="135"/>
      <c r="I120" s="135"/>
      <c r="J120" s="135"/>
      <c r="K120" s="135"/>
    </row>
    <row r="121" spans="1:11">
      <c r="A121" s="97"/>
      <c r="B121" s="97"/>
      <c r="C121" s="97"/>
      <c r="D121" s="97"/>
      <c r="E121" s="97"/>
      <c r="F121" s="97"/>
      <c r="G121" s="97"/>
      <c r="H121" s="97"/>
      <c r="I121" s="97"/>
      <c r="J121" s="1807"/>
      <c r="K121" s="97"/>
    </row>
    <row r="122" spans="1:11">
      <c r="A122" s="97"/>
      <c r="B122" s="97"/>
      <c r="C122" s="97"/>
      <c r="D122" s="97"/>
      <c r="E122" s="97"/>
      <c r="F122" s="97"/>
      <c r="G122" s="97"/>
      <c r="H122" s="97"/>
      <c r="I122" s="97"/>
      <c r="J122" s="1807"/>
      <c r="K122" s="97"/>
    </row>
    <row r="123" spans="1:11">
      <c r="A123" s="97"/>
      <c r="B123" s="97"/>
      <c r="C123" s="97"/>
      <c r="D123" s="97"/>
      <c r="E123" s="97"/>
      <c r="F123" s="97"/>
      <c r="G123" s="97"/>
      <c r="H123" s="97"/>
      <c r="I123" s="97"/>
      <c r="J123" s="1807"/>
      <c r="K123" s="97"/>
    </row>
    <row r="124" spans="1:11" ht="15">
      <c r="A124" s="139" t="s">
        <v>866</v>
      </c>
      <c r="B124" s="139"/>
      <c r="C124" s="139"/>
      <c r="D124" s="97"/>
      <c r="E124" s="97"/>
      <c r="F124" s="140"/>
      <c r="G124" s="140"/>
      <c r="H124" s="140"/>
      <c r="I124" s="140"/>
      <c r="J124" s="1825"/>
      <c r="K124" s="140"/>
    </row>
    <row r="125" spans="1:11" ht="15">
      <c r="A125" s="139"/>
      <c r="B125" s="139"/>
      <c r="C125" s="139"/>
      <c r="D125" s="659"/>
      <c r="E125" s="97"/>
      <c r="F125" s="141"/>
      <c r="G125" s="141"/>
      <c r="H125" s="140"/>
      <c r="I125" s="140"/>
      <c r="J125" s="1825"/>
      <c r="K125" s="140"/>
    </row>
    <row r="126" spans="1:11">
      <c r="A126" s="128"/>
      <c r="B126" s="1202"/>
      <c r="C126" s="1203" t="s">
        <v>445</v>
      </c>
      <c r="D126" s="1203" t="s">
        <v>445</v>
      </c>
      <c r="E126" s="1203" t="s">
        <v>445</v>
      </c>
      <c r="F126" s="2"/>
      <c r="G126" s="1203" t="s">
        <v>446</v>
      </c>
      <c r="H126" s="1203" t="s">
        <v>446</v>
      </c>
      <c r="I126" s="1203" t="s">
        <v>446</v>
      </c>
      <c r="J126" s="104"/>
      <c r="K126" s="97"/>
    </row>
    <row r="127" spans="1:11">
      <c r="A127" s="128"/>
      <c r="B127" s="1202"/>
      <c r="F127" s="2"/>
      <c r="J127" s="104"/>
      <c r="K127" s="97"/>
    </row>
    <row r="128" spans="1:11">
      <c r="A128" s="128">
        <v>1</v>
      </c>
      <c r="B128" s="1185" t="s">
        <v>868</v>
      </c>
      <c r="C128" s="1202" t="s">
        <v>348</v>
      </c>
      <c r="D128" s="1202" t="s">
        <v>349</v>
      </c>
      <c r="E128" s="1204" t="s">
        <v>350</v>
      </c>
      <c r="F128" s="2"/>
      <c r="G128" s="1202" t="s">
        <v>348</v>
      </c>
      <c r="H128" s="1202" t="s">
        <v>349</v>
      </c>
      <c r="I128" s="1204" t="s">
        <v>350</v>
      </c>
      <c r="J128" s="104"/>
      <c r="K128" s="97"/>
    </row>
    <row r="129" spans="1:11">
      <c r="A129" s="128">
        <v>2</v>
      </c>
      <c r="B129" s="1203" t="s">
        <v>1111</v>
      </c>
      <c r="C129" s="1628">
        <v>0</v>
      </c>
      <c r="D129" s="1628">
        <v>0</v>
      </c>
      <c r="E129" s="1205">
        <f>+C129/2+D129/2</f>
        <v>0</v>
      </c>
      <c r="F129" s="2"/>
      <c r="G129" s="1629"/>
      <c r="H129" s="1629"/>
      <c r="I129" s="1205">
        <f>+G129+H129</f>
        <v>0</v>
      </c>
      <c r="J129" s="104"/>
      <c r="K129" s="97"/>
    </row>
    <row r="130" spans="1:11">
      <c r="A130" s="128"/>
      <c r="B130" s="1185"/>
      <c r="C130" s="1204"/>
      <c r="D130" s="1205"/>
      <c r="E130" s="1205"/>
      <c r="F130" s="2"/>
      <c r="G130" s="1205"/>
      <c r="H130" s="1205"/>
      <c r="I130" s="1205"/>
      <c r="J130" s="104"/>
      <c r="K130" s="97"/>
    </row>
    <row r="131" spans="1:11">
      <c r="A131" s="128">
        <v>3</v>
      </c>
      <c r="B131" s="1185" t="s">
        <v>867</v>
      </c>
      <c r="C131" s="1204"/>
      <c r="D131" s="1205" t="s">
        <v>867</v>
      </c>
      <c r="E131" s="1205"/>
      <c r="F131" s="2"/>
      <c r="G131" s="1205"/>
      <c r="H131" s="1205" t="str">
        <f>+D131</f>
        <v>Amortization</v>
      </c>
      <c r="I131" s="1205"/>
      <c r="J131" s="104"/>
      <c r="K131" s="97"/>
    </row>
    <row r="132" spans="1:11">
      <c r="A132" s="128">
        <v>4</v>
      </c>
      <c r="B132" s="1203" t="s">
        <v>1112</v>
      </c>
      <c r="C132" s="1629"/>
      <c r="D132" s="1628"/>
      <c r="E132" s="130"/>
      <c r="F132" s="2"/>
      <c r="G132" s="1629">
        <v>0</v>
      </c>
      <c r="H132" s="1629">
        <v>0</v>
      </c>
      <c r="I132" s="1342">
        <f>AVERAGE(G132,H132)</f>
        <v>0</v>
      </c>
      <c r="J132" s="104"/>
      <c r="K132" s="97"/>
    </row>
    <row r="133" spans="1:11">
      <c r="A133" s="128"/>
      <c r="B133" s="1185"/>
      <c r="C133" s="1204"/>
      <c r="D133" s="1205"/>
      <c r="E133" s="1205"/>
      <c r="F133" s="2"/>
      <c r="G133" s="1205"/>
      <c r="H133" s="1205"/>
      <c r="I133" s="1205"/>
      <c r="J133" s="104"/>
      <c r="K133" s="97"/>
    </row>
    <row r="134" spans="1:11">
      <c r="A134" s="128">
        <v>5</v>
      </c>
      <c r="B134" s="1185" t="s">
        <v>851</v>
      </c>
      <c r="C134" s="1204"/>
      <c r="D134" s="1205">
        <f>+D132+D129</f>
        <v>0</v>
      </c>
      <c r="E134" s="1205"/>
      <c r="F134" s="2"/>
      <c r="G134" s="1205">
        <f>+G132+G129</f>
        <v>0</v>
      </c>
      <c r="H134" s="1205">
        <f>+H132+H129</f>
        <v>0</v>
      </c>
      <c r="I134" s="1205">
        <f>+I132+I129</f>
        <v>0</v>
      </c>
      <c r="J134" s="104"/>
      <c r="K134" s="97"/>
    </row>
    <row r="135" spans="1:11">
      <c r="A135" s="128"/>
      <c r="B135" s="1185"/>
      <c r="C135" s="1204"/>
      <c r="D135" s="1205"/>
      <c r="E135" s="1205"/>
      <c r="F135" s="2"/>
      <c r="G135" s="1205"/>
      <c r="H135" s="1205"/>
      <c r="I135" s="1205"/>
      <c r="J135" s="104"/>
      <c r="K135" s="97"/>
    </row>
    <row r="136" spans="1:11">
      <c r="A136" s="128">
        <v>6</v>
      </c>
      <c r="B136" s="1185" t="s">
        <v>935</v>
      </c>
      <c r="C136" s="1204"/>
      <c r="D136" s="1205">
        <f>D134</f>
        <v>0</v>
      </c>
      <c r="E136" s="1205"/>
      <c r="F136" s="2"/>
      <c r="G136" s="1205">
        <f>G134</f>
        <v>0</v>
      </c>
      <c r="H136" s="1205">
        <f>H134</f>
        <v>0</v>
      </c>
      <c r="I136" s="1205">
        <f>I134</f>
        <v>0</v>
      </c>
      <c r="J136" s="104"/>
      <c r="K136" s="97"/>
    </row>
    <row r="137" spans="1:11">
      <c r="A137" s="129"/>
      <c r="B137" s="1185"/>
      <c r="C137" s="1185"/>
      <c r="D137" s="1185"/>
      <c r="E137" s="1205"/>
      <c r="F137" s="2"/>
      <c r="G137" s="1205"/>
      <c r="H137" s="1205"/>
      <c r="I137" s="1205"/>
      <c r="J137" s="104"/>
      <c r="K137" s="97"/>
    </row>
    <row r="138" spans="1:11">
      <c r="A138" s="128">
        <v>7</v>
      </c>
      <c r="B138" s="129" t="s">
        <v>869</v>
      </c>
      <c r="C138" s="128"/>
      <c r="D138" s="1185"/>
      <c r="E138" s="159">
        <f>+E134-E136</f>
        <v>0</v>
      </c>
      <c r="G138" s="159">
        <f>+G134-G136</f>
        <v>0</v>
      </c>
      <c r="H138" s="159">
        <f>+H134-H136</f>
        <v>0</v>
      </c>
      <c r="I138" s="159">
        <f>+I134-I136</f>
        <v>0</v>
      </c>
      <c r="J138" s="97"/>
      <c r="K138" s="97"/>
    </row>
    <row r="139" spans="1:11">
      <c r="A139" s="97"/>
      <c r="B139" s="97"/>
      <c r="C139" s="97"/>
      <c r="D139" s="97"/>
      <c r="E139" s="97"/>
      <c r="F139" s="156"/>
      <c r="G139" s="156"/>
      <c r="I139" s="97"/>
      <c r="J139" s="97"/>
      <c r="K139" s="97"/>
    </row>
    <row r="140" spans="1:11">
      <c r="A140" s="136"/>
      <c r="B140" s="136"/>
      <c r="C140" s="136"/>
      <c r="D140" s="97" t="s">
        <v>870</v>
      </c>
      <c r="E140" s="97"/>
      <c r="F140" s="97"/>
      <c r="G140" s="97"/>
      <c r="I140" s="97"/>
      <c r="J140" s="97"/>
      <c r="K140" s="97"/>
    </row>
  </sheetData>
  <customSheetViews>
    <customSheetView guid="{16940A0E-2B20-4241-BF05-A4686E5A0274}" scale="75" fitToPage="1" hiddenColumns="1" showRuler="0">
      <selection activeCell="B41" sqref="B41"/>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1"/>
      <headerFooter alignWithMargins="0">
        <oddHeader>&amp;R&amp;12Page &amp;P of &amp;N</oddHeader>
      </headerFooter>
    </customSheetView>
    <customSheetView guid="{44504B44-F20F-4B6F-B585-74D55BA74563}" scale="75" showPageBreaks="1" fitToPage="1" printArea="1" hiddenColumns="1" showRuler="0">
      <selection activeCell="B19" sqref="B19"/>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2"/>
      <headerFooter alignWithMargins="0">
        <oddHeader>&amp;R&amp;12Page &amp;P of &amp;N</oddHeader>
      </headerFooter>
    </customSheetView>
    <customSheetView guid="{FAAD9AAC-1337-43AB-BF1F-CCF9DFCF5B78}" scale="75" showPageBreaks="1" fitToPage="1" printArea="1" hiddenColumns="1" showRuler="0" topLeftCell="A4">
      <selection activeCell="A20" sqref="A20"/>
      <rowBreaks count="7" manualBreakCount="7">
        <brk id="61" max="8" man="1"/>
        <brk id="63" max="8" man="1"/>
        <brk id="87" max="7" man="1"/>
        <brk id="146" max="7" man="1"/>
        <brk id="211" max="8" man="1"/>
        <brk id="214" max="8" man="1"/>
        <brk id="231" max="8" man="1"/>
      </rowBreaks>
      <pageMargins left="0.5" right="0.5" top="1" bottom="0.5" header="0.5" footer="0.5"/>
      <printOptions horizontalCentered="1"/>
      <pageSetup scale="43" fitToHeight="0" orientation="portrait" r:id="rId3"/>
      <headerFooter alignWithMargins="0">
        <oddHeader>&amp;R&amp;12Page &amp;P of &amp;N</oddHeader>
      </headerFooter>
    </customSheetView>
    <customSheetView guid="{71B42B22-A376-44B5-B0C1-23FC1AA3DBA2}" scale="75" showPageBreaks="1" fitToPage="1" printArea="1" hiddenColumns="1" showRuler="0">
      <selection activeCell="B42" sqref="B42"/>
      <rowBreaks count="3" manualBreakCount="3">
        <brk id="61" max="8" man="1"/>
        <brk id="87" max="7" man="1"/>
        <brk id="146" max="7" man="1"/>
      </rowBreaks>
      <pageMargins left="0.5" right="0.5" top="1" bottom="0.5" header="0.5" footer="0.5"/>
      <printOptions horizontalCentered="1"/>
      <pageSetup scale="45" fitToHeight="0" orientation="portrait" r:id="rId4"/>
      <headerFooter alignWithMargins="0">
        <oddHeader>&amp;R&amp;14Page &amp;P of &amp;N</oddHeader>
      </headerFooter>
    </customSheetView>
    <customSheetView guid="{28948E05-8F34-4F1E-96FB-A80A6A844600}" scale="75" showPageBreaks="1" fitToPage="1" printArea="1" hiddenColumns="1" showRuler="0">
      <selection sqref="A1:I1"/>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5"/>
      <headerFooter alignWithMargins="0">
        <oddHeader>&amp;R&amp;12Page &amp;P of &amp;N</oddHeader>
      </headerFooter>
    </customSheetView>
    <customSheetView guid="{B647CB7F-C846-4278-B6B1-1EF7F3C004F5}" scale="75" showPageBreaks="1" fitToPage="1" printArea="1" hiddenColumns="1" showRuler="0" topLeftCell="A71">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5" fitToHeight="0" orientation="portrait" r:id="rId6"/>
      <headerFooter alignWithMargins="0">
        <oddHeader>&amp;R&amp;12Page &amp;P of &amp;N</oddHeader>
      </headerFooter>
    </customSheetView>
    <customSheetView guid="{63011E91-4609-4523-98FE-FD252E915668}" scale="60" showPageBreaks="1" fitToPage="1" printArea="1" hiddenColumns="1" view="pageBreakPreview" showRuler="0" topLeftCell="A223">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7"/>
      <headerFooter alignWithMargins="0">
        <oddHeader>&amp;R&amp;12Page &amp;P of &amp;N</oddHeader>
      </headerFooter>
    </customSheetView>
    <customSheetView guid="{DC91DEF3-837B-4BB9-A81E-3B78C5914E6C}" scale="75" showPageBreaks="1" fitToPage="1" printArea="1" hiddenColumns="1" showRuler="0" topLeftCell="A55">
      <selection activeCell="I58" sqref="I58"/>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8"/>
      <headerFooter alignWithMargins="0">
        <oddHeader>&amp;R&amp;12Page &amp;P of &amp;N</oddHeader>
      </headerFooter>
    </customSheetView>
    <customSheetView guid="{1155D18F-BFDD-426B-8E78-817CEB25FB23}" scale="75" showPageBreaks="1" fitToPage="1" printArea="1" hiddenColumns="1" showRuler="0" topLeftCell="A206">
      <selection activeCell="E221" sqref="E221"/>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9"/>
      <headerFooter alignWithMargins="0">
        <oddHeader>&amp;R&amp;12Page &amp;P of &amp;N</oddHeader>
      </headerFooter>
    </customSheetView>
  </customSheetViews>
  <mergeCells count="7">
    <mergeCell ref="A112:F112"/>
    <mergeCell ref="A116:F116"/>
    <mergeCell ref="A53:F53"/>
    <mergeCell ref="A1:J1"/>
    <mergeCell ref="A74:F74"/>
    <mergeCell ref="A49:F49"/>
    <mergeCell ref="A78:F78"/>
  </mergeCells>
  <phoneticPr fontId="0" type="noConversion"/>
  <printOptions horizontalCentered="1"/>
  <pageMargins left="0.5" right="0.5" top="1" bottom="0.5" header="0.5" footer="0.5"/>
  <pageSetup scale="54" fitToHeight="5" orientation="landscape" r:id="rId10"/>
  <headerFooter alignWithMargins="0"/>
  <rowBreaks count="4" manualBreakCount="4">
    <brk id="55" max="8" man="1"/>
    <brk id="117" max="8" man="1"/>
    <brk id="146" max="16383" man="1"/>
    <brk id="2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16"/>
  <sheetViews>
    <sheetView topLeftCell="A13" zoomScale="75" zoomScaleNormal="75" workbookViewId="0">
      <selection activeCell="L63" sqref="L63"/>
    </sheetView>
  </sheetViews>
  <sheetFormatPr defaultRowHeight="12.75"/>
  <cols>
    <col min="1" max="2" width="4.7109375" customWidth="1"/>
    <col min="3" max="3" width="63" customWidth="1"/>
    <col min="4" max="4" width="3.140625" customWidth="1"/>
    <col min="5" max="5" width="14.42578125" style="90" customWidth="1"/>
    <col min="6" max="6" width="15.28515625" customWidth="1"/>
    <col min="7" max="7" width="17.42578125" customWidth="1"/>
    <col min="8" max="8" width="10.85546875" customWidth="1"/>
    <col min="9" max="9" width="4" customWidth="1"/>
    <col min="12" max="12" width="15.28515625" customWidth="1"/>
    <col min="14" max="14" width="14.42578125" customWidth="1"/>
  </cols>
  <sheetData>
    <row r="1" spans="1:12" ht="18">
      <c r="A1" s="1976" t="str">
        <f>+'ATT H-1 '!A3</f>
        <v xml:space="preserve">Puget Sound Energy </v>
      </c>
      <c r="B1" s="1976"/>
      <c r="C1" s="1976"/>
      <c r="D1" s="1976"/>
      <c r="E1" s="1976"/>
      <c r="F1" s="1976"/>
      <c r="G1" s="1976"/>
      <c r="H1" s="1978"/>
    </row>
    <row r="2" spans="1:12">
      <c r="A2" s="92"/>
    </row>
    <row r="3" spans="1:12" ht="15.75">
      <c r="A3" s="1980" t="s">
        <v>665</v>
      </c>
      <c r="B3" s="1981"/>
      <c r="C3" s="1981"/>
      <c r="D3" s="1981"/>
      <c r="E3" s="1981"/>
      <c r="F3" s="1982"/>
      <c r="G3" s="1982"/>
      <c r="H3" s="1982"/>
    </row>
    <row r="5" spans="1:12">
      <c r="D5" s="93"/>
    </row>
    <row r="7" spans="1:12">
      <c r="D7" s="87"/>
      <c r="E7" s="127" t="s">
        <v>127</v>
      </c>
      <c r="F7" s="127"/>
      <c r="G7" s="127" t="s">
        <v>135</v>
      </c>
      <c r="H7" s="87"/>
    </row>
    <row r="8" spans="1:12">
      <c r="A8" s="774" t="s">
        <v>767</v>
      </c>
      <c r="B8" s="80"/>
      <c r="D8" s="87"/>
      <c r="E8" s="127" t="s">
        <v>128</v>
      </c>
      <c r="F8" s="127" t="s">
        <v>891</v>
      </c>
      <c r="G8" s="127" t="s">
        <v>136</v>
      </c>
      <c r="H8" s="87"/>
    </row>
    <row r="9" spans="1:12">
      <c r="A9" s="80"/>
      <c r="B9" s="80"/>
      <c r="D9" s="87"/>
      <c r="E9" s="98"/>
      <c r="F9" s="87"/>
      <c r="G9" s="87"/>
      <c r="H9" s="87"/>
    </row>
    <row r="10" spans="1:12">
      <c r="A10" s="119"/>
      <c r="B10" s="119"/>
      <c r="C10" s="2"/>
      <c r="D10" s="87"/>
      <c r="E10" s="98"/>
      <c r="F10" s="87"/>
      <c r="G10" s="87"/>
      <c r="H10" s="87"/>
    </row>
    <row r="11" spans="1:12">
      <c r="A11" s="2"/>
      <c r="B11" s="176"/>
      <c r="C11" s="2"/>
      <c r="D11" s="87"/>
      <c r="E11" s="98"/>
      <c r="F11" s="2"/>
      <c r="G11" s="87"/>
      <c r="H11" s="89"/>
    </row>
    <row r="12" spans="1:12">
      <c r="A12" s="2"/>
      <c r="B12" s="180" t="s">
        <v>126</v>
      </c>
      <c r="C12" s="2"/>
      <c r="D12" s="87"/>
      <c r="E12" s="91"/>
      <c r="F12" s="1428" t="s">
        <v>744</v>
      </c>
      <c r="G12" s="87"/>
      <c r="H12" s="89"/>
    </row>
    <row r="13" spans="1:12">
      <c r="A13" s="2"/>
      <c r="B13" s="84"/>
      <c r="C13" s="2"/>
      <c r="D13" s="87"/>
      <c r="E13" s="91"/>
      <c r="F13" s="87"/>
      <c r="G13" s="87"/>
      <c r="H13" s="89"/>
    </row>
    <row r="14" spans="1:12" s="341" customFormat="1" ht="12.75" customHeight="1">
      <c r="A14" s="1206"/>
      <c r="B14" s="1345">
        <v>1</v>
      </c>
      <c r="C14" s="1445" t="s">
        <v>1083</v>
      </c>
      <c r="D14" s="715"/>
      <c r="E14" s="1443">
        <v>41231356</v>
      </c>
      <c r="F14" s="798">
        <f>+'ATT H-1 '!$H$23</f>
        <v>0.17360751348150233</v>
      </c>
      <c r="G14" s="1207">
        <f t="shared" ref="G14:G19" si="0">+F14*E14</f>
        <v>7158073.1926306216</v>
      </c>
      <c r="H14" s="1983"/>
    </row>
    <row r="15" spans="1:12" ht="12.75" customHeight="1">
      <c r="A15" s="2"/>
      <c r="B15" s="1346">
        <v>2</v>
      </c>
      <c r="C15" s="1441"/>
      <c r="D15" s="179"/>
      <c r="E15" s="1443"/>
      <c r="F15" s="798">
        <f>+F16</f>
        <v>0.17360751348150233</v>
      </c>
      <c r="G15" s="1208">
        <f t="shared" si="0"/>
        <v>0</v>
      </c>
      <c r="H15" s="1983"/>
      <c r="L15" s="445"/>
    </row>
    <row r="16" spans="1:12" ht="12.75" customHeight="1">
      <c r="A16" s="2"/>
      <c r="B16" s="1346">
        <v>3</v>
      </c>
      <c r="C16" s="1441"/>
      <c r="D16" s="179"/>
      <c r="E16" s="1443"/>
      <c r="F16" s="798">
        <f>+F17</f>
        <v>0.17360751348150233</v>
      </c>
      <c r="G16" s="1208">
        <f t="shared" si="0"/>
        <v>0</v>
      </c>
      <c r="H16" s="82"/>
    </row>
    <row r="17" spans="1:8" ht="12.75" customHeight="1">
      <c r="A17" s="2"/>
      <c r="B17" s="1346">
        <v>4</v>
      </c>
      <c r="C17" s="1441"/>
      <c r="D17" s="179"/>
      <c r="E17" s="1443"/>
      <c r="F17" s="798">
        <f>+F18</f>
        <v>0.17360751348150233</v>
      </c>
      <c r="G17" s="1208">
        <f t="shared" si="0"/>
        <v>0</v>
      </c>
      <c r="H17" s="82"/>
    </row>
    <row r="18" spans="1:8" ht="12.75" customHeight="1">
      <c r="A18" s="2"/>
      <c r="B18" s="1346">
        <v>5</v>
      </c>
      <c r="C18" s="1441"/>
      <c r="D18" s="179"/>
      <c r="E18" s="1446"/>
      <c r="F18" s="798">
        <f>+F19</f>
        <v>0.17360751348150233</v>
      </c>
      <c r="G18" s="1208">
        <f t="shared" si="0"/>
        <v>0</v>
      </c>
      <c r="H18" s="2" t="s">
        <v>760</v>
      </c>
    </row>
    <row r="19" spans="1:8" ht="12.75" customHeight="1">
      <c r="A19" s="2"/>
      <c r="B19" s="1346"/>
      <c r="C19" s="1442"/>
      <c r="D19" s="179"/>
      <c r="E19" s="1446"/>
      <c r="F19" s="798">
        <f>+'ATT H-1 '!$H$23</f>
        <v>0.17360751348150233</v>
      </c>
      <c r="G19" s="1208">
        <f t="shared" si="0"/>
        <v>0</v>
      </c>
      <c r="H19" s="82"/>
    </row>
    <row r="20" spans="1:8" ht="12.75" customHeight="1">
      <c r="A20" s="2"/>
      <c r="B20" s="180" t="s">
        <v>131</v>
      </c>
      <c r="C20" s="2"/>
      <c r="D20" s="179"/>
      <c r="E20" s="108">
        <f>SUM(E14:E19)</f>
        <v>41231356</v>
      </c>
      <c r="F20" s="2"/>
      <c r="G20" s="108">
        <f>SUM(G14:G19)</f>
        <v>7158073.1926306216</v>
      </c>
      <c r="H20" s="82"/>
    </row>
    <row r="21" spans="1:8" ht="12.75" customHeight="1">
      <c r="A21" s="2"/>
      <c r="B21" s="84"/>
      <c r="C21" s="2"/>
      <c r="D21" s="179"/>
      <c r="E21" s="1209"/>
      <c r="F21" s="179"/>
      <c r="G21" s="179"/>
      <c r="H21" s="82"/>
    </row>
    <row r="22" spans="1:8" ht="12.75" customHeight="1">
      <c r="A22" s="2"/>
      <c r="B22" s="84"/>
      <c r="C22" s="2"/>
      <c r="D22" s="179"/>
      <c r="E22" s="1209"/>
      <c r="F22" s="179"/>
      <c r="G22" s="179"/>
      <c r="H22" s="82"/>
    </row>
    <row r="23" spans="1:8" ht="12.75" customHeight="1">
      <c r="A23" s="2"/>
      <c r="B23" s="180" t="s">
        <v>129</v>
      </c>
      <c r="C23" s="2"/>
      <c r="D23" s="179"/>
      <c r="E23" s="1209"/>
      <c r="F23" s="1429" t="s">
        <v>872</v>
      </c>
      <c r="G23" s="179"/>
      <c r="H23" s="82"/>
    </row>
    <row r="24" spans="1:8" ht="12.75" customHeight="1">
      <c r="A24" s="2"/>
      <c r="B24" s="180"/>
      <c r="C24" s="2"/>
      <c r="D24" s="179"/>
      <c r="E24" s="122"/>
      <c r="F24" s="2"/>
      <c r="G24" s="179"/>
      <c r="H24" s="82"/>
    </row>
    <row r="25" spans="1:8" ht="12.75" customHeight="1">
      <c r="A25" s="2"/>
      <c r="B25" s="84"/>
      <c r="C25" s="2"/>
      <c r="D25" s="179"/>
      <c r="E25" s="1209"/>
      <c r="F25" s="179"/>
      <c r="G25" s="179"/>
      <c r="H25" s="82"/>
    </row>
    <row r="26" spans="1:8" ht="12.75" customHeight="1">
      <c r="A26" s="2"/>
      <c r="B26" s="1343">
        <v>6</v>
      </c>
      <c r="C26" s="1440" t="s">
        <v>953</v>
      </c>
      <c r="D26" s="716"/>
      <c r="E26" s="1443">
        <v>10966229</v>
      </c>
      <c r="F26" s="716"/>
      <c r="G26" s="716"/>
      <c r="H26" s="83"/>
    </row>
    <row r="27" spans="1:8">
      <c r="A27" s="2"/>
      <c r="B27" s="1343"/>
      <c r="C27" s="1441"/>
      <c r="D27" s="2"/>
      <c r="E27" s="1443"/>
      <c r="F27" s="2"/>
      <c r="G27" s="2"/>
    </row>
    <row r="28" spans="1:8">
      <c r="A28" s="2"/>
      <c r="B28" s="1343"/>
      <c r="C28" s="1442"/>
      <c r="D28" s="2"/>
      <c r="E28" s="1444"/>
      <c r="F28" s="2"/>
      <c r="G28" s="2"/>
    </row>
    <row r="29" spans="1:8">
      <c r="A29" s="2"/>
      <c r="B29" s="1343"/>
      <c r="C29" s="1442"/>
      <c r="D29" s="2"/>
      <c r="E29" s="1444"/>
      <c r="F29" s="2"/>
      <c r="G29" s="2"/>
    </row>
    <row r="30" spans="1:8">
      <c r="A30" s="2"/>
      <c r="B30" s="84"/>
      <c r="C30" s="1442"/>
      <c r="D30" s="2"/>
      <c r="E30" s="1444"/>
      <c r="F30" s="2"/>
      <c r="G30" s="2"/>
    </row>
    <row r="31" spans="1:8">
      <c r="A31" s="2"/>
      <c r="B31" s="180" t="s">
        <v>132</v>
      </c>
      <c r="C31" s="2"/>
      <c r="D31" s="2"/>
      <c r="E31" s="108">
        <f>SUM(E26:E30)</f>
        <v>10966229</v>
      </c>
      <c r="F31" s="798">
        <f>+'ATT H-1 '!H13</f>
        <v>0.10801595633021691</v>
      </c>
      <c r="G31" s="108">
        <f>+F31*E31</f>
        <v>1184527.7127711582</v>
      </c>
    </row>
    <row r="32" spans="1:8">
      <c r="A32" s="2"/>
      <c r="B32" s="180"/>
      <c r="C32" s="1209"/>
      <c r="D32" s="2"/>
      <c r="E32" s="122"/>
      <c r="F32" s="2"/>
      <c r="G32" s="2"/>
    </row>
    <row r="33" spans="1:14">
      <c r="A33" s="2"/>
      <c r="B33" s="84"/>
      <c r="C33" s="2"/>
      <c r="D33" s="2"/>
      <c r="E33" s="122"/>
      <c r="F33" s="2"/>
      <c r="G33" s="2"/>
    </row>
    <row r="34" spans="1:14">
      <c r="A34" s="2"/>
      <c r="B34" s="180" t="s">
        <v>130</v>
      </c>
      <c r="C34" s="2"/>
      <c r="D34" s="2"/>
      <c r="E34" s="122"/>
      <c r="F34" s="1428" t="s">
        <v>744</v>
      </c>
      <c r="G34" s="2"/>
    </row>
    <row r="35" spans="1:14">
      <c r="A35" s="2"/>
      <c r="B35" s="84"/>
      <c r="C35" s="2"/>
      <c r="D35" s="2"/>
      <c r="E35" s="122"/>
      <c r="F35" s="2"/>
      <c r="G35" s="2"/>
      <c r="L35" s="428"/>
    </row>
    <row r="36" spans="1:14">
      <c r="A36" s="2"/>
      <c r="B36" s="84">
        <v>7</v>
      </c>
      <c r="C36" s="716" t="s">
        <v>948</v>
      </c>
      <c r="D36" s="2"/>
      <c r="E36" s="122">
        <v>0</v>
      </c>
      <c r="F36" s="2"/>
      <c r="G36" s="2"/>
      <c r="L36" s="428"/>
    </row>
    <row r="37" spans="1:14">
      <c r="A37" s="2"/>
      <c r="B37" s="84"/>
      <c r="C37" s="84"/>
      <c r="D37" s="2"/>
      <c r="E37" s="108"/>
      <c r="F37" s="2"/>
      <c r="G37" s="2"/>
      <c r="L37" s="428"/>
      <c r="N37" s="428"/>
    </row>
    <row r="38" spans="1:14">
      <c r="A38" s="2"/>
      <c r="B38" s="84"/>
      <c r="C38" s="2"/>
      <c r="D38" s="2"/>
      <c r="E38" s="122"/>
      <c r="F38" s="2"/>
      <c r="G38" s="2"/>
      <c r="L38" s="428"/>
      <c r="N38" s="428"/>
    </row>
    <row r="39" spans="1:14">
      <c r="A39" s="2"/>
      <c r="B39" s="84"/>
      <c r="C39" s="2"/>
      <c r="D39" s="2"/>
      <c r="E39" s="122"/>
      <c r="F39" s="2"/>
      <c r="G39" s="2"/>
      <c r="L39" s="428"/>
      <c r="N39" s="445"/>
    </row>
    <row r="40" spans="1:14">
      <c r="A40" s="2"/>
      <c r="B40" s="180" t="s">
        <v>133</v>
      </c>
      <c r="C40" s="2"/>
      <c r="D40" s="2"/>
      <c r="E40" s="108">
        <f>SUM(E36:E39)</f>
        <v>0</v>
      </c>
      <c r="F40" s="798">
        <f>+F19</f>
        <v>0.17360751348150233</v>
      </c>
      <c r="G40" s="108">
        <f>+F40*E40</f>
        <v>0</v>
      </c>
      <c r="L40" s="428"/>
    </row>
    <row r="41" spans="1:14">
      <c r="A41" s="2"/>
      <c r="B41" s="180"/>
      <c r="C41" s="2"/>
      <c r="D41" s="2"/>
      <c r="E41" s="108"/>
      <c r="F41" s="798"/>
      <c r="G41" s="108"/>
      <c r="L41" s="428"/>
    </row>
    <row r="42" spans="1:14">
      <c r="A42" s="2"/>
      <c r="B42" s="180" t="s">
        <v>967</v>
      </c>
      <c r="C42" s="2"/>
      <c r="D42" s="2"/>
      <c r="E42" s="108"/>
      <c r="F42" s="798"/>
      <c r="G42" s="108"/>
      <c r="L42" s="428"/>
    </row>
    <row r="43" spans="1:14">
      <c r="A43" s="2"/>
      <c r="B43" s="1441">
        <v>8</v>
      </c>
      <c r="C43" s="1442" t="s">
        <v>968</v>
      </c>
      <c r="D43" s="1442"/>
      <c r="E43" s="1443"/>
      <c r="F43" s="798"/>
      <c r="G43" s="108"/>
      <c r="L43" s="428"/>
    </row>
    <row r="44" spans="1:14">
      <c r="A44" s="2"/>
      <c r="B44" s="84"/>
      <c r="C44" s="2"/>
      <c r="D44" s="2"/>
      <c r="E44" s="108"/>
      <c r="F44" s="798"/>
      <c r="G44" s="108"/>
      <c r="L44" s="428"/>
    </row>
    <row r="45" spans="1:14">
      <c r="A45" s="2"/>
      <c r="B45" s="180" t="s">
        <v>969</v>
      </c>
      <c r="C45" s="2"/>
      <c r="D45" s="2"/>
      <c r="E45" s="108">
        <f>SUM(E43:E44)</f>
        <v>0</v>
      </c>
      <c r="F45" s="798">
        <v>1</v>
      </c>
      <c r="G45" s="108">
        <f>E45*F45</f>
        <v>0</v>
      </c>
      <c r="L45" s="428"/>
    </row>
    <row r="46" spans="1:14">
      <c r="A46" s="2"/>
      <c r="B46" s="84"/>
      <c r="C46" s="2"/>
      <c r="D46" s="2"/>
      <c r="E46" s="122"/>
      <c r="F46" s="2"/>
      <c r="G46" s="2"/>
      <c r="L46" s="428"/>
    </row>
    <row r="47" spans="1:14">
      <c r="A47" s="2"/>
      <c r="B47" s="180" t="s">
        <v>103</v>
      </c>
      <c r="C47" s="2"/>
      <c r="D47" s="2"/>
      <c r="E47" s="122"/>
      <c r="F47" s="2"/>
      <c r="G47" s="1210">
        <f>+G40+G31+G20+G45</f>
        <v>8342600.9054017793</v>
      </c>
      <c r="L47" s="428"/>
    </row>
    <row r="48" spans="1:14">
      <c r="A48" s="2"/>
      <c r="B48" s="180"/>
      <c r="C48" s="2"/>
      <c r="D48" s="2"/>
      <c r="E48" s="122"/>
      <c r="F48" s="2"/>
      <c r="G48" s="1210"/>
    </row>
    <row r="49" spans="1:12">
      <c r="A49" s="2"/>
      <c r="B49" s="180" t="s">
        <v>104</v>
      </c>
      <c r="C49" s="2"/>
      <c r="D49" s="2"/>
      <c r="E49" s="1544">
        <f>G49</f>
        <v>988777</v>
      </c>
      <c r="F49" s="2"/>
      <c r="G49" s="1846">
        <v>988777</v>
      </c>
    </row>
    <row r="50" spans="1:12">
      <c r="A50" s="2"/>
      <c r="B50" s="180" t="s">
        <v>105</v>
      </c>
      <c r="C50" s="99"/>
      <c r="D50" s="2"/>
      <c r="E50" s="1544">
        <f>G50</f>
        <v>542448</v>
      </c>
      <c r="F50" s="2"/>
      <c r="G50" s="1456">
        <v>542448</v>
      </c>
    </row>
    <row r="51" spans="1:12">
      <c r="A51" s="2"/>
      <c r="B51" s="180"/>
      <c r="C51" s="99"/>
      <c r="D51" s="2"/>
      <c r="E51" s="122"/>
      <c r="F51" s="2"/>
      <c r="G51" s="177"/>
    </row>
    <row r="52" spans="1:12">
      <c r="A52" s="2"/>
      <c r="B52" s="180" t="s">
        <v>106</v>
      </c>
      <c r="C52" s="99"/>
      <c r="D52" s="2"/>
      <c r="E52" s="122"/>
      <c r="F52" s="2"/>
      <c r="G52" s="1754">
        <f>G47</f>
        <v>8342600.9054017793</v>
      </c>
    </row>
    <row r="53" spans="1:12">
      <c r="A53" s="2"/>
      <c r="B53" s="2"/>
      <c r="C53" s="99"/>
      <c r="D53" s="2"/>
      <c r="E53" s="122"/>
      <c r="F53" s="2"/>
      <c r="G53" s="2"/>
    </row>
    <row r="54" spans="1:12">
      <c r="A54" s="2"/>
      <c r="B54" s="2"/>
      <c r="C54" s="119" t="s">
        <v>134</v>
      </c>
      <c r="D54" s="2"/>
      <c r="E54" s="122"/>
      <c r="F54" s="2"/>
      <c r="G54" s="2"/>
    </row>
    <row r="55" spans="1:12">
      <c r="A55" s="2"/>
      <c r="B55" s="2"/>
      <c r="C55" s="2"/>
      <c r="D55" s="2"/>
      <c r="E55" s="122"/>
      <c r="F55" s="2"/>
      <c r="G55" s="119"/>
      <c r="H55" s="2"/>
      <c r="I55" s="2"/>
    </row>
    <row r="56" spans="1:12">
      <c r="A56" s="2"/>
      <c r="B56" s="1344">
        <f>B43+1</f>
        <v>9</v>
      </c>
      <c r="C56" s="1440" t="s">
        <v>1179</v>
      </c>
      <c r="D56" s="2"/>
      <c r="E56" s="1443">
        <v>3751329</v>
      </c>
      <c r="F56" s="109"/>
      <c r="G56" s="2"/>
      <c r="H56" s="99"/>
      <c r="I56" s="2"/>
    </row>
    <row r="57" spans="1:12">
      <c r="A57" s="2"/>
      <c r="B57" s="1344">
        <f t="shared" ref="B57:B64" si="1">+B56+1</f>
        <v>10</v>
      </c>
      <c r="C57" s="1440" t="s">
        <v>1182</v>
      </c>
      <c r="D57" s="2"/>
      <c r="E57" s="1443">
        <v>578210</v>
      </c>
      <c r="F57" s="109"/>
      <c r="G57" s="2"/>
      <c r="H57" s="99"/>
      <c r="I57" s="2"/>
    </row>
    <row r="58" spans="1:12">
      <c r="A58" s="2"/>
      <c r="B58" s="1344">
        <f t="shared" si="1"/>
        <v>11</v>
      </c>
      <c r="C58" s="1440" t="s">
        <v>954</v>
      </c>
      <c r="D58" s="2"/>
      <c r="E58" s="1443">
        <v>104687355</v>
      </c>
      <c r="F58" s="2"/>
      <c r="G58" s="2"/>
      <c r="H58" s="99"/>
      <c r="I58" s="2"/>
    </row>
    <row r="59" spans="1:12">
      <c r="A59" s="2"/>
      <c r="B59" s="1344">
        <f t="shared" si="1"/>
        <v>12</v>
      </c>
      <c r="C59" s="1440" t="s">
        <v>955</v>
      </c>
      <c r="D59" s="2"/>
      <c r="E59" s="1443">
        <v>103454099</v>
      </c>
      <c r="F59" s="2"/>
      <c r="G59" s="2"/>
      <c r="H59" s="99"/>
      <c r="I59" s="2"/>
    </row>
    <row r="60" spans="1:12">
      <c r="A60" s="2"/>
      <c r="B60" s="1344">
        <f>+B59+1</f>
        <v>13</v>
      </c>
      <c r="C60" s="1440" t="s">
        <v>169</v>
      </c>
      <c r="D60" s="2"/>
      <c r="E60" s="1443">
        <v>879365</v>
      </c>
      <c r="F60" s="2"/>
      <c r="G60" s="2"/>
    </row>
    <row r="61" spans="1:12">
      <c r="A61" s="2"/>
      <c r="B61" s="1344">
        <f t="shared" si="1"/>
        <v>14</v>
      </c>
      <c r="C61" s="1447" t="s">
        <v>1180</v>
      </c>
      <c r="D61" s="2"/>
      <c r="E61" s="1443">
        <v>181201019</v>
      </c>
      <c r="F61" s="2"/>
      <c r="G61" s="2"/>
      <c r="L61">
        <v>14291821</v>
      </c>
    </row>
    <row r="62" spans="1:12">
      <c r="A62" s="2"/>
      <c r="B62" s="1344">
        <f t="shared" si="1"/>
        <v>15</v>
      </c>
      <c r="C62" s="1447"/>
      <c r="D62" s="2"/>
      <c r="E62" s="1443"/>
      <c r="F62" s="2"/>
      <c r="G62" s="2"/>
      <c r="L62">
        <v>12</v>
      </c>
    </row>
    <row r="63" spans="1:12">
      <c r="A63" s="2"/>
      <c r="B63" s="1344">
        <f t="shared" si="1"/>
        <v>16</v>
      </c>
      <c r="C63" s="1447"/>
      <c r="D63" s="2"/>
      <c r="E63" s="1443"/>
      <c r="F63" s="2"/>
      <c r="G63" s="2"/>
      <c r="L63" s="486">
        <f>L61/L62</f>
        <v>1190985.0833333333</v>
      </c>
    </row>
    <row r="64" spans="1:12">
      <c r="A64" s="2"/>
      <c r="B64" s="1344">
        <f t="shared" si="1"/>
        <v>17</v>
      </c>
      <c r="C64" s="1447"/>
      <c r="D64" s="2"/>
      <c r="E64" s="1443"/>
      <c r="F64" s="2"/>
      <c r="G64" s="2"/>
    </row>
    <row r="65" spans="1:19">
      <c r="A65" s="2"/>
      <c r="B65" s="1344">
        <f>B64+1</f>
        <v>18</v>
      </c>
      <c r="C65" s="1447"/>
      <c r="D65" s="2"/>
      <c r="E65" s="1443"/>
      <c r="F65" s="2"/>
      <c r="G65" s="2"/>
    </row>
    <row r="66" spans="1:19">
      <c r="A66" s="2"/>
      <c r="B66" s="1344">
        <f>B65+1</f>
        <v>19</v>
      </c>
      <c r="C66" s="1447"/>
      <c r="D66" s="2"/>
      <c r="E66" s="1443"/>
      <c r="F66" s="2"/>
      <c r="G66" s="2"/>
    </row>
    <row r="67" spans="1:19">
      <c r="A67" s="2"/>
      <c r="B67" s="1344">
        <f>B66+1</f>
        <v>20</v>
      </c>
      <c r="C67" s="1447"/>
      <c r="D67" s="2"/>
      <c r="E67" s="1443"/>
      <c r="F67" s="2"/>
      <c r="G67" s="104"/>
      <c r="H67" s="97"/>
      <c r="I67" s="97"/>
      <c r="J67" s="1792"/>
    </row>
    <row r="68" spans="1:19">
      <c r="A68" s="2"/>
      <c r="B68" s="1344">
        <f>B67+1</f>
        <v>21</v>
      </c>
      <c r="C68" s="1441"/>
      <c r="D68" s="2"/>
      <c r="E68" s="1443"/>
      <c r="F68" s="2"/>
      <c r="G68" s="146"/>
      <c r="H68" s="97"/>
      <c r="I68" s="97"/>
      <c r="J68" s="1984"/>
      <c r="K68" s="1984"/>
      <c r="L68" s="1984"/>
      <c r="M68" s="1984"/>
      <c r="N68" s="1984"/>
      <c r="O68" s="1984"/>
      <c r="P68" s="1984"/>
      <c r="Q68" s="1984"/>
      <c r="R68" s="1984"/>
      <c r="S68" s="1984"/>
    </row>
    <row r="69" spans="1:19">
      <c r="A69" s="2"/>
      <c r="B69" s="2"/>
      <c r="C69" s="2"/>
      <c r="D69" s="2"/>
      <c r="F69" s="2"/>
      <c r="G69" s="146"/>
      <c r="H69" s="97"/>
      <c r="I69" s="97"/>
      <c r="J69" s="1984"/>
      <c r="K69" s="1984"/>
      <c r="L69" s="1984"/>
      <c r="M69" s="1984"/>
      <c r="N69" s="1984"/>
      <c r="O69" s="1984"/>
      <c r="P69" s="1984"/>
      <c r="Q69" s="1984"/>
      <c r="R69" s="1984"/>
      <c r="S69" s="1984"/>
    </row>
    <row r="70" spans="1:19">
      <c r="A70" s="2"/>
      <c r="B70" s="2">
        <f>B68+1</f>
        <v>22</v>
      </c>
      <c r="C70" s="104" t="s">
        <v>878</v>
      </c>
      <c r="D70" s="2"/>
      <c r="E70" s="1545">
        <f>SUM(E56:E68)+E50+E49+E43+E31+E20</f>
        <v>448280187</v>
      </c>
      <c r="F70" s="2"/>
      <c r="G70" s="1546"/>
      <c r="H70" s="97"/>
      <c r="I70" s="97"/>
      <c r="J70" s="1979"/>
      <c r="K70" s="1979"/>
      <c r="L70" s="2"/>
    </row>
    <row r="71" spans="1:19">
      <c r="A71" s="2"/>
      <c r="B71" s="2"/>
      <c r="C71" s="1158"/>
      <c r="D71" s="2"/>
      <c r="E71" s="122"/>
      <c r="F71" s="125"/>
      <c r="G71" s="146"/>
      <c r="H71" s="97"/>
      <c r="I71" s="97"/>
      <c r="J71" s="1979"/>
      <c r="K71" s="1979"/>
      <c r="L71" s="2"/>
    </row>
    <row r="72" spans="1:19">
      <c r="A72" s="2"/>
      <c r="B72" s="2">
        <f>+B70+1</f>
        <v>23</v>
      </c>
      <c r="C72" s="1158" t="s">
        <v>883</v>
      </c>
      <c r="D72" s="1211"/>
      <c r="E72" s="1572">
        <v>407278222</v>
      </c>
      <c r="F72" s="1664"/>
      <c r="G72" s="1834"/>
      <c r="H72" s="121"/>
      <c r="I72" s="97"/>
      <c r="J72" s="1979"/>
      <c r="K72" s="1979"/>
      <c r="L72" s="2"/>
    </row>
    <row r="73" spans="1:19">
      <c r="A73" s="2"/>
      <c r="B73" s="2"/>
      <c r="C73" s="107"/>
      <c r="D73" s="107"/>
      <c r="E73" s="124"/>
      <c r="F73" s="120"/>
      <c r="G73" s="120"/>
      <c r="H73" s="121"/>
      <c r="I73" s="97"/>
      <c r="J73" s="97"/>
      <c r="K73" s="2"/>
      <c r="L73" s="2"/>
    </row>
    <row r="74" spans="1:19">
      <c r="B74">
        <f>+B72+1</f>
        <v>24</v>
      </c>
      <c r="C74" s="107" t="s">
        <v>721</v>
      </c>
      <c r="D74" s="151"/>
      <c r="E74" s="123">
        <f>+E70-E72</f>
        <v>41001965</v>
      </c>
      <c r="F74" s="120"/>
      <c r="G74" s="120"/>
      <c r="H74" s="121"/>
      <c r="I74" s="97"/>
      <c r="J74" s="97"/>
    </row>
    <row r="75" spans="1:19">
      <c r="C75" s="107"/>
      <c r="D75" s="151"/>
      <c r="E75" s="123"/>
      <c r="F75" s="120"/>
      <c r="G75" s="120"/>
      <c r="H75" s="121"/>
    </row>
    <row r="76" spans="1:19">
      <c r="B76" s="2" t="s">
        <v>871</v>
      </c>
      <c r="C76" s="84"/>
      <c r="D76" s="2"/>
      <c r="E76" s="108"/>
      <c r="F76" s="109"/>
      <c r="G76" s="109"/>
      <c r="H76" s="109"/>
    </row>
    <row r="77" spans="1:19">
      <c r="B77" s="2" t="s">
        <v>762</v>
      </c>
      <c r="C77" s="84" t="s">
        <v>722</v>
      </c>
      <c r="D77" s="2"/>
      <c r="E77" s="108"/>
      <c r="F77" s="109"/>
      <c r="G77" s="109"/>
      <c r="H77" s="109"/>
    </row>
    <row r="78" spans="1:19">
      <c r="B78" s="2"/>
      <c r="C78" s="126" t="s">
        <v>583</v>
      </c>
      <c r="D78" s="2"/>
      <c r="E78" s="108"/>
      <c r="F78" s="2"/>
      <c r="G78" s="109"/>
      <c r="H78" s="109"/>
    </row>
    <row r="79" spans="1:19">
      <c r="B79" s="2" t="s">
        <v>852</v>
      </c>
      <c r="C79" s="84" t="s">
        <v>723</v>
      </c>
      <c r="D79" s="2"/>
      <c r="E79" s="108"/>
      <c r="F79" s="2"/>
      <c r="G79" s="109"/>
      <c r="H79" s="109"/>
    </row>
    <row r="80" spans="1:19">
      <c r="B80" s="2"/>
      <c r="C80" s="126" t="s">
        <v>583</v>
      </c>
      <c r="D80" s="2"/>
      <c r="E80" s="108"/>
      <c r="F80" s="2"/>
      <c r="G80" s="109"/>
      <c r="H80" s="109"/>
    </row>
    <row r="81" spans="2:8">
      <c r="B81" s="2" t="s">
        <v>743</v>
      </c>
      <c r="C81" s="84" t="s">
        <v>582</v>
      </c>
      <c r="D81" s="2"/>
      <c r="E81" s="108"/>
      <c r="F81" s="2"/>
      <c r="G81" s="109"/>
      <c r="H81" s="109"/>
    </row>
    <row r="82" spans="2:8">
      <c r="B82" s="2" t="s">
        <v>763</v>
      </c>
      <c r="C82" s="126" t="s">
        <v>918</v>
      </c>
      <c r="D82" s="2"/>
      <c r="E82" s="108"/>
      <c r="F82" s="2"/>
      <c r="G82" s="109"/>
      <c r="H82" s="109"/>
    </row>
    <row r="83" spans="2:8">
      <c r="B83" s="2"/>
      <c r="C83" s="84" t="s">
        <v>919</v>
      </c>
      <c r="D83" s="2"/>
      <c r="E83" s="108"/>
      <c r="F83" s="2"/>
      <c r="G83" s="2"/>
      <c r="H83" s="2"/>
    </row>
    <row r="84" spans="2:8">
      <c r="B84" s="2"/>
      <c r="C84" s="2" t="s">
        <v>920</v>
      </c>
    </row>
    <row r="85" spans="2:8">
      <c r="B85" s="176" t="s">
        <v>761</v>
      </c>
      <c r="C85" s="176" t="s">
        <v>181</v>
      </c>
      <c r="D85" s="176"/>
      <c r="E85" s="178"/>
      <c r="F85" s="176"/>
    </row>
    <row r="116" spans="2:5">
      <c r="B116" s="90"/>
      <c r="E116"/>
    </row>
  </sheetData>
  <customSheetViews>
    <customSheetView guid="{16940A0E-2B20-4241-BF05-A4686E5A0274}" scale="75" fitToPage="1" showRuler="0" topLeftCell="A16">
      <selection activeCell="E60" sqref="E60"/>
      <pageMargins left="0.75" right="0.75" top="1" bottom="1" header="0.5" footer="0.5"/>
      <pageSetup scale="48" orientation="portrait" r:id="rId1"/>
      <headerFooter alignWithMargins="0">
        <oddHeader>&amp;R&amp;12Page &amp;P of &amp;N</oddHeader>
      </headerFooter>
    </customSheetView>
    <customSheetView guid="{44504B44-F20F-4B6F-B585-74D55BA74563}" scale="75" showPageBreaks="1" fitToPage="1" showRuler="0" topLeftCell="A25">
      <selection activeCell="E60" sqref="E60"/>
      <pageMargins left="0.75" right="0.75" top="1" bottom="1" header="0.5" footer="0.5"/>
      <pageSetup scale="48" orientation="portrait" r:id="rId2"/>
      <headerFooter alignWithMargins="0">
        <oddHeader>&amp;R&amp;12Page &amp;P of &amp;N</oddHeader>
      </headerFooter>
    </customSheetView>
    <customSheetView guid="{FAAD9AAC-1337-43AB-BF1F-CCF9DFCF5B78}" scale="75" fitToPage="1" showRuler="0" topLeftCell="A60">
      <selection activeCell="B97" sqref="B97"/>
      <pageMargins left="0.75" right="0.75" top="1" bottom="1" header="0.5" footer="0.5"/>
      <pageSetup scale="66" orientation="portrait" r:id="rId3"/>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4"/>
      <headerFooter alignWithMargins="0">
        <oddHeader>&amp;R&amp;14Page &amp;P of &amp;N</oddHeader>
      </headerFooter>
    </customSheetView>
    <customSheetView guid="{28948E05-8F34-4F1E-96FB-A80A6A844600}" scale="75" showPageBreaks="1" fitToPage="1" showRuler="0">
      <selection activeCell="C59" sqref="C59"/>
      <pageMargins left="0.75" right="0.75" top="1" bottom="1" header="0.5" footer="0.5"/>
      <pageSetup scale="68" orientation="portrait" r:id="rId5"/>
      <headerFooter alignWithMargins="0">
        <oddHeader>&amp;R&amp;12Page &amp;P of &amp;N</oddHeader>
      </headerFooter>
    </customSheetView>
    <customSheetView guid="{B647CB7F-C846-4278-B6B1-1EF7F3C004F5}" scale="75" fitToPage="1" showRuler="0" topLeftCell="A52">
      <selection activeCell="C62" sqref="C62"/>
      <pageMargins left="0.75" right="0.75" top="1" bottom="1" header="0.5" footer="0.5"/>
      <pageSetup scale="68" orientation="portrait" r:id="rId6"/>
      <headerFooter alignWithMargins="0">
        <oddHeader>&amp;R&amp;12Page &amp;P of &amp;N</oddHeader>
      </headerFooter>
    </customSheetView>
    <customSheetView guid="{63011E91-4609-4523-98FE-FD252E915668}" scale="60" showPageBreaks="1" fitToPage="1" printArea="1" view="pageBreakPreview" showRuler="0" topLeftCell="A40">
      <selection activeCell="J74" sqref="J74"/>
      <pageMargins left="0.75" right="0.75" top="1" bottom="1" header="0.5" footer="0.5"/>
      <pageSetup scale="66"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66" orientation="portrait" r:id="rId8"/>
      <headerFooter alignWithMargins="0">
        <oddHeader>&amp;R&amp;12Page &amp;P of &amp;N</oddHeader>
      </headerFooter>
    </customSheetView>
    <customSheetView guid="{1155D18F-BFDD-426B-8E78-817CEB25FB23}" scale="75" showPageBreaks="1" fitToPage="1" showRuler="0" topLeftCell="A32">
      <selection activeCell="E62" sqref="E62"/>
      <pageMargins left="0.75" right="0.75" top="1" bottom="1" header="0.5" footer="0.5"/>
      <pageSetup scale="66" orientation="portrait" r:id="rId9"/>
      <headerFooter alignWithMargins="0">
        <oddHeader>&amp;R&amp;12Page &amp;P of &amp;N</oddHeader>
      </headerFooter>
    </customSheetView>
  </customSheetViews>
  <mergeCells count="7">
    <mergeCell ref="J70:K70"/>
    <mergeCell ref="J71:K71"/>
    <mergeCell ref="J72:K72"/>
    <mergeCell ref="A1:H1"/>
    <mergeCell ref="A3:H3"/>
    <mergeCell ref="H14:H15"/>
    <mergeCell ref="J68:S69"/>
  </mergeCells>
  <phoneticPr fontId="0" type="noConversion"/>
  <pageMargins left="0.17" right="0.17" top="1" bottom="1" header="0.5" footer="0.5"/>
  <pageSetup scale="60" orientation="portrait" r:id="rId10"/>
  <headerFooter alignWithMargins="0"/>
  <rowBreaks count="2" manualBreakCount="2">
    <brk id="171" max="16383" man="1"/>
    <brk id="2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36"/>
  <sheetViews>
    <sheetView zoomScale="75" zoomScaleNormal="75" workbookViewId="0">
      <selection activeCell="K11" sqref="K11:K14"/>
    </sheetView>
  </sheetViews>
  <sheetFormatPr defaultRowHeight="12.75"/>
  <cols>
    <col min="1" max="1" width="7.42578125" style="81" customWidth="1"/>
    <col min="2" max="2" width="86.7109375" customWidth="1"/>
    <col min="3" max="3" width="15.7109375" customWidth="1"/>
    <col min="4" max="4" width="15.140625" style="114" customWidth="1"/>
    <col min="5" max="5" width="2.85546875" customWidth="1"/>
    <col min="6" max="6" width="14.5703125" customWidth="1"/>
    <col min="7" max="7" width="13.5703125" customWidth="1"/>
    <col min="8" max="8" width="16.7109375" customWidth="1"/>
    <col min="9" max="9" width="12.28515625" bestFit="1" customWidth="1"/>
    <col min="11" max="11" width="14.42578125" customWidth="1"/>
  </cols>
  <sheetData>
    <row r="1" spans="1:11" ht="18">
      <c r="A1" s="1976" t="str">
        <f>+'ATT H-1 '!A3</f>
        <v xml:space="preserve">Puget Sound Energy </v>
      </c>
      <c r="B1" s="1976"/>
      <c r="C1" s="1976"/>
      <c r="D1" s="1976"/>
      <c r="E1" s="2"/>
    </row>
    <row r="2" spans="1:11">
      <c r="A2" s="152"/>
      <c r="E2" s="2"/>
    </row>
    <row r="3" spans="1:11" ht="15.75">
      <c r="A3" s="1980" t="s">
        <v>731</v>
      </c>
      <c r="B3" s="1981"/>
      <c r="C3" s="1981"/>
      <c r="D3" s="1981"/>
      <c r="E3" s="2"/>
    </row>
    <row r="4" spans="1:11" ht="25.5">
      <c r="B4" s="53"/>
      <c r="C4" s="81"/>
      <c r="D4" s="542" t="s">
        <v>474</v>
      </c>
      <c r="E4" s="542"/>
      <c r="F4" s="542" t="s">
        <v>979</v>
      </c>
      <c r="G4" s="542" t="s">
        <v>437</v>
      </c>
      <c r="H4" s="542" t="s">
        <v>438</v>
      </c>
    </row>
    <row r="5" spans="1:11">
      <c r="B5" s="1212"/>
      <c r="C5" s="174"/>
      <c r="D5" s="116"/>
      <c r="E5" s="174"/>
      <c r="F5" s="2"/>
      <c r="G5" s="2"/>
      <c r="H5" s="2"/>
      <c r="I5" s="2"/>
    </row>
    <row r="6" spans="1:11">
      <c r="A6"/>
      <c r="B6" s="1213" t="s">
        <v>660</v>
      </c>
      <c r="C6" s="2"/>
      <c r="D6" s="116"/>
      <c r="E6" s="2"/>
      <c r="F6" s="2"/>
      <c r="G6" s="2"/>
      <c r="H6" s="2"/>
      <c r="I6" s="2"/>
    </row>
    <row r="7" spans="1:11">
      <c r="A7" s="97">
        <v>1</v>
      </c>
      <c r="B7" s="538" t="s">
        <v>177</v>
      </c>
      <c r="C7" s="112"/>
      <c r="D7" s="448">
        <f>+F7+G7+H7</f>
        <v>4079041.6928256615</v>
      </c>
      <c r="E7" s="182"/>
      <c r="F7" s="1464">
        <f>'WKSHT1 - Rev Credits'!D6</f>
        <v>4079041.6928256615</v>
      </c>
      <c r="G7" s="1464">
        <v>0</v>
      </c>
      <c r="H7" s="1464">
        <v>0</v>
      </c>
      <c r="I7" s="2"/>
    </row>
    <row r="8" spans="1:11">
      <c r="A8" s="97">
        <v>2</v>
      </c>
      <c r="B8" s="185" t="s">
        <v>590</v>
      </c>
      <c r="C8" s="112"/>
      <c r="D8" s="125">
        <f>+F8+G8+H8</f>
        <v>17170.696624261524</v>
      </c>
      <c r="E8" s="182"/>
      <c r="F8" s="1465">
        <f>'WKSHT1 - Rev Credits'!D8</f>
        <v>16245.775314635075</v>
      </c>
      <c r="G8" s="1466">
        <f>'WKSHT1 - Rev Credits'!E8</f>
        <v>324.28118209204331</v>
      </c>
      <c r="H8" s="1466">
        <f>'WKSHT1 - Rev Credits'!F8</f>
        <v>600.64012753440318</v>
      </c>
      <c r="I8" s="2"/>
    </row>
    <row r="9" spans="1:11">
      <c r="A9" s="97">
        <v>3</v>
      </c>
      <c r="B9" s="185" t="s">
        <v>178</v>
      </c>
      <c r="C9" s="112"/>
      <c r="D9" s="1088">
        <f>+F9+G9+H9</f>
        <v>1035611.6322548641</v>
      </c>
      <c r="E9" s="1087"/>
      <c r="F9" s="1467">
        <f>'WKSHT1 - Rev Credits'!D9</f>
        <v>979827.10072827863</v>
      </c>
      <c r="G9" s="1466">
        <f>'WKSHT1 - Rev Credits'!E9</f>
        <v>19558.284188736063</v>
      </c>
      <c r="H9" s="1466">
        <f>'WKSHT1 - Rev Credits'!F9</f>
        <v>36226.247337849367</v>
      </c>
      <c r="I9" s="2"/>
    </row>
    <row r="10" spans="1:11" s="111" customFormat="1">
      <c r="A10" s="113">
        <v>4</v>
      </c>
      <c r="B10" s="112" t="s">
        <v>661</v>
      </c>
      <c r="C10" s="84" t="s">
        <v>179</v>
      </c>
      <c r="D10" s="1086">
        <f>SUM(D7:D9)</f>
        <v>5131824.0217047874</v>
      </c>
      <c r="E10" s="173"/>
      <c r="F10" s="1086">
        <f>SUM(F7:F9)</f>
        <v>5075114.5688685756</v>
      </c>
      <c r="G10" s="447">
        <f>SUM(G7:G9)</f>
        <v>19882.565370828106</v>
      </c>
      <c r="H10" s="447">
        <f>SUM(H7:H9)</f>
        <v>36826.88746538377</v>
      </c>
      <c r="I10" s="448"/>
    </row>
    <row r="11" spans="1:11">
      <c r="A11"/>
      <c r="B11" s="149"/>
      <c r="C11" s="149"/>
      <c r="D11" s="115"/>
      <c r="E11" s="2"/>
      <c r="F11" s="2"/>
      <c r="G11" s="2"/>
      <c r="H11" s="2"/>
      <c r="I11" s="2"/>
    </row>
    <row r="12" spans="1:11">
      <c r="A12" s="2"/>
      <c r="B12" s="1213" t="s">
        <v>408</v>
      </c>
      <c r="C12" s="149"/>
      <c r="D12" s="116"/>
      <c r="E12" s="2"/>
      <c r="F12" s="2"/>
      <c r="G12" s="2"/>
      <c r="H12" s="2"/>
      <c r="I12" s="2"/>
      <c r="K12" s="428"/>
    </row>
    <row r="13" spans="1:11">
      <c r="A13" s="2">
        <v>5</v>
      </c>
      <c r="B13" s="126" t="s">
        <v>599</v>
      </c>
      <c r="C13" s="149"/>
      <c r="D13" s="448">
        <f>+F13+G13+H13</f>
        <v>0</v>
      </c>
      <c r="E13" s="2"/>
      <c r="F13" s="1630">
        <f>'WKSHT1 - Rev Credits'!D20</f>
        <v>0</v>
      </c>
      <c r="G13" s="1630">
        <f>'WKSHT1 - Rev Credits'!E20</f>
        <v>0</v>
      </c>
      <c r="H13" s="1630">
        <f>'WKSHT1 - Rev Credits'!F20</f>
        <v>0</v>
      </c>
      <c r="I13" s="448"/>
      <c r="K13" s="445"/>
    </row>
    <row r="14" spans="1:11">
      <c r="A14" s="2">
        <v>6</v>
      </c>
      <c r="B14" s="126" t="s">
        <v>729</v>
      </c>
      <c r="C14" s="179"/>
      <c r="D14" s="449">
        <v>0</v>
      </c>
      <c r="E14" s="84"/>
      <c r="F14" s="1344"/>
      <c r="G14" s="1344"/>
      <c r="H14" s="1344"/>
      <c r="I14" s="2"/>
    </row>
    <row r="15" spans="1:11" ht="25.5">
      <c r="A15" s="166">
        <v>7</v>
      </c>
      <c r="B15" s="179" t="s">
        <v>730</v>
      </c>
      <c r="C15" s="179"/>
      <c r="D15" s="449">
        <v>0</v>
      </c>
      <c r="E15" s="2"/>
      <c r="F15" s="1344"/>
      <c r="G15" s="1344"/>
      <c r="H15" s="1344"/>
      <c r="I15" s="2"/>
    </row>
    <row r="16" spans="1:11" ht="25.5">
      <c r="A16" s="2">
        <v>8</v>
      </c>
      <c r="B16" s="650" t="s">
        <v>733</v>
      </c>
      <c r="C16" s="179"/>
      <c r="D16" s="450">
        <f>F16+G16+H16</f>
        <v>2682974</v>
      </c>
      <c r="E16" s="109"/>
      <c r="F16" s="1465">
        <f>'WKSHT1 - Rev Credits'!K150</f>
        <v>1628482</v>
      </c>
      <c r="G16" s="1504">
        <f>'WKSHT1 - Rev Credits'!K151</f>
        <v>0</v>
      </c>
      <c r="H16" s="1504">
        <f>'WKSHT1 - Rev Credits'!K152</f>
        <v>1054492</v>
      </c>
      <c r="I16" s="2"/>
    </row>
    <row r="17" spans="1:9">
      <c r="A17" s="166">
        <v>9</v>
      </c>
      <c r="B17" s="650" t="s">
        <v>575</v>
      </c>
      <c r="C17" s="179"/>
      <c r="D17" s="450">
        <f>+F17+G17+H17</f>
        <v>70837638</v>
      </c>
      <c r="E17" s="109"/>
      <c r="F17" s="1465">
        <v>70760478</v>
      </c>
      <c r="G17" s="1504"/>
      <c r="H17" s="1504">
        <v>77160</v>
      </c>
      <c r="I17" s="448"/>
    </row>
    <row r="18" spans="1:9">
      <c r="A18" s="2">
        <v>10</v>
      </c>
      <c r="B18" s="650" t="s">
        <v>732</v>
      </c>
      <c r="C18" s="179"/>
      <c r="D18" s="450">
        <f>+F18+G18+H18</f>
        <v>0</v>
      </c>
      <c r="E18" s="109"/>
      <c r="F18" s="2"/>
      <c r="G18" s="2"/>
      <c r="H18" s="2"/>
      <c r="I18" s="2"/>
    </row>
    <row r="19" spans="1:9">
      <c r="A19" s="166">
        <v>11</v>
      </c>
      <c r="B19" s="649" t="s">
        <v>932</v>
      </c>
      <c r="C19" s="179"/>
      <c r="D19" s="450">
        <f>+F19+G19+H19</f>
        <v>0</v>
      </c>
      <c r="E19" s="109"/>
      <c r="F19" s="2"/>
      <c r="G19" s="2"/>
      <c r="H19" s="2"/>
      <c r="I19" s="2"/>
    </row>
    <row r="20" spans="1:9" ht="25.5">
      <c r="B20" s="649" t="s">
        <v>933</v>
      </c>
      <c r="C20" s="84"/>
      <c r="D20" s="450">
        <f>+F20+G20+H20</f>
        <v>0</v>
      </c>
      <c r="E20" s="2"/>
      <c r="F20" s="2"/>
      <c r="G20" s="2"/>
      <c r="H20" s="2"/>
      <c r="I20" s="2"/>
    </row>
    <row r="21" spans="1:9">
      <c r="B21" s="649"/>
      <c r="C21" s="84"/>
      <c r="D21" s="449"/>
      <c r="E21" s="2"/>
      <c r="F21" s="2"/>
      <c r="G21" s="2"/>
      <c r="H21" s="2"/>
      <c r="I21" s="2"/>
    </row>
    <row r="22" spans="1:9" ht="13.5" thickBot="1">
      <c r="A22" s="166">
        <v>12</v>
      </c>
      <c r="B22" s="149" t="s">
        <v>725</v>
      </c>
      <c r="C22" s="84" t="s">
        <v>923</v>
      </c>
      <c r="D22" s="541">
        <f>SUM(D13:D18)+D10</f>
        <v>78652436.021704793</v>
      </c>
      <c r="E22" s="1085"/>
      <c r="F22" s="541">
        <f>SUM(F13:F18)+F10</f>
        <v>77464074.568868577</v>
      </c>
      <c r="G22" s="541">
        <f>SUM(G13:G18)+G10</f>
        <v>19882.565370828106</v>
      </c>
      <c r="H22" s="541">
        <f>SUM(H13:H18)+H10</f>
        <v>1168478.8874653839</v>
      </c>
      <c r="I22" s="448"/>
    </row>
    <row r="23" spans="1:9" ht="13.5" thickTop="1">
      <c r="A23"/>
      <c r="B23" s="149"/>
      <c r="C23" s="2"/>
      <c r="D23" s="116"/>
      <c r="E23" s="2"/>
      <c r="F23" s="2"/>
      <c r="G23" s="2"/>
      <c r="H23" s="2"/>
      <c r="I23" s="2"/>
    </row>
    <row r="24" spans="1:9">
      <c r="A24"/>
      <c r="B24" s="149"/>
      <c r="C24" s="2"/>
      <c r="D24" s="116"/>
      <c r="E24" s="2"/>
      <c r="F24" s="2"/>
      <c r="G24" s="2"/>
      <c r="H24" s="2"/>
      <c r="I24" s="2"/>
    </row>
    <row r="25" spans="1:9">
      <c r="A25"/>
      <c r="B25" s="1214"/>
      <c r="C25" s="2"/>
      <c r="D25" s="117"/>
      <c r="E25" s="2"/>
      <c r="F25" s="2"/>
      <c r="G25" s="2"/>
      <c r="H25" s="2"/>
      <c r="I25" s="2"/>
    </row>
    <row r="26" spans="1:9">
      <c r="A26" s="166"/>
      <c r="B26" s="648"/>
      <c r="C26" s="650"/>
      <c r="D26" s="116"/>
      <c r="E26" s="125"/>
      <c r="F26" s="2"/>
      <c r="G26" s="2"/>
      <c r="H26" s="2"/>
      <c r="I26" s="2"/>
    </row>
    <row r="27" spans="1:9">
      <c r="A27" s="155"/>
      <c r="B27" s="149"/>
      <c r="C27" s="2"/>
      <c r="D27" s="116"/>
      <c r="E27" s="2"/>
      <c r="F27" s="2"/>
      <c r="G27" s="2"/>
      <c r="H27" s="2"/>
      <c r="I27" s="2"/>
    </row>
    <row r="28" spans="1:9" ht="51">
      <c r="A28" s="155">
        <f>+A26+1</f>
        <v>1</v>
      </c>
      <c r="B28" s="649" t="s">
        <v>82</v>
      </c>
      <c r="C28" s="2"/>
      <c r="D28" s="86"/>
      <c r="E28" s="2"/>
    </row>
    <row r="29" spans="1:9">
      <c r="A29" s="155"/>
      <c r="B29" s="149"/>
      <c r="C29" s="2"/>
      <c r="E29" s="2"/>
    </row>
    <row r="30" spans="1:9" ht="38.25">
      <c r="A30" s="155">
        <f>+A28+1</f>
        <v>2</v>
      </c>
      <c r="B30" s="649" t="s">
        <v>83</v>
      </c>
      <c r="C30" s="2"/>
      <c r="D30" s="175"/>
      <c r="E30" s="175"/>
    </row>
    <row r="31" spans="1:9">
      <c r="B31" s="84"/>
      <c r="C31" s="2"/>
      <c r="E31" s="2"/>
    </row>
    <row r="32" spans="1:9">
      <c r="A32" s="122">
        <v>3</v>
      </c>
      <c r="B32" s="176" t="s">
        <v>690</v>
      </c>
      <c r="C32" s="2"/>
      <c r="E32" s="2"/>
    </row>
    <row r="33" spans="1:9">
      <c r="A33" s="174"/>
      <c r="B33" s="176"/>
      <c r="E33" s="2"/>
    </row>
    <row r="34" spans="1:9">
      <c r="A34" s="174"/>
      <c r="E34" s="2"/>
    </row>
    <row r="35" spans="1:9">
      <c r="A35" s="180"/>
      <c r="B35" s="2"/>
      <c r="G35" s="2"/>
    </row>
    <row r="36" spans="1:9">
      <c r="A36" s="180"/>
      <c r="B36" s="2"/>
      <c r="I36" s="445"/>
    </row>
  </sheetData>
  <customSheetViews>
    <customSheetView guid="{16940A0E-2B20-4241-BF05-A4686E5A0274}" scale="75" fitToPage="1" showRuler="0">
      <selection activeCell="D15" sqref="D15"/>
      <pageMargins left="0.5" right="0.5" top="1" bottom="1" header="0.5" footer="0.5"/>
      <printOptions horizontalCentered="1"/>
      <pageSetup scale="66" orientation="portrait" r:id="rId1"/>
      <headerFooter alignWithMargins="0">
        <oddHeader>&amp;R&amp;12Page &amp;P of &amp;N</oddHeader>
      </headerFooter>
    </customSheetView>
    <customSheetView guid="{44504B44-F20F-4B6F-B585-74D55BA74563}" scale="75" showPageBreaks="1" fitToPage="1" printArea="1" showRuler="0">
      <selection activeCell="D15" sqref="D15"/>
      <pageMargins left="0.5" right="0.5" top="1" bottom="1" header="0.5" footer="0.5"/>
      <printOptions horizontalCentered="1"/>
      <pageSetup scale="66" orientation="portrait" r:id="rId2"/>
      <headerFooter alignWithMargins="0">
        <oddHeader>&amp;R&amp;12Page &amp;P of &amp;N</oddHeader>
      </headerFooter>
    </customSheetView>
    <customSheetView guid="{FAAD9AAC-1337-43AB-BF1F-CCF9DFCF5B78}" scale="75" showPageBreaks="1" fitToPage="1" printArea="1" showRuler="0">
      <selection activeCell="B46" sqref="B46"/>
      <pageMargins left="0.5" right="0.5" top="1" bottom="1" header="0.5" footer="0.5"/>
      <printOptions horizontalCentered="1"/>
      <pageSetup scale="64" orientation="portrait" r:id="rId3"/>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4"/>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4" orientation="portrait" r:id="rId5"/>
      <headerFooter alignWithMargins="0">
        <oddHeader>&amp;R&amp;12Page &amp;P of &amp;N</oddHeader>
      </headerFooter>
    </customSheetView>
    <customSheetView guid="{B647CB7F-C846-4278-B6B1-1EF7F3C004F5}" scale="75" showPageBreaks="1" fitToPage="1" printArea="1" showRuler="0" topLeftCell="A26">
      <selection activeCell="C29" sqref="C29"/>
      <pageMargins left="0.5" right="0.5" top="1" bottom="1" header="0.5" footer="0.5"/>
      <printOptions horizontalCentered="1"/>
      <pageSetup scale="66" orientation="portrait" r:id="rId6"/>
      <headerFooter alignWithMargins="0">
        <oddHeader>&amp;R&amp;12Page &amp;P of &amp;N</oddHeader>
      </headerFooter>
    </customSheetView>
    <customSheetView guid="{63011E91-4609-4523-98FE-FD252E915668}" scale="60" showPageBreaks="1" fitToPage="1" printArea="1" view="pageBreakPreview" showRuler="0" topLeftCell="A43">
      <selection activeCell="C29" sqref="C29"/>
      <pageMargins left="0.5" right="0.5" top="1" bottom="1" header="0.5" footer="0.5"/>
      <printOptions horizontalCentered="1"/>
      <pageSetup scale="64"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6" orientation="portrait" r:id="rId8"/>
      <headerFooter alignWithMargins="0">
        <oddHeader>&amp;R&amp;12Page &amp;P of &amp;N</oddHeader>
      </headerFooter>
    </customSheetView>
    <customSheetView guid="{1155D18F-BFDD-426B-8E78-817CEB25FB23}" scale="75" showPageBreaks="1" fitToPage="1" printArea="1" showRuler="0" topLeftCell="A28">
      <selection activeCell="D41" sqref="D41"/>
      <pageMargins left="0.5" right="0.5" top="1" bottom="1" header="0.5" footer="0.5"/>
      <printOptions horizontalCentered="1"/>
      <pageSetup scale="66" orientation="portrait" r:id="rId9"/>
      <headerFooter alignWithMargins="0">
        <oddHeader>&amp;R&amp;12Page &amp;P of &amp;N</oddHeader>
      </headerFooter>
    </customSheetView>
  </customSheetViews>
  <mergeCells count="2">
    <mergeCell ref="A3:D3"/>
    <mergeCell ref="A1:D1"/>
  </mergeCells>
  <phoneticPr fontId="0" type="noConversion"/>
  <printOptions horizontalCentered="1"/>
  <pageMargins left="0.5" right="0.5" top="1" bottom="1" header="0.5" footer="0.5"/>
  <pageSetup scale="70" orientation="landscape" r:id="rId10"/>
  <headerFooter alignWithMargins="0"/>
  <rowBreaks count="2" manualBreakCount="2">
    <brk id="95" max="16383" man="1"/>
    <brk id="1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84"/>
  <sheetViews>
    <sheetView view="pageBreakPreview" zoomScale="66" zoomScaleNormal="65" zoomScaleSheetLayoutView="66" workbookViewId="0">
      <selection activeCell="J26" sqref="J26"/>
    </sheetView>
  </sheetViews>
  <sheetFormatPr defaultColWidth="9.140625" defaultRowHeight="12.75"/>
  <cols>
    <col min="1" max="1" width="9.42578125" style="309" bestFit="1" customWidth="1"/>
    <col min="2" max="2" width="3" style="309" customWidth="1"/>
    <col min="3" max="3" width="53.140625" style="309" customWidth="1"/>
    <col min="4" max="4" width="36.5703125" style="309" customWidth="1"/>
    <col min="5" max="5" width="36.140625" style="309" customWidth="1"/>
    <col min="6" max="6" width="3.85546875" style="309" customWidth="1"/>
    <col min="7" max="7" width="20.42578125" style="309" customWidth="1"/>
    <col min="8" max="16384" width="9.140625" style="309"/>
  </cols>
  <sheetData>
    <row r="1" spans="1:7" ht="18">
      <c r="A1" s="1976" t="str">
        <f>+'ATT H-1 '!A3</f>
        <v xml:space="preserve">Puget Sound Energy </v>
      </c>
      <c r="B1" s="1976"/>
      <c r="C1" s="1976"/>
      <c r="D1" s="1976"/>
      <c r="E1" s="1976"/>
      <c r="F1" s="1976"/>
      <c r="G1" s="1976"/>
    </row>
    <row r="2" spans="1:7">
      <c r="A2" s="152"/>
      <c r="B2"/>
      <c r="C2"/>
      <c r="D2" s="114"/>
    </row>
    <row r="3" spans="1:7" ht="15.75">
      <c r="A3" s="1980" t="s">
        <v>351</v>
      </c>
      <c r="B3" s="1980"/>
      <c r="C3" s="1980"/>
      <c r="D3" s="1980"/>
      <c r="E3" s="1980"/>
      <c r="F3" s="1980"/>
      <c r="G3" s="1980"/>
    </row>
    <row r="9" spans="1:7" s="252" customFormat="1" ht="15">
      <c r="A9" s="251" t="s">
        <v>762</v>
      </c>
      <c r="B9" s="251"/>
      <c r="C9" s="252" t="s">
        <v>600</v>
      </c>
      <c r="E9" s="252" t="str">
        <f>"Line "&amp;A29&amp;" + Line "&amp;A51&amp;""</f>
        <v>Line 12 + Line 23</v>
      </c>
      <c r="G9" s="253">
        <f>+G29+G51</f>
        <v>93873570.815880001</v>
      </c>
    </row>
    <row r="10" spans="1:7" s="252" customFormat="1" ht="15">
      <c r="A10" s="251"/>
      <c r="B10" s="251"/>
    </row>
    <row r="11" spans="1:7" s="252" customFormat="1" ht="15">
      <c r="A11" s="251" t="s">
        <v>852</v>
      </c>
      <c r="B11" s="251"/>
      <c r="C11" s="252" t="str">
        <f>G11*10000&amp;" Basis Point increase in ROE"</f>
        <v>100 Basis Point increase in ROE</v>
      </c>
      <c r="G11" s="254">
        <v>0.01</v>
      </c>
    </row>
    <row r="12" spans="1:7" s="252" customFormat="1" ht="15">
      <c r="A12" s="251"/>
      <c r="B12" s="251"/>
      <c r="G12" s="254"/>
    </row>
    <row r="13" spans="1:7" s="252" customFormat="1" ht="15.75">
      <c r="A13" s="332" t="s">
        <v>656</v>
      </c>
      <c r="B13" s="255"/>
      <c r="C13" s="255"/>
      <c r="D13" s="255"/>
      <c r="E13" s="255"/>
      <c r="F13" s="255"/>
      <c r="G13" s="255"/>
    </row>
    <row r="14" spans="1:7" s="252" customFormat="1" ht="15">
      <c r="A14" s="251">
        <v>1</v>
      </c>
      <c r="C14" s="256" t="s">
        <v>838</v>
      </c>
      <c r="E14" s="256" t="str">
        <f>"Attachment H-1, Line "&amp;'ATT H-1 '!A102&amp;""</f>
        <v>Attachment H-1, Line 59</v>
      </c>
      <c r="G14" s="253">
        <f>+'ATT H-1 '!H102</f>
        <v>1047123693.8834176</v>
      </c>
    </row>
    <row r="15" spans="1:7" s="252" customFormat="1" ht="15">
      <c r="F15" s="256"/>
      <c r="G15" s="257"/>
    </row>
    <row r="16" spans="1:7" s="252" customFormat="1" ht="15">
      <c r="A16" s="258">
        <f>A14+1</f>
        <v>2</v>
      </c>
      <c r="B16" s="258"/>
      <c r="C16" s="259" t="s">
        <v>909</v>
      </c>
      <c r="D16" s="194"/>
      <c r="E16" s="260" t="str">
        <f>"Attachment H-1, Line "&amp;'ATT H-1 '!A203&amp;""</f>
        <v>Attachment H-1, Line 126</v>
      </c>
      <c r="F16" s="261"/>
      <c r="G16" s="262">
        <f>+'ATT H-1 '!H203</f>
        <v>0.5027335537391584</v>
      </c>
    </row>
    <row r="17" spans="1:7" s="252" customFormat="1" ht="15">
      <c r="A17" s="258">
        <f>A16+1</f>
        <v>3</v>
      </c>
      <c r="B17" s="258"/>
      <c r="C17" s="259" t="s">
        <v>916</v>
      </c>
      <c r="D17" s="194"/>
      <c r="E17" s="260" t="str">
        <f>"Attachment H-1, Line "&amp;'ATT H-1 '!A204&amp;""</f>
        <v>Attachment H-1, Line 127</v>
      </c>
      <c r="F17" s="261"/>
      <c r="G17" s="262">
        <f>+'ATT H-1 '!H204</f>
        <v>0</v>
      </c>
    </row>
    <row r="18" spans="1:7" s="252" customFormat="1" ht="15">
      <c r="A18" s="258">
        <f>A17+1</f>
        <v>4</v>
      </c>
      <c r="B18" s="258"/>
      <c r="C18" s="259" t="s">
        <v>910</v>
      </c>
      <c r="D18" s="194"/>
      <c r="E18" s="260" t="str">
        <f>"Attachment H-1, Line "&amp;'ATT H-1 '!A205&amp;""</f>
        <v>Attachment H-1, Line 128</v>
      </c>
      <c r="F18" s="261"/>
      <c r="G18" s="262">
        <f>+'ATT H-1 '!H205</f>
        <v>0.49726644626084154</v>
      </c>
    </row>
    <row r="19" spans="1:7" s="252" customFormat="1" ht="15">
      <c r="A19" s="258"/>
      <c r="B19" s="258"/>
      <c r="C19" s="263"/>
      <c r="D19" s="261"/>
      <c r="E19" s="260"/>
      <c r="F19" s="261"/>
      <c r="G19" s="264"/>
    </row>
    <row r="20" spans="1:7" s="252" customFormat="1" ht="15">
      <c r="A20" s="258">
        <f>A18+1</f>
        <v>5</v>
      </c>
      <c r="B20" s="258"/>
      <c r="C20" s="263" t="s">
        <v>911</v>
      </c>
      <c r="D20" s="194"/>
      <c r="E20" s="260" t="str">
        <f>"Attachment H-1, Line "&amp;'ATT H-1 '!A208&amp;""</f>
        <v>Attachment H-1, Line 129</v>
      </c>
      <c r="F20" s="261"/>
      <c r="G20" s="329">
        <f>+'ATT H-1 '!H208</f>
        <v>5.1636548504216416E-2</v>
      </c>
    </row>
    <row r="21" spans="1:7" s="252" customFormat="1" ht="15">
      <c r="A21" s="258">
        <f>A20+1</f>
        <v>6</v>
      </c>
      <c r="B21" s="258"/>
      <c r="C21" s="263" t="s">
        <v>917</v>
      </c>
      <c r="D21" s="194"/>
      <c r="E21" s="260" t="str">
        <f>"Attachment H-1, Line "&amp;'ATT H-1 '!A209&amp;""</f>
        <v>Attachment H-1, Line 130</v>
      </c>
      <c r="F21" s="261"/>
      <c r="G21" s="329">
        <f>+'ATT H-1 '!H209</f>
        <v>0</v>
      </c>
    </row>
    <row r="22" spans="1:7" s="252" customFormat="1" ht="15">
      <c r="A22" s="258">
        <f>A21+1</f>
        <v>7</v>
      </c>
      <c r="B22" s="258"/>
      <c r="C22" s="263" t="s">
        <v>912</v>
      </c>
      <c r="D22" s="256" t="s">
        <v>1086</v>
      </c>
      <c r="E22" s="260" t="str">
        <f>"Attachment H-1, Line "&amp;'ATT H-1 '!A210&amp;""</f>
        <v>Attachment H-1, Line 131</v>
      </c>
      <c r="F22" s="261"/>
      <c r="G22" s="329">
        <f>+'ATT H-1 '!H210+0.01</f>
        <v>0.108</v>
      </c>
    </row>
    <row r="23" spans="1:7" s="252" customFormat="1" ht="15">
      <c r="A23" s="258"/>
      <c r="B23" s="258"/>
      <c r="C23" s="263"/>
      <c r="D23" s="265"/>
      <c r="E23" s="261"/>
      <c r="F23" s="261"/>
      <c r="G23" s="266"/>
    </row>
    <row r="24" spans="1:7" s="252" customFormat="1" ht="15">
      <c r="A24" s="258">
        <f>A22+1</f>
        <v>8</v>
      </c>
      <c r="B24" s="258"/>
      <c r="C24" s="259" t="s">
        <v>913</v>
      </c>
      <c r="D24" s="194"/>
      <c r="E24" s="260" t="str">
        <f>"Attachment H-1, Line "&amp;'ATT H-1 '!A212&amp;""</f>
        <v>Attachment H-1, Line 132</v>
      </c>
      <c r="F24" s="267"/>
      <c r="G24" s="319">
        <f>+'ATT H-1 '!H212</f>
        <v>2.5959425532349142E-2</v>
      </c>
    </row>
    <row r="25" spans="1:7" s="252" customFormat="1" ht="15">
      <c r="A25" s="258">
        <f>A24+1</f>
        <v>9</v>
      </c>
      <c r="B25" s="258"/>
      <c r="C25" s="259" t="s">
        <v>943</v>
      </c>
      <c r="D25" s="194"/>
      <c r="E25" s="260" t="str">
        <f>"Attachment H-1, Line "&amp;'ATT H-1 '!A213&amp;""</f>
        <v>Attachment H-1, Line 133</v>
      </c>
      <c r="F25" s="268"/>
      <c r="G25" s="320">
        <f>+'ATT H-1 '!H213</f>
        <v>0</v>
      </c>
    </row>
    <row r="26" spans="1:7" s="252" customFormat="1" ht="15">
      <c r="A26" s="258">
        <f>A25+1</f>
        <v>10</v>
      </c>
      <c r="B26" s="269"/>
      <c r="C26" s="270" t="s">
        <v>914</v>
      </c>
      <c r="D26" s="201"/>
      <c r="E26" s="271" t="str">
        <f>"Line "&amp;A18&amp;" * Line "&amp;A22&amp;""</f>
        <v>Line 4 * Line 7</v>
      </c>
      <c r="F26" s="272"/>
      <c r="G26" s="273">
        <f>G22*G18</f>
        <v>5.3704776196170888E-2</v>
      </c>
    </row>
    <row r="27" spans="1:7" s="252" customFormat="1" ht="15.75">
      <c r="A27" s="258">
        <f>A26+1</f>
        <v>11</v>
      </c>
      <c r="B27" s="274" t="s">
        <v>746</v>
      </c>
      <c r="C27" s="274"/>
      <c r="D27" s="194"/>
      <c r="E27" s="260" t="str">
        <f>"Sum Lines "&amp;A24&amp;" to "&amp;A26&amp;""</f>
        <v>Sum Lines 8 to 10</v>
      </c>
      <c r="F27" s="275"/>
      <c r="G27" s="276">
        <f>SUM(G24:G26)</f>
        <v>7.9664201728520026E-2</v>
      </c>
    </row>
    <row r="28" spans="1:7" s="252" customFormat="1" ht="15.75">
      <c r="A28" s="277"/>
      <c r="B28" s="277"/>
      <c r="C28" s="274"/>
      <c r="D28" s="278"/>
      <c r="E28" s="279"/>
      <c r="F28" s="275"/>
      <c r="G28" s="276"/>
    </row>
    <row r="29" spans="1:7" s="252" customFormat="1" ht="16.5" thickBot="1">
      <c r="A29" s="258">
        <f>A27+1</f>
        <v>12</v>
      </c>
      <c r="B29" s="280" t="s">
        <v>817</v>
      </c>
      <c r="C29" s="281"/>
      <c r="D29" s="282"/>
      <c r="E29" s="281" t="str">
        <f>"Line "&amp;A27&amp;" * Line "&amp;A14&amp;""</f>
        <v>Line 11 * Line 1</v>
      </c>
      <c r="F29" s="283"/>
      <c r="G29" s="282">
        <f>+G27*G14</f>
        <v>83418273.184241638</v>
      </c>
    </row>
    <row r="30" spans="1:7" s="252" customFormat="1" ht="15.75" thickTop="1">
      <c r="A30" s="258"/>
      <c r="B30" s="258"/>
      <c r="C30" s="284"/>
      <c r="D30" s="251"/>
      <c r="E30" s="261"/>
      <c r="F30" s="261"/>
      <c r="G30" s="194"/>
    </row>
    <row r="31" spans="1:7" s="252" customFormat="1" ht="15.75">
      <c r="A31" s="333" t="s">
        <v>603</v>
      </c>
      <c r="B31" s="285"/>
      <c r="C31" s="286"/>
      <c r="D31" s="287"/>
      <c r="E31" s="255"/>
      <c r="F31" s="255"/>
      <c r="G31" s="288"/>
    </row>
    <row r="32" spans="1:7" s="252" customFormat="1" ht="15.75">
      <c r="A32" s="258"/>
      <c r="B32" s="289" t="s">
        <v>818</v>
      </c>
      <c r="C32" s="266"/>
      <c r="D32" s="264"/>
      <c r="E32" s="261"/>
      <c r="F32" s="290"/>
      <c r="G32" s="194"/>
    </row>
    <row r="33" spans="1:7" s="252" customFormat="1" ht="15">
      <c r="A33" s="258">
        <f>A29+1</f>
        <v>13</v>
      </c>
      <c r="B33" s="258"/>
      <c r="C33" s="266" t="s">
        <v>816</v>
      </c>
      <c r="D33" s="251"/>
      <c r="E33" s="252" t="str">
        <f>"Attachment H-1, Line "&amp;'ATT H-1 '!A222&amp;""</f>
        <v>Attachment H-1, Line 137</v>
      </c>
      <c r="F33" s="291"/>
      <c r="G33" s="292">
        <f>+'ATT H-1 '!H222</f>
        <v>0.21</v>
      </c>
    </row>
    <row r="34" spans="1:7" s="252" customFormat="1" ht="15">
      <c r="A34" s="258">
        <f>A33+1</f>
        <v>14</v>
      </c>
      <c r="B34" s="258"/>
      <c r="C34" s="291" t="s">
        <v>815</v>
      </c>
      <c r="D34" s="293"/>
      <c r="E34" s="252" t="str">
        <f>"Attachment H-1, Line "&amp;'ATT H-1 '!A223&amp;""</f>
        <v>Attachment H-1, Line 138</v>
      </c>
      <c r="F34" s="291"/>
      <c r="G34" s="292">
        <f>+'ATT H-1 '!H223</f>
        <v>0</v>
      </c>
    </row>
    <row r="35" spans="1:7" s="252" customFormat="1" ht="15">
      <c r="A35" s="258">
        <f>A34+1</f>
        <v>15</v>
      </c>
      <c r="B35" s="258"/>
      <c r="C35" s="291" t="s">
        <v>275</v>
      </c>
      <c r="D35" s="251"/>
      <c r="E35" s="252" t="str">
        <f>"Attachment H-1, Line "&amp;'ATT H-1 '!A224&amp;""</f>
        <v>Attachment H-1, Line 139</v>
      </c>
      <c r="F35" s="291"/>
      <c r="G35" s="292">
        <f>+'ATT H-1 '!H224</f>
        <v>0</v>
      </c>
    </row>
    <row r="36" spans="1:7" s="252" customFormat="1" ht="15">
      <c r="A36" s="258">
        <f>A35+1</f>
        <v>16</v>
      </c>
      <c r="B36" s="258"/>
      <c r="C36" s="291" t="s">
        <v>276</v>
      </c>
      <c r="D36" s="251"/>
      <c r="E36" s="252" t="str">
        <f>"Attachment H-1, Line "&amp;'ATT H-1 '!A225&amp;""</f>
        <v>Attachment H-1, Line 140</v>
      </c>
      <c r="F36" s="291"/>
      <c r="G36" s="292">
        <f>+'ATT H-1 '!H225</f>
        <v>0.20999999999999996</v>
      </c>
    </row>
    <row r="37" spans="1:7" s="252" customFormat="1" ht="15">
      <c r="A37" s="258">
        <f>A36+1</f>
        <v>17</v>
      </c>
      <c r="B37" s="258"/>
      <c r="C37" s="291" t="s">
        <v>887</v>
      </c>
      <c r="D37" s="251"/>
      <c r="E37" s="252" t="str">
        <f>"Attachment H-1, Line "&amp;'ATT H-1 '!A226&amp;""</f>
        <v>Attachment H-1, Line 141</v>
      </c>
      <c r="F37" s="291"/>
      <c r="G37" s="292">
        <f>+'ATT H-1 '!H226</f>
        <v>0.2658227848101265</v>
      </c>
    </row>
    <row r="38" spans="1:7" s="252" customFormat="1" ht="15">
      <c r="A38" s="258"/>
      <c r="B38" s="258"/>
      <c r="C38" s="266"/>
      <c r="D38" s="295"/>
      <c r="E38" s="296"/>
      <c r="F38" s="290"/>
      <c r="G38" s="294"/>
    </row>
    <row r="39" spans="1:7" s="252" customFormat="1" ht="15.75">
      <c r="A39" s="258"/>
      <c r="B39" s="289" t="s">
        <v>813</v>
      </c>
      <c r="C39" s="284"/>
      <c r="D39" s="293"/>
      <c r="E39" s="261"/>
      <c r="F39" s="290"/>
      <c r="G39" s="297"/>
    </row>
    <row r="40" spans="1:7" s="252" customFormat="1" ht="15">
      <c r="A40" s="258">
        <f>A37+1</f>
        <v>18</v>
      </c>
      <c r="B40" s="258"/>
      <c r="C40" s="284" t="s">
        <v>855</v>
      </c>
      <c r="D40" s="298"/>
      <c r="E40" s="252" t="str">
        <f>"Attachment H-1, Line "&amp;'ATT H-1 '!A229&amp;""</f>
        <v>Attachment H-1, Line 142</v>
      </c>
      <c r="G40" s="317">
        <f>+'ATT H-1 '!H229</f>
        <v>0</v>
      </c>
    </row>
    <row r="41" spans="1:7" s="252" customFormat="1" ht="15">
      <c r="A41" s="258">
        <f>A40+1</f>
        <v>19</v>
      </c>
      <c r="B41" s="258"/>
      <c r="C41" s="284" t="s">
        <v>277</v>
      </c>
      <c r="D41" s="194"/>
      <c r="E41" s="252" t="str">
        <f>"Attachment H-1, Line "&amp;'ATT H-1 '!A230&amp;""</f>
        <v>Attachment H-1, Line 143</v>
      </c>
      <c r="F41" s="290"/>
      <c r="G41" s="318">
        <f>+'ATT H-1 '!H230</f>
        <v>1.2658227848101264</v>
      </c>
    </row>
    <row r="42" spans="1:7" s="252" customFormat="1" ht="15.75">
      <c r="A42" s="258">
        <f>A41+1</f>
        <v>20</v>
      </c>
      <c r="B42" s="299"/>
      <c r="C42" s="300" t="s">
        <v>808</v>
      </c>
      <c r="D42" s="201"/>
      <c r="E42" s="271" t="str">
        <f>"Attachment H-1, Line "&amp;'ATT H-1 '!A231&amp;""</f>
        <v>Attachment H-1, Line 144</v>
      </c>
      <c r="F42" s="301"/>
      <c r="G42" s="318">
        <f>+'ATT H-1 '!H231</f>
        <v>0.20213185271297171</v>
      </c>
    </row>
    <row r="43" spans="1:7" s="252" customFormat="1" ht="15.75">
      <c r="A43" s="258">
        <f>A42+1</f>
        <v>21</v>
      </c>
      <c r="B43" s="258"/>
      <c r="C43" s="302" t="s">
        <v>814</v>
      </c>
      <c r="D43" s="303"/>
      <c r="E43" s="252" t="str">
        <f>"Attachment H-1, Line "&amp;'ATT H-1 '!A232&amp;""</f>
        <v>Attachment H-1, Line 145</v>
      </c>
      <c r="F43" s="304"/>
      <c r="G43" s="305">
        <f>+'ATT H-1 '!H232</f>
        <v>0</v>
      </c>
    </row>
    <row r="44" spans="1:7" s="252" customFormat="1" ht="15.75">
      <c r="A44" s="258"/>
      <c r="B44" s="258"/>
      <c r="C44" s="306"/>
      <c r="D44" s="1874"/>
      <c r="F44" s="301"/>
      <c r="G44" s="1875"/>
    </row>
    <row r="45" spans="1:7" s="252" customFormat="1" ht="15.75">
      <c r="A45" s="1876"/>
      <c r="B45" s="48" t="s">
        <v>1258</v>
      </c>
      <c r="C45" s="1877"/>
      <c r="D45" s="25"/>
      <c r="E45" s="74"/>
      <c r="F45" s="328"/>
      <c r="G45" s="1878"/>
    </row>
    <row r="46" spans="1:7" s="252" customFormat="1" ht="15.75">
      <c r="A46" s="1879" t="s">
        <v>1259</v>
      </c>
      <c r="B46" s="23"/>
      <c r="C46" s="24" t="s">
        <v>1260</v>
      </c>
      <c r="D46" s="74"/>
      <c r="E46" s="1880" t="str">
        <f>"Attachment H-1, Line "&amp;'[6]ATT H-1 '!A235&amp;""</f>
        <v>Attachment H-1, Line 145a</v>
      </c>
      <c r="F46" s="1878"/>
      <c r="G46" s="1884">
        <f>'ATT H-1 '!H235</f>
        <v>-3549779.0332462043</v>
      </c>
    </row>
    <row r="47" spans="1:7" s="252" customFormat="1" ht="15.75">
      <c r="A47" s="1879" t="s">
        <v>1261</v>
      </c>
      <c r="B47" s="23"/>
      <c r="C47" s="24" t="s">
        <v>1262</v>
      </c>
      <c r="D47" s="25" t="s">
        <v>1263</v>
      </c>
      <c r="E47" s="326" t="s">
        <v>1264</v>
      </c>
      <c r="F47" s="1878"/>
      <c r="G47" s="1885">
        <f>G46*(1/(1-G36))</f>
        <v>-4493391.1813243087</v>
      </c>
    </row>
    <row r="48" spans="1:7" s="252" customFormat="1" ht="15.75">
      <c r="A48" s="1879"/>
      <c r="B48" s="1879"/>
      <c r="C48" s="1881"/>
      <c r="D48" s="1882"/>
      <c r="E48" s="1880"/>
      <c r="F48" s="1883"/>
      <c r="G48" s="1878"/>
    </row>
    <row r="49" spans="1:7" ht="15.75">
      <c r="A49" s="258">
        <f>A43+1</f>
        <v>22</v>
      </c>
      <c r="B49" s="307" t="s">
        <v>267</v>
      </c>
      <c r="C49" s="252"/>
      <c r="D49" s="266"/>
      <c r="E49" s="194" t="str">
        <f>"Line "&amp;A37&amp;"*Line "&amp;A29&amp;"*(1-(Line "&amp;A24&amp;"/Line "&amp;A27&amp;"))"</f>
        <v>Line 17*Line 12*(1-(Line 8/Line 11))</v>
      </c>
      <c r="F49" s="266"/>
      <c r="G49" s="308">
        <f>+G37*G29*(1-(G24/G27))</f>
        <v>14948688.812962664</v>
      </c>
    </row>
    <row r="50" spans="1:7" ht="15.75">
      <c r="A50" s="258"/>
      <c r="B50" s="258"/>
      <c r="C50" s="259"/>
      <c r="D50" s="299"/>
      <c r="E50" s="301"/>
      <c r="F50" s="301"/>
      <c r="G50" s="310"/>
    </row>
    <row r="51" spans="1:7" ht="16.5" thickBot="1">
      <c r="A51" s="258">
        <f>A49+1</f>
        <v>23</v>
      </c>
      <c r="B51" s="280" t="s">
        <v>736</v>
      </c>
      <c r="C51" s="280"/>
      <c r="D51" s="311"/>
      <c r="E51" s="1886" t="s">
        <v>1265</v>
      </c>
      <c r="F51" s="312"/>
      <c r="G51" s="313">
        <f>+G49+G43+G47</f>
        <v>10455297.631638356</v>
      </c>
    </row>
    <row r="52" spans="1:7" ht="15.75" thickTop="1">
      <c r="A52" s="258"/>
      <c r="B52" s="258"/>
      <c r="C52" s="296"/>
      <c r="D52" s="251"/>
      <c r="E52" s="314"/>
      <c r="F52" s="315"/>
    </row>
    <row r="53" spans="1:7" ht="15">
      <c r="A53" s="258"/>
    </row>
    <row r="54" spans="1:7" ht="15">
      <c r="A54" s="258"/>
    </row>
    <row r="55" spans="1:7" ht="15">
      <c r="A55" s="258"/>
    </row>
    <row r="56" spans="1:7" ht="15">
      <c r="A56" s="258"/>
    </row>
    <row r="57" spans="1:7" ht="15">
      <c r="A57" s="258"/>
    </row>
    <row r="58" spans="1:7" ht="15">
      <c r="A58" s="258"/>
    </row>
    <row r="59" spans="1:7" ht="15">
      <c r="A59" s="258"/>
    </row>
    <row r="60" spans="1:7" ht="15">
      <c r="A60" s="258"/>
    </row>
    <row r="61" spans="1:7" ht="15">
      <c r="A61" s="258"/>
    </row>
    <row r="62" spans="1:7" ht="15">
      <c r="A62" s="258"/>
    </row>
    <row r="63" spans="1:7" ht="15">
      <c r="A63" s="258"/>
    </row>
    <row r="64" spans="1:7" ht="15">
      <c r="A64" s="258"/>
    </row>
    <row r="65" spans="1:1" ht="15">
      <c r="A65" s="258"/>
    </row>
    <row r="66" spans="1:1" ht="15">
      <c r="A66" s="258"/>
    </row>
    <row r="67" spans="1:1" ht="15">
      <c r="A67" s="258"/>
    </row>
    <row r="68" spans="1:1" ht="15">
      <c r="A68" s="258"/>
    </row>
    <row r="69" spans="1:1" ht="15">
      <c r="A69" s="258"/>
    </row>
    <row r="70" spans="1:1" ht="15">
      <c r="A70" s="258"/>
    </row>
    <row r="276" spans="1:5">
      <c r="A276" s="316"/>
      <c r="B276" s="316"/>
      <c r="C276" s="316"/>
      <c r="D276" s="316"/>
      <c r="E276" s="316"/>
    </row>
    <row r="277" spans="1:5">
      <c r="A277" s="316"/>
      <c r="B277" s="316"/>
      <c r="C277" s="316"/>
      <c r="D277" s="316"/>
      <c r="E277" s="316"/>
    </row>
    <row r="278" spans="1:5">
      <c r="A278" s="316"/>
      <c r="B278" s="316"/>
      <c r="C278" s="316"/>
      <c r="D278" s="316"/>
      <c r="E278" s="316"/>
    </row>
    <row r="279" spans="1:5">
      <c r="A279" s="316"/>
      <c r="B279" s="316"/>
      <c r="C279" s="316"/>
      <c r="D279" s="316"/>
      <c r="E279" s="316"/>
    </row>
    <row r="280" spans="1:5">
      <c r="A280" s="316"/>
      <c r="B280" s="316"/>
      <c r="C280" s="316"/>
      <c r="D280" s="316"/>
      <c r="E280" s="316"/>
    </row>
    <row r="281" spans="1:5">
      <c r="A281" s="316"/>
      <c r="B281" s="316"/>
      <c r="C281" s="316"/>
      <c r="D281" s="316"/>
      <c r="E281" s="316"/>
    </row>
    <row r="282" spans="1:5">
      <c r="A282" s="316"/>
      <c r="B282" s="316"/>
      <c r="C282" s="316"/>
      <c r="D282" s="316"/>
      <c r="E282" s="316"/>
    </row>
    <row r="283" spans="1:5">
      <c r="A283" s="316"/>
      <c r="B283" s="316"/>
      <c r="C283" s="316"/>
      <c r="D283" s="316"/>
      <c r="E283" s="316"/>
    </row>
    <row r="284" spans="1:5">
      <c r="A284" s="316"/>
      <c r="B284" s="316"/>
      <c r="C284" s="316"/>
      <c r="D284" s="316"/>
      <c r="E284" s="316"/>
    </row>
  </sheetData>
  <mergeCells count="2">
    <mergeCell ref="A1:G1"/>
    <mergeCell ref="A3:G3"/>
  </mergeCells>
  <phoneticPr fontId="49" type="noConversion"/>
  <pageMargins left="0.75" right="0.75" top="1" bottom="1" header="0.5" footer="0.5"/>
  <pageSetup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271"/>
  <sheetViews>
    <sheetView topLeftCell="A79" zoomScale="75" zoomScaleNormal="75" zoomScaleSheetLayoutView="75" workbookViewId="0">
      <selection activeCell="F38" sqref="F38"/>
    </sheetView>
  </sheetViews>
  <sheetFormatPr defaultColWidth="9.140625" defaultRowHeight="12.75"/>
  <cols>
    <col min="1" max="1" width="6.42578125" style="189" customWidth="1"/>
    <col min="2" max="2" width="4.28515625" style="189" customWidth="1"/>
    <col min="3" max="3" width="52.140625" style="189" customWidth="1"/>
    <col min="4" max="4" width="27.85546875" style="189" customWidth="1"/>
    <col min="5" max="5" width="16" style="189" customWidth="1"/>
    <col min="6" max="6" width="21.28515625" style="189" customWidth="1"/>
    <col min="7" max="7" width="18.140625" style="189" customWidth="1"/>
    <col min="8" max="8" width="18.7109375" style="189" customWidth="1"/>
    <col min="9" max="10" width="17.28515625" style="189" customWidth="1"/>
    <col min="11" max="11" width="18.28515625" style="413" customWidth="1"/>
    <col min="12" max="12" width="18.85546875" style="413" customWidth="1"/>
    <col min="13" max="13" width="16.5703125" style="413" customWidth="1"/>
    <col min="14" max="14" width="15.140625" style="413" customWidth="1"/>
    <col min="15" max="15" width="11.5703125" style="189" customWidth="1"/>
    <col min="16" max="17" width="15.7109375" style="189" customWidth="1"/>
    <col min="18" max="18" width="4.140625" style="189" customWidth="1"/>
    <col min="19" max="19" width="23" style="189" customWidth="1"/>
    <col min="20" max="20" width="9.140625" style="189" customWidth="1"/>
    <col min="21" max="16384" width="9.140625" style="189"/>
  </cols>
  <sheetData>
    <row r="1" spans="1:19" ht="18">
      <c r="A1" s="1976" t="str">
        <f>+'ATT H-1 '!A3</f>
        <v xml:space="preserve">Puget Sound Energy </v>
      </c>
      <c r="B1" s="1976"/>
      <c r="C1" s="1976"/>
      <c r="D1" s="1976"/>
      <c r="E1" s="1976"/>
      <c r="F1" s="1976"/>
      <c r="G1" s="1976"/>
      <c r="H1" s="1976"/>
      <c r="I1" s="1976"/>
      <c r="J1" s="1976"/>
      <c r="K1" s="1976"/>
      <c r="L1" s="1976"/>
      <c r="M1" s="1976"/>
      <c r="N1" s="1976"/>
    </row>
    <row r="2" spans="1:19">
      <c r="A2" s="152"/>
      <c r="B2"/>
      <c r="C2"/>
      <c r="D2" s="114"/>
      <c r="E2" s="309"/>
      <c r="F2" s="309"/>
      <c r="G2" s="309"/>
      <c r="H2" s="309"/>
    </row>
    <row r="3" spans="1:19" ht="15.75">
      <c r="A3" s="1980" t="s">
        <v>352</v>
      </c>
      <c r="B3" s="1980"/>
      <c r="C3" s="1980"/>
      <c r="D3" s="1980"/>
      <c r="E3" s="1980"/>
      <c r="F3" s="1980"/>
      <c r="G3" s="1980"/>
      <c r="H3" s="1980"/>
      <c r="I3" s="1980"/>
      <c r="J3" s="1980"/>
      <c r="K3" s="1980"/>
      <c r="L3" s="1980"/>
      <c r="M3" s="1980"/>
      <c r="N3" s="1980"/>
    </row>
    <row r="6" spans="1:19" s="339" customFormat="1" ht="13.5" thickBot="1">
      <c r="A6" s="365" t="s">
        <v>182</v>
      </c>
      <c r="B6" s="366"/>
      <c r="C6" s="189"/>
      <c r="D6" s="189"/>
      <c r="E6" s="189"/>
      <c r="F6" s="189"/>
      <c r="G6" s="189"/>
      <c r="H6" s="189"/>
      <c r="K6" s="413"/>
      <c r="L6" s="413"/>
      <c r="M6" s="413"/>
      <c r="N6" s="413"/>
    </row>
    <row r="7" spans="1:19" s="339" customFormat="1">
      <c r="A7" s="1994" t="s">
        <v>1087</v>
      </c>
      <c r="B7" s="1995"/>
      <c r="C7" s="1995"/>
      <c r="D7" s="1995"/>
      <c r="E7" s="1995"/>
      <c r="F7" s="1996"/>
      <c r="G7" s="1226"/>
      <c r="H7" s="1227"/>
      <c r="I7" s="1228"/>
      <c r="J7" s="1228"/>
      <c r="K7" s="1997" t="s">
        <v>139</v>
      </c>
      <c r="L7" s="1997"/>
      <c r="M7" s="1997"/>
      <c r="N7" s="1998"/>
      <c r="O7" s="1096"/>
      <c r="P7" s="2000"/>
      <c r="Q7" s="2000"/>
      <c r="R7" s="1096"/>
      <c r="S7" s="1096"/>
    </row>
    <row r="8" spans="1:19" s="339" customFormat="1" ht="31.5">
      <c r="A8" s="349"/>
      <c r="B8" s="190"/>
      <c r="C8" s="1215" t="s">
        <v>595</v>
      </c>
      <c r="D8" s="211" t="s">
        <v>183</v>
      </c>
      <c r="E8" s="250"/>
      <c r="F8" s="1216" t="s">
        <v>474</v>
      </c>
      <c r="G8" s="1217" t="s">
        <v>974</v>
      </c>
      <c r="H8" s="1216" t="s">
        <v>437</v>
      </c>
      <c r="I8" s="1216" t="s">
        <v>438</v>
      </c>
      <c r="J8" s="1096"/>
      <c r="K8" s="1098"/>
      <c r="L8" s="1096"/>
      <c r="M8" s="1096"/>
      <c r="N8" s="1231"/>
      <c r="O8" s="1096"/>
      <c r="P8" s="95"/>
      <c r="Q8" s="95"/>
      <c r="R8" s="1096"/>
      <c r="S8" s="1096"/>
    </row>
    <row r="9" spans="1:19" s="339" customFormat="1" ht="15">
      <c r="A9" s="196"/>
      <c r="B9" s="190"/>
      <c r="C9" s="202" t="s">
        <v>645</v>
      </c>
      <c r="D9" s="444" t="s">
        <v>436</v>
      </c>
      <c r="E9" s="367">
        <v>2023</v>
      </c>
      <c r="F9" s="1448">
        <f>G9+H9+I9</f>
        <v>1776046230.7692306</v>
      </c>
      <c r="G9" s="1448">
        <f>'WKSHT5 - Plant in Service 13mo '!O159</f>
        <v>1580278461.5384614</v>
      </c>
      <c r="H9" s="1448">
        <f>'WKSHT5 - Plant in Service 13mo '!O160</f>
        <v>100969769.23076923</v>
      </c>
      <c r="I9" s="1448">
        <f>'WKSHT5 - Plant in Service 13mo '!O161</f>
        <v>94798000</v>
      </c>
      <c r="J9" s="1096"/>
      <c r="K9" s="1099"/>
      <c r="L9" s="1096"/>
      <c r="M9" s="1096"/>
      <c r="N9" s="1231"/>
      <c r="O9" s="1096"/>
      <c r="P9" s="1097"/>
      <c r="Q9" s="1098"/>
      <c r="R9" s="1099"/>
      <c r="S9" s="1096"/>
    </row>
    <row r="10" spans="1:19" s="339" customFormat="1">
      <c r="A10" s="196"/>
      <c r="B10" s="209"/>
      <c r="C10" s="198"/>
      <c r="D10" s="211"/>
      <c r="E10" s="209"/>
      <c r="F10" s="860"/>
      <c r="G10" s="198"/>
      <c r="H10" s="454"/>
      <c r="I10" s="718"/>
      <c r="J10" s="718"/>
      <c r="K10" s="1746"/>
      <c r="L10" s="340"/>
      <c r="M10" s="340"/>
      <c r="N10" s="749"/>
      <c r="O10" s="1096"/>
      <c r="P10" s="423"/>
      <c r="Q10" s="1096"/>
      <c r="R10" s="1096"/>
      <c r="S10" s="1096"/>
    </row>
    <row r="11" spans="1:19" s="339" customFormat="1">
      <c r="A11" s="349"/>
      <c r="B11" s="190"/>
      <c r="C11" s="1215" t="s">
        <v>594</v>
      </c>
      <c r="D11" s="211" t="s">
        <v>183</v>
      </c>
      <c r="E11" s="250"/>
      <c r="F11" s="864"/>
      <c r="G11" s="245"/>
      <c r="H11" s="1096"/>
      <c r="I11" s="457"/>
      <c r="J11" s="718"/>
      <c r="K11" s="717"/>
      <c r="L11" s="340"/>
      <c r="M11" s="340"/>
      <c r="N11" s="749"/>
      <c r="O11" s="1096"/>
      <c r="P11" s="708"/>
      <c r="Q11" s="1096"/>
      <c r="R11" s="1096"/>
      <c r="S11" s="1096"/>
    </row>
    <row r="12" spans="1:19" s="339" customFormat="1" ht="15">
      <c r="A12" s="196"/>
      <c r="B12" s="190"/>
      <c r="C12" s="202" t="s">
        <v>185</v>
      </c>
      <c r="D12" s="444" t="s">
        <v>593</v>
      </c>
      <c r="E12" s="367">
        <f>+E$9</f>
        <v>2023</v>
      </c>
      <c r="F12" s="1448">
        <v>5283922742</v>
      </c>
      <c r="G12" s="1558" t="s">
        <v>880</v>
      </c>
      <c r="H12" s="1096"/>
      <c r="I12" s="1096"/>
      <c r="J12" s="1218"/>
      <c r="K12" s="734"/>
      <c r="L12" s="340"/>
      <c r="M12" s="340"/>
      <c r="N12" s="749"/>
      <c r="O12" s="1096"/>
      <c r="P12" s="1097"/>
      <c r="Q12" s="423"/>
      <c r="R12" s="1097"/>
      <c r="S12" s="1096"/>
    </row>
    <row r="13" spans="1:19" s="339" customFormat="1">
      <c r="A13" s="196"/>
      <c r="B13" s="211"/>
      <c r="C13" s="1096"/>
      <c r="D13" s="211"/>
      <c r="E13" s="232"/>
      <c r="F13" s="431"/>
      <c r="G13" s="210"/>
      <c r="H13" s="210"/>
      <c r="I13" s="457"/>
      <c r="J13" s="457"/>
      <c r="K13" s="717"/>
      <c r="L13" s="340"/>
      <c r="M13" s="340"/>
      <c r="N13" s="749"/>
      <c r="O13" s="1096"/>
      <c r="P13" s="423"/>
      <c r="Q13" s="423"/>
      <c r="R13" s="423"/>
      <c r="S13" s="1096"/>
    </row>
    <row r="14" spans="1:19" s="339" customFormat="1">
      <c r="A14" s="196"/>
      <c r="B14" s="209"/>
      <c r="C14" s="198"/>
      <c r="D14" s="211"/>
      <c r="E14" s="209"/>
      <c r="F14" s="860"/>
      <c r="G14" s="198"/>
      <c r="H14" s="454"/>
      <c r="I14" s="718"/>
      <c r="J14" s="718"/>
      <c r="K14" s="717"/>
      <c r="L14" s="717"/>
      <c r="M14" s="717"/>
      <c r="N14" s="729"/>
      <c r="O14" s="1096"/>
      <c r="P14" s="423"/>
      <c r="Q14" s="423"/>
      <c r="R14" s="423"/>
      <c r="S14" s="334"/>
    </row>
    <row r="15" spans="1:19" s="339" customFormat="1">
      <c r="A15" s="349"/>
      <c r="B15" s="190"/>
      <c r="C15" s="1215" t="s">
        <v>186</v>
      </c>
      <c r="D15" s="211" t="s">
        <v>183</v>
      </c>
      <c r="E15" s="250"/>
      <c r="F15" s="861"/>
      <c r="G15" s="211"/>
      <c r="H15" s="211"/>
      <c r="I15" s="457"/>
      <c r="J15" s="457"/>
      <c r="K15" s="717"/>
      <c r="L15" s="717"/>
      <c r="M15" s="717"/>
      <c r="N15" s="729"/>
      <c r="O15" s="1096"/>
      <c r="P15" s="423"/>
      <c r="Q15" s="423"/>
      <c r="R15" s="423"/>
      <c r="S15" s="455"/>
    </row>
    <row r="16" spans="1:19" s="339" customFormat="1" ht="15">
      <c r="A16" s="196"/>
      <c r="B16" s="190"/>
      <c r="C16" s="202" t="s">
        <v>220</v>
      </c>
      <c r="D16" s="201" t="s">
        <v>584</v>
      </c>
      <c r="E16" s="367">
        <f>+E$9</f>
        <v>2023</v>
      </c>
      <c r="F16" s="1448">
        <v>155841121</v>
      </c>
      <c r="G16" s="210"/>
      <c r="H16" s="334"/>
      <c r="I16" s="718"/>
      <c r="J16" s="457"/>
      <c r="K16" s="734"/>
      <c r="L16" s="481"/>
      <c r="M16" s="481"/>
      <c r="N16" s="738"/>
      <c r="O16" s="1096"/>
      <c r="P16" s="745"/>
      <c r="Q16" s="717"/>
      <c r="R16" s="717"/>
      <c r="S16" s="739"/>
    </row>
    <row r="17" spans="1:19" s="339" customFormat="1">
      <c r="A17" s="196"/>
      <c r="B17" s="211"/>
      <c r="C17" s="1096"/>
      <c r="D17" s="211"/>
      <c r="E17" s="232"/>
      <c r="F17" s="431"/>
      <c r="G17" s="210"/>
      <c r="H17" s="455"/>
      <c r="I17" s="457"/>
      <c r="J17" s="1219"/>
      <c r="K17" s="717"/>
      <c r="L17" s="481"/>
      <c r="M17" s="481"/>
      <c r="N17" s="738"/>
      <c r="O17" s="1096"/>
      <c r="P17" s="453"/>
      <c r="Q17" s="452"/>
      <c r="R17" s="2010"/>
      <c r="S17" s="2010"/>
    </row>
    <row r="18" spans="1:19" s="339" customFormat="1">
      <c r="A18" s="349"/>
      <c r="B18" s="211"/>
      <c r="C18" s="240"/>
      <c r="D18" s="211"/>
      <c r="E18" s="250"/>
      <c r="F18" s="862"/>
      <c r="G18" s="240"/>
      <c r="H18" s="454"/>
      <c r="I18" s="718"/>
      <c r="J18" s="718"/>
      <c r="K18" s="717"/>
      <c r="L18" s="481"/>
      <c r="M18" s="481"/>
      <c r="N18" s="738"/>
      <c r="O18" s="1096"/>
      <c r="P18" s="453"/>
      <c r="Q18" s="452"/>
      <c r="R18" s="2010"/>
      <c r="S18" s="2010"/>
    </row>
    <row r="19" spans="1:19" s="339" customFormat="1">
      <c r="A19" s="349"/>
      <c r="B19" s="190"/>
      <c r="C19" s="1215" t="s">
        <v>221</v>
      </c>
      <c r="D19" s="211" t="s">
        <v>183</v>
      </c>
      <c r="E19" s="250"/>
      <c r="F19" s="861"/>
      <c r="G19" s="211"/>
      <c r="H19" s="211"/>
      <c r="I19" s="457"/>
      <c r="J19" s="457"/>
      <c r="K19" s="717"/>
      <c r="L19" s="717"/>
      <c r="M19" s="717"/>
      <c r="N19" s="729"/>
      <c r="O19" s="1096"/>
      <c r="P19" s="1094"/>
      <c r="Q19" s="452"/>
      <c r="R19" s="2010"/>
      <c r="S19" s="2010"/>
    </row>
    <row r="20" spans="1:19" s="339" customFormat="1" ht="15">
      <c r="A20" s="196"/>
      <c r="B20" s="190"/>
      <c r="C20" s="202" t="s">
        <v>222</v>
      </c>
      <c r="D20" s="201" t="s">
        <v>585</v>
      </c>
      <c r="E20" s="367">
        <f>+E$9</f>
        <v>2023</v>
      </c>
      <c r="F20" s="1448">
        <v>316657583</v>
      </c>
      <c r="G20" s="210"/>
      <c r="H20" s="334"/>
      <c r="I20" s="719"/>
      <c r="J20" s="457"/>
      <c r="K20" s="734"/>
      <c r="L20" s="484"/>
      <c r="M20" s="484"/>
      <c r="N20" s="730"/>
      <c r="O20" s="1096"/>
      <c r="P20" s="1096"/>
      <c r="Q20" s="1096"/>
      <c r="R20" s="1096"/>
      <c r="S20" s="1096"/>
    </row>
    <row r="21" spans="1:19" s="339" customFormat="1">
      <c r="A21" s="196"/>
      <c r="B21" s="211"/>
      <c r="C21" s="1096"/>
      <c r="D21" s="211"/>
      <c r="E21" s="232"/>
      <c r="F21" s="431"/>
      <c r="G21" s="210"/>
      <c r="H21" s="455"/>
      <c r="I21" s="457"/>
      <c r="J21" s="1219"/>
      <c r="K21" s="717"/>
      <c r="L21" s="717"/>
      <c r="M21" s="717"/>
      <c r="N21" s="729"/>
      <c r="O21" s="1096"/>
      <c r="P21" s="1096"/>
      <c r="Q21" s="1096"/>
      <c r="R21" s="1096"/>
      <c r="S21" s="1096"/>
    </row>
    <row r="22" spans="1:19" s="339" customFormat="1">
      <c r="A22" s="196"/>
      <c r="B22" s="190"/>
      <c r="C22" s="198"/>
      <c r="D22" s="368"/>
      <c r="E22" s="232"/>
      <c r="F22" s="863"/>
      <c r="G22" s="720"/>
      <c r="H22" s="211"/>
      <c r="I22" s="457"/>
      <c r="J22" s="457"/>
      <c r="K22" s="734"/>
      <c r="L22" s="484"/>
      <c r="M22" s="484"/>
      <c r="N22" s="730"/>
      <c r="O22" s="1096"/>
      <c r="P22" s="1096"/>
      <c r="Q22" s="1096"/>
      <c r="R22" s="1096"/>
      <c r="S22" s="1096"/>
    </row>
    <row r="23" spans="1:19" s="339" customFormat="1">
      <c r="A23" s="349"/>
      <c r="B23" s="190"/>
      <c r="C23" s="1215" t="s">
        <v>223</v>
      </c>
      <c r="D23" s="211" t="s">
        <v>183</v>
      </c>
      <c r="E23" s="250"/>
      <c r="F23" s="861"/>
      <c r="G23" s="211"/>
      <c r="H23" s="211"/>
      <c r="I23" s="457"/>
      <c r="J23" s="457"/>
      <c r="K23" s="717"/>
      <c r="L23" s="717"/>
      <c r="M23" s="717"/>
      <c r="N23" s="729"/>
      <c r="O23" s="1096"/>
      <c r="P23" s="1096"/>
      <c r="Q23" s="1096"/>
      <c r="R23" s="1096"/>
      <c r="S23" s="1096"/>
    </row>
    <row r="24" spans="1:19" s="339" customFormat="1" ht="15">
      <c r="A24" s="196"/>
      <c r="B24" s="190"/>
      <c r="C24" s="202" t="s">
        <v>224</v>
      </c>
      <c r="D24" s="444" t="s">
        <v>146</v>
      </c>
      <c r="E24" s="367">
        <f>+E$9</f>
        <v>2023</v>
      </c>
      <c r="F24" s="1449">
        <v>3902384831</v>
      </c>
      <c r="G24" s="210"/>
      <c r="H24" s="334"/>
      <c r="I24" s="719"/>
      <c r="J24" s="457"/>
      <c r="K24" s="734"/>
      <c r="L24" s="484"/>
      <c r="M24" s="481"/>
      <c r="N24" s="729"/>
      <c r="O24" s="1096"/>
      <c r="P24" s="1096"/>
      <c r="Q24" s="1096"/>
      <c r="R24" s="1096"/>
      <c r="S24" s="1096"/>
    </row>
    <row r="25" spans="1:19" s="339" customFormat="1">
      <c r="A25" s="196"/>
      <c r="B25" s="211"/>
      <c r="C25" s="1096"/>
      <c r="D25" s="211"/>
      <c r="E25" s="232"/>
      <c r="F25" s="431"/>
      <c r="G25" s="210"/>
      <c r="H25" s="455"/>
      <c r="I25" s="457"/>
      <c r="J25" s="1219"/>
      <c r="K25" s="717"/>
      <c r="L25" s="717"/>
      <c r="M25" s="481"/>
      <c r="N25" s="729"/>
      <c r="O25" s="1096"/>
      <c r="P25" s="1096"/>
      <c r="Q25" s="1096"/>
      <c r="R25" s="1096"/>
      <c r="S25" s="1096"/>
    </row>
    <row r="26" spans="1:19" s="339" customFormat="1">
      <c r="A26" s="196"/>
      <c r="B26" s="211"/>
      <c r="C26" s="198"/>
      <c r="D26" s="211"/>
      <c r="E26" s="209"/>
      <c r="F26" s="865"/>
      <c r="G26" s="721"/>
      <c r="H26" s="454"/>
      <c r="I26" s="718"/>
      <c r="J26" s="1220"/>
      <c r="K26" s="717"/>
      <c r="L26" s="717"/>
      <c r="M26" s="481"/>
      <c r="N26" s="729"/>
      <c r="O26" s="1096"/>
      <c r="P26" s="1096"/>
      <c r="Q26" s="1096"/>
      <c r="R26" s="1096"/>
      <c r="S26" s="1096"/>
    </row>
    <row r="27" spans="1:19" s="339" customFormat="1">
      <c r="A27" s="349"/>
      <c r="B27" s="211"/>
      <c r="C27" s="1089"/>
      <c r="D27" s="1221"/>
      <c r="E27" s="1090"/>
      <c r="F27" s="1222"/>
      <c r="G27" s="210"/>
      <c r="H27" s="210"/>
      <c r="I27" s="210"/>
      <c r="J27" s="210"/>
      <c r="K27" s="731"/>
      <c r="L27" s="717"/>
      <c r="M27" s="481"/>
      <c r="N27" s="729"/>
      <c r="O27" s="1096"/>
      <c r="P27" s="1096"/>
      <c r="Q27" s="1096"/>
      <c r="R27" s="1096"/>
      <c r="S27" s="1096"/>
    </row>
    <row r="28" spans="1:19" s="339" customFormat="1" ht="13.5" thickBot="1">
      <c r="A28" s="196"/>
      <c r="B28" s="190"/>
      <c r="C28" s="1091" t="s">
        <v>804</v>
      </c>
      <c r="D28" s="1092"/>
      <c r="E28" s="1223"/>
      <c r="F28" s="1093">
        <f>F$24+F$20+F$16+F$12+F$9</f>
        <v>11434852507.76923</v>
      </c>
      <c r="G28" s="454"/>
      <c r="H28" s="454"/>
      <c r="I28" s="454"/>
      <c r="J28" s="454"/>
      <c r="K28" s="799"/>
      <c r="L28" s="484"/>
      <c r="M28" s="484"/>
      <c r="N28" s="729"/>
      <c r="O28" s="1096"/>
      <c r="P28" s="1096"/>
      <c r="Q28" s="1096"/>
      <c r="R28" s="1096"/>
      <c r="S28" s="1096"/>
    </row>
    <row r="29" spans="1:19" s="339" customFormat="1" ht="13.5" thickTop="1">
      <c r="A29" s="196"/>
      <c r="B29" s="190"/>
      <c r="C29" s="369"/>
      <c r="D29" s="368"/>
      <c r="E29" s="232"/>
      <c r="F29" s="454"/>
      <c r="G29" s="454"/>
      <c r="H29" s="454"/>
      <c r="I29" s="454"/>
      <c r="J29" s="454"/>
      <c r="K29" s="799"/>
      <c r="L29" s="484"/>
      <c r="M29" s="484"/>
      <c r="N29" s="729"/>
      <c r="O29" s="1096"/>
      <c r="P29" s="1096"/>
      <c r="Q29" s="1096"/>
      <c r="R29" s="1096"/>
      <c r="S29" s="1096"/>
    </row>
    <row r="30" spans="1:19" s="339" customFormat="1" ht="25.5">
      <c r="A30" s="196"/>
      <c r="B30" s="190"/>
      <c r="C30" s="369" t="s">
        <v>553</v>
      </c>
      <c r="D30" s="444" t="s">
        <v>554</v>
      </c>
      <c r="E30" s="367">
        <f>E24</f>
        <v>2023</v>
      </c>
      <c r="F30" s="1224" t="s">
        <v>973</v>
      </c>
      <c r="G30" s="1225" t="s">
        <v>557</v>
      </c>
      <c r="H30" s="1224" t="s">
        <v>972</v>
      </c>
      <c r="I30" s="454"/>
      <c r="J30" s="454"/>
      <c r="K30" s="799"/>
      <c r="L30" s="484"/>
      <c r="M30" s="484"/>
      <c r="N30" s="729"/>
      <c r="O30" s="1097"/>
      <c r="P30" s="734"/>
      <c r="Q30" s="1096"/>
      <c r="R30" s="1096"/>
      <c r="S30" s="1096"/>
    </row>
    <row r="31" spans="1:19" s="339" customFormat="1">
      <c r="A31" s="196"/>
      <c r="B31" s="190"/>
      <c r="C31" s="721" t="s">
        <v>555</v>
      </c>
      <c r="D31" s="368"/>
      <c r="E31" s="232"/>
      <c r="F31" s="1448">
        <v>972735016</v>
      </c>
      <c r="G31" s="1844">
        <v>0.65659999999999996</v>
      </c>
      <c r="H31" s="454">
        <f>F31*G31</f>
        <v>638697811.50559998</v>
      </c>
      <c r="I31" s="454"/>
      <c r="J31" s="454"/>
      <c r="K31" s="799"/>
      <c r="L31" s="484"/>
      <c r="M31" s="484"/>
      <c r="N31" s="729"/>
      <c r="O31" s="423"/>
      <c r="P31" s="717"/>
      <c r="Q31" s="1096"/>
      <c r="R31" s="1096"/>
      <c r="S31" s="1096"/>
    </row>
    <row r="32" spans="1:19" s="339" customFormat="1">
      <c r="A32" s="196"/>
      <c r="B32" s="190"/>
      <c r="C32" s="340"/>
      <c r="D32" s="340"/>
      <c r="E32" s="340"/>
      <c r="F32" s="340"/>
      <c r="G32" s="340"/>
      <c r="H32" s="340"/>
      <c r="I32" s="454"/>
      <c r="J32" s="454"/>
      <c r="K32" s="799"/>
      <c r="L32" s="484"/>
      <c r="M32" s="484"/>
      <c r="N32" s="729"/>
      <c r="O32" s="1095"/>
      <c r="P32" s="717"/>
      <c r="Q32" s="1096"/>
      <c r="R32" s="1096"/>
      <c r="S32" s="1096"/>
    </row>
    <row r="33" spans="1:19" s="339" customFormat="1" ht="13.5" thickBot="1">
      <c r="A33" s="205"/>
      <c r="B33" s="206"/>
      <c r="C33" s="207"/>
      <c r="D33" s="371"/>
      <c r="E33" s="235"/>
      <c r="F33" s="207"/>
      <c r="G33" s="207"/>
      <c r="H33" s="456"/>
      <c r="I33" s="722"/>
      <c r="J33" s="347"/>
      <c r="K33" s="732"/>
      <c r="L33" s="732"/>
      <c r="M33" s="732"/>
      <c r="N33" s="733"/>
      <c r="O33" s="344"/>
      <c r="P33" s="717"/>
      <c r="Q33" s="1096"/>
      <c r="R33" s="1096"/>
      <c r="S33" s="1096"/>
    </row>
    <row r="34" spans="1:19" s="339" customFormat="1">
      <c r="A34" s="209"/>
      <c r="B34" s="197"/>
      <c r="C34" s="198"/>
      <c r="D34" s="191"/>
      <c r="E34" s="209"/>
      <c r="F34" s="198"/>
      <c r="G34" s="198"/>
      <c r="H34" s="370"/>
      <c r="I34" s="436"/>
      <c r="J34" s="436"/>
      <c r="K34" s="717"/>
      <c r="L34" s="717"/>
      <c r="M34" s="717"/>
      <c r="N34" s="717"/>
      <c r="O34" s="1096"/>
      <c r="P34" s="1096"/>
      <c r="Q34" s="1096"/>
      <c r="R34" s="1096"/>
      <c r="S34" s="1096"/>
    </row>
    <row r="35" spans="1:19" s="339" customFormat="1" ht="13.5" thickBot="1">
      <c r="A35" s="365" t="s">
        <v>225</v>
      </c>
      <c r="B35" s="189"/>
      <c r="C35" s="189"/>
      <c r="D35" s="189"/>
      <c r="E35" s="189"/>
      <c r="F35" s="189"/>
      <c r="G35" s="189"/>
      <c r="H35" s="189"/>
      <c r="K35" s="413"/>
      <c r="L35" s="413"/>
      <c r="M35" s="413"/>
      <c r="N35" s="413"/>
      <c r="O35" s="1096"/>
      <c r="P35" s="1096"/>
      <c r="Q35" s="1096"/>
      <c r="R35" s="1096"/>
      <c r="S35" s="1096"/>
    </row>
    <row r="36" spans="1:19" s="339" customFormat="1">
      <c r="A36" s="1994" t="s">
        <v>1087</v>
      </c>
      <c r="B36" s="1995"/>
      <c r="C36" s="1995"/>
      <c r="D36" s="1995"/>
      <c r="E36" s="1995"/>
      <c r="F36" s="1996"/>
      <c r="G36" s="1226"/>
      <c r="H36" s="922"/>
      <c r="I36" s="1228"/>
      <c r="J36" s="1228"/>
      <c r="K36" s="1997" t="s">
        <v>139</v>
      </c>
      <c r="L36" s="1997"/>
      <c r="M36" s="1997"/>
      <c r="N36" s="1998"/>
      <c r="O36" s="1096"/>
      <c r="P36" s="1096"/>
      <c r="Q36" s="1096"/>
      <c r="R36" s="1096"/>
      <c r="S36" s="1096"/>
    </row>
    <row r="37" spans="1:19" s="339" customFormat="1" ht="31.5">
      <c r="A37" s="349"/>
      <c r="B37" s="190"/>
      <c r="C37" s="1215" t="s">
        <v>596</v>
      </c>
      <c r="D37" s="211" t="s">
        <v>183</v>
      </c>
      <c r="E37" s="250"/>
      <c r="F37" s="1216" t="s">
        <v>474</v>
      </c>
      <c r="G37" s="1217" t="s">
        <v>974</v>
      </c>
      <c r="H37" s="1216" t="s">
        <v>437</v>
      </c>
      <c r="I37" s="1216" t="s">
        <v>438</v>
      </c>
      <c r="J37" s="1096"/>
      <c r="K37" s="1096"/>
      <c r="L37" s="717"/>
      <c r="M37" s="717"/>
      <c r="N37" s="729"/>
      <c r="O37" s="1096"/>
      <c r="P37" s="95"/>
      <c r="Q37" s="95"/>
      <c r="R37" s="1096"/>
      <c r="S37" s="1096"/>
    </row>
    <row r="38" spans="1:19" s="339" customFormat="1" ht="15">
      <c r="A38" s="196"/>
      <c r="B38" s="190"/>
      <c r="C38" s="200" t="s">
        <v>184</v>
      </c>
      <c r="D38" s="444" t="s">
        <v>436</v>
      </c>
      <c r="E38" s="367">
        <f>+E$9</f>
        <v>2023</v>
      </c>
      <c r="F38" s="1448">
        <f>G38+H38+I38</f>
        <v>672647021.3292309</v>
      </c>
      <c r="G38" s="1448">
        <f>'WKSHT5 - Plant in Service 13mo '!O320</f>
        <v>544356636.71384621</v>
      </c>
      <c r="H38" s="1448">
        <f>'WKSHT5 - Plant in Service 13mo '!O321</f>
        <v>77311923.076923072</v>
      </c>
      <c r="I38" s="1448">
        <f>'WKSHT5 - Plant in Service 13mo '!O322</f>
        <v>50978461.538461544</v>
      </c>
      <c r="J38" s="1096"/>
      <c r="K38" s="1096"/>
      <c r="L38" s="734"/>
      <c r="M38" s="734"/>
      <c r="N38" s="740"/>
      <c r="O38" s="1096"/>
      <c r="P38" s="1097"/>
      <c r="Q38" s="1097"/>
      <c r="R38" s="1096"/>
      <c r="S38" s="1096"/>
    </row>
    <row r="39" spans="1:19" s="339" customFormat="1">
      <c r="A39" s="196"/>
      <c r="B39" s="211"/>
      <c r="C39" s="202" t="s">
        <v>281</v>
      </c>
      <c r="D39" s="211"/>
      <c r="E39" s="232"/>
      <c r="F39" s="431"/>
      <c r="G39" s="210"/>
      <c r="H39" s="210"/>
      <c r="I39" s="210"/>
      <c r="J39" s="210"/>
      <c r="K39" s="731"/>
      <c r="L39" s="717"/>
      <c r="M39" s="717"/>
      <c r="N39" s="729"/>
      <c r="O39" s="1096"/>
      <c r="P39" s="1100"/>
      <c r="Q39" s="1100"/>
      <c r="R39" s="1096"/>
      <c r="S39" s="1096"/>
    </row>
    <row r="40" spans="1:19" s="339" customFormat="1">
      <c r="A40" s="196"/>
      <c r="B40" s="209"/>
      <c r="C40" s="198"/>
      <c r="D40" s="211"/>
      <c r="E40" s="209"/>
      <c r="F40" s="860"/>
      <c r="G40" s="198"/>
      <c r="H40" s="454"/>
      <c r="I40" s="718"/>
      <c r="J40" s="344"/>
      <c r="K40" s="717"/>
      <c r="L40" s="717"/>
      <c r="M40" s="717"/>
      <c r="N40" s="729"/>
      <c r="O40" s="1096"/>
      <c r="P40" s="1096"/>
      <c r="Q40" s="1096"/>
      <c r="R40" s="1096"/>
      <c r="S40" s="1096"/>
    </row>
    <row r="41" spans="1:19" s="339" customFormat="1" ht="15.75">
      <c r="A41" s="196"/>
      <c r="B41" s="209"/>
      <c r="C41" s="198"/>
      <c r="D41" s="211"/>
      <c r="E41" s="209"/>
      <c r="F41" s="860"/>
      <c r="G41" s="198"/>
      <c r="H41" s="454"/>
      <c r="I41" s="718"/>
      <c r="J41" s="344"/>
      <c r="K41" s="717"/>
      <c r="L41" s="717"/>
      <c r="M41" s="717"/>
      <c r="N41" s="729"/>
      <c r="O41" s="1096"/>
      <c r="P41" s="95"/>
      <c r="Q41" s="95"/>
      <c r="R41" s="1096"/>
      <c r="S41" s="1096"/>
    </row>
    <row r="42" spans="1:19" s="339" customFormat="1">
      <c r="A42" s="349"/>
      <c r="B42" s="190"/>
      <c r="C42" s="1215" t="s">
        <v>598</v>
      </c>
      <c r="D42" s="211" t="s">
        <v>183</v>
      </c>
      <c r="E42" s="250"/>
      <c r="F42" s="864"/>
      <c r="G42" s="245"/>
      <c r="H42" s="245"/>
      <c r="I42" s="457"/>
      <c r="J42" s="344"/>
      <c r="K42" s="717"/>
      <c r="L42" s="717"/>
      <c r="M42" s="717"/>
      <c r="N42" s="729"/>
      <c r="O42" s="1096"/>
      <c r="P42" s="423"/>
      <c r="Q42" s="423"/>
      <c r="R42" s="1096"/>
      <c r="S42" s="1096"/>
    </row>
    <row r="43" spans="1:19" s="339" customFormat="1" ht="15">
      <c r="A43" s="196"/>
      <c r="B43" s="190"/>
      <c r="C43" s="200" t="s">
        <v>184</v>
      </c>
      <c r="D43" s="444" t="s">
        <v>597</v>
      </c>
      <c r="E43" s="367">
        <f>+E$9</f>
        <v>2023</v>
      </c>
      <c r="F43" s="1448">
        <v>2008273620</v>
      </c>
      <c r="G43" s="1558" t="s">
        <v>881</v>
      </c>
      <c r="H43" s="455"/>
      <c r="I43" s="1096"/>
      <c r="J43" s="457"/>
      <c r="K43" s="734"/>
      <c r="L43" s="734"/>
      <c r="M43" s="734"/>
      <c r="N43" s="740"/>
      <c r="O43" s="1096"/>
      <c r="P43" s="1096"/>
      <c r="Q43" s="1096"/>
      <c r="R43" s="1096"/>
      <c r="S43" s="1097"/>
    </row>
    <row r="44" spans="1:19" s="339" customFormat="1">
      <c r="A44" s="196"/>
      <c r="B44" s="211"/>
      <c r="C44" s="202" t="s">
        <v>226</v>
      </c>
      <c r="D44" s="211"/>
      <c r="E44" s="232"/>
      <c r="F44" s="431"/>
      <c r="G44" s="210"/>
      <c r="H44" s="210"/>
      <c r="I44" s="858"/>
      <c r="J44" s="344"/>
      <c r="K44" s="717"/>
      <c r="L44" s="717"/>
      <c r="M44" s="717"/>
      <c r="N44" s="729"/>
      <c r="O44" s="455"/>
      <c r="P44" s="1096"/>
      <c r="Q44" s="1096"/>
      <c r="R44" s="1099"/>
      <c r="S44" s="1096"/>
    </row>
    <row r="45" spans="1:19" s="339" customFormat="1">
      <c r="A45" s="196"/>
      <c r="B45" s="209"/>
      <c r="C45" s="198"/>
      <c r="D45" s="211"/>
      <c r="E45" s="209"/>
      <c r="F45" s="860"/>
      <c r="G45" s="198"/>
      <c r="H45" s="454"/>
      <c r="I45" s="457"/>
      <c r="J45" s="344"/>
      <c r="K45" s="717"/>
      <c r="L45" s="717"/>
      <c r="M45" s="717"/>
      <c r="N45" s="729"/>
      <c r="O45" s="458"/>
      <c r="P45" s="1096"/>
      <c r="Q45" s="1096"/>
      <c r="R45" s="1096"/>
      <c r="S45" s="1096"/>
    </row>
    <row r="46" spans="1:19" s="339" customFormat="1">
      <c r="A46" s="349"/>
      <c r="B46" s="190"/>
      <c r="C46" s="1215" t="s">
        <v>227</v>
      </c>
      <c r="D46" s="211" t="s">
        <v>183</v>
      </c>
      <c r="E46" s="250"/>
      <c r="F46" s="861"/>
      <c r="G46" s="211"/>
      <c r="H46" s="211"/>
      <c r="I46" s="457"/>
      <c r="J46" s="344"/>
      <c r="K46" s="717"/>
      <c r="L46" s="717"/>
      <c r="M46" s="717"/>
      <c r="N46" s="729"/>
      <c r="O46" s="1096"/>
      <c r="P46" s="1096"/>
      <c r="Q46" s="1096"/>
      <c r="R46" s="1096"/>
      <c r="S46" s="1725"/>
    </row>
    <row r="47" spans="1:19" s="339" customFormat="1" ht="15">
      <c r="A47" s="196"/>
      <c r="B47" s="190"/>
      <c r="C47" s="200" t="s">
        <v>184</v>
      </c>
      <c r="D47" s="201" t="s">
        <v>898</v>
      </c>
      <c r="E47" s="367">
        <f>+E$9</f>
        <v>2023</v>
      </c>
      <c r="F47" s="1448">
        <v>48948753</v>
      </c>
      <c r="G47" s="210"/>
      <c r="H47" s="455"/>
      <c r="I47" s="457"/>
      <c r="J47" s="457"/>
      <c r="K47" s="734"/>
      <c r="L47" s="734"/>
      <c r="M47" s="734"/>
      <c r="N47" s="740"/>
      <c r="O47" s="1096"/>
      <c r="P47" s="1096"/>
      <c r="Q47" s="1098"/>
      <c r="R47" s="1096"/>
      <c r="S47" s="1725"/>
    </row>
    <row r="48" spans="1:19" s="339" customFormat="1">
      <c r="A48" s="196"/>
      <c r="B48" s="211"/>
      <c r="C48" s="202" t="s">
        <v>278</v>
      </c>
      <c r="D48" s="211"/>
      <c r="E48" s="232"/>
      <c r="F48" s="431"/>
      <c r="G48" s="210"/>
      <c r="H48" s="458"/>
      <c r="I48" s="457"/>
      <c r="J48" s="457"/>
      <c r="K48" s="717"/>
      <c r="L48" s="717"/>
      <c r="M48" s="717"/>
      <c r="N48" s="729"/>
      <c r="O48" s="455"/>
      <c r="P48" s="1096"/>
      <c r="Q48" s="1098"/>
      <c r="R48" s="1096"/>
      <c r="S48" s="1725"/>
    </row>
    <row r="49" spans="1:19" s="339" customFormat="1">
      <c r="A49" s="349"/>
      <c r="B49" s="211"/>
      <c r="C49" s="240"/>
      <c r="D49" s="211"/>
      <c r="E49" s="250"/>
      <c r="F49" s="862"/>
      <c r="G49" s="240"/>
      <c r="H49" s="454"/>
      <c r="I49" s="718"/>
      <c r="J49" s="1856"/>
      <c r="K49" s="717"/>
      <c r="L49" s="717"/>
      <c r="M49" s="717"/>
      <c r="N49" s="729"/>
      <c r="O49" s="458"/>
      <c r="P49" s="1098"/>
      <c r="Q49" s="1831"/>
      <c r="R49" s="1096"/>
      <c r="S49" s="1725"/>
    </row>
    <row r="50" spans="1:19" s="339" customFormat="1">
      <c r="A50" s="349"/>
      <c r="B50" s="190"/>
      <c r="C50" s="1215" t="s">
        <v>228</v>
      </c>
      <c r="D50" s="211" t="s">
        <v>183</v>
      </c>
      <c r="E50" s="250"/>
      <c r="F50" s="861"/>
      <c r="G50" s="1937"/>
      <c r="H50" s="211"/>
      <c r="I50" s="457"/>
      <c r="J50" s="1857"/>
      <c r="K50" s="717"/>
      <c r="L50" s="717"/>
      <c r="M50" s="717"/>
      <c r="N50" s="729"/>
      <c r="O50" s="1096"/>
      <c r="P50" s="1098"/>
      <c r="Q50" s="1098"/>
      <c r="R50" s="1096"/>
      <c r="S50" s="1096"/>
    </row>
    <row r="51" spans="1:19" s="339" customFormat="1" ht="15">
      <c r="A51" s="196"/>
      <c r="B51" s="190"/>
      <c r="C51" s="200" t="s">
        <v>184</v>
      </c>
      <c r="D51" s="201" t="s">
        <v>434</v>
      </c>
      <c r="E51" s="367">
        <f>+E$9</f>
        <v>2023</v>
      </c>
      <c r="F51" s="1448">
        <v>199145541</v>
      </c>
      <c r="G51" s="1938"/>
      <c r="H51" s="455"/>
      <c r="I51" s="457"/>
      <c r="J51" s="1857"/>
      <c r="K51" s="734"/>
      <c r="L51" s="734"/>
      <c r="M51" s="734"/>
      <c r="N51" s="740"/>
      <c r="O51" s="1096"/>
      <c r="P51" s="1098"/>
      <c r="Q51" s="1098"/>
      <c r="R51" s="1096"/>
      <c r="S51" s="1096"/>
    </row>
    <row r="52" spans="1:19" s="339" customFormat="1" ht="15">
      <c r="A52" s="196"/>
      <c r="B52" s="211"/>
      <c r="C52" s="202" t="s">
        <v>915</v>
      </c>
      <c r="D52" s="211"/>
      <c r="E52" s="232"/>
      <c r="F52" s="431"/>
      <c r="G52" s="1938"/>
      <c r="H52" s="458"/>
      <c r="I52" s="1857"/>
      <c r="J52" s="1857"/>
      <c r="K52" s="717"/>
      <c r="L52" s="423"/>
      <c r="M52" s="717"/>
      <c r="N52" s="729"/>
      <c r="O52" s="1096"/>
      <c r="P52" s="426"/>
      <c r="Q52" s="1098"/>
      <c r="R52" s="1096"/>
      <c r="S52" s="1096"/>
    </row>
    <row r="53" spans="1:19" s="339" customFormat="1">
      <c r="A53" s="196"/>
      <c r="B53" s="190"/>
      <c r="C53" s="198"/>
      <c r="D53" s="368"/>
      <c r="E53" s="232"/>
      <c r="F53" s="863"/>
      <c r="G53" s="1939"/>
      <c r="H53" s="211"/>
      <c r="I53" s="1857"/>
      <c r="J53" s="1857"/>
      <c r="K53" s="734"/>
      <c r="L53" s="1097"/>
      <c r="M53" s="734"/>
      <c r="N53" s="740"/>
      <c r="O53" s="1096"/>
      <c r="P53" s="1098"/>
      <c r="Q53" s="1098"/>
      <c r="R53" s="1096"/>
      <c r="S53" s="1096"/>
    </row>
    <row r="54" spans="1:19" s="339" customFormat="1">
      <c r="A54" s="349"/>
      <c r="B54" s="190"/>
      <c r="C54" s="1215" t="s">
        <v>229</v>
      </c>
      <c r="D54" s="211" t="s">
        <v>183</v>
      </c>
      <c r="E54" s="250"/>
      <c r="F54" s="861"/>
      <c r="G54" s="334"/>
      <c r="H54" s="211"/>
      <c r="I54" s="1857"/>
      <c r="J54" s="1857"/>
      <c r="K54" s="717"/>
      <c r="L54" s="423"/>
      <c r="M54" s="717"/>
      <c r="N54" s="729"/>
      <c r="O54" s="1096"/>
      <c r="P54" s="1098"/>
      <c r="Q54" s="1098"/>
      <c r="R54" s="1096"/>
      <c r="S54" s="1096"/>
    </row>
    <row r="55" spans="1:19" s="339" customFormat="1" ht="15">
      <c r="A55" s="196"/>
      <c r="B55" s="190"/>
      <c r="C55" s="200" t="s">
        <v>184</v>
      </c>
      <c r="D55" s="444" t="s">
        <v>145</v>
      </c>
      <c r="E55" s="367">
        <f>+E$9</f>
        <v>2023</v>
      </c>
      <c r="F55" s="1450">
        <v>2308479150</v>
      </c>
      <c r="G55" s="210"/>
      <c r="H55" s="455"/>
      <c r="I55" s="1949"/>
      <c r="J55" s="723"/>
      <c r="K55" s="1232"/>
      <c r="L55" s="1932"/>
      <c r="M55" s="739"/>
      <c r="N55" s="735"/>
      <c r="P55" s="1831"/>
      <c r="Q55" s="1098"/>
    </row>
    <row r="56" spans="1:19" s="339" customFormat="1">
      <c r="A56" s="196"/>
      <c r="B56" s="211"/>
      <c r="C56" s="202" t="s">
        <v>230</v>
      </c>
      <c r="D56" s="211"/>
      <c r="E56" s="232"/>
      <c r="F56" s="859"/>
      <c r="G56" s="210"/>
      <c r="H56" s="458"/>
      <c r="I56" s="457"/>
      <c r="J56" s="457"/>
      <c r="K56" s="717"/>
      <c r="L56" s="423"/>
      <c r="M56" s="739"/>
      <c r="N56" s="735"/>
      <c r="P56" s="1831"/>
      <c r="Q56" s="1831"/>
    </row>
    <row r="57" spans="1:19" s="339" customFormat="1">
      <c r="A57" s="196"/>
      <c r="B57" s="211"/>
      <c r="C57" s="198"/>
      <c r="D57" s="211"/>
      <c r="E57" s="209"/>
      <c r="F57" s="860"/>
      <c r="G57" s="210"/>
      <c r="H57" s="454"/>
      <c r="I57" s="718"/>
      <c r="J57" s="1220"/>
      <c r="K57" s="717"/>
      <c r="L57" s="423"/>
      <c r="M57" s="739"/>
      <c r="N57" s="735"/>
      <c r="P57" s="1831"/>
      <c r="Q57" s="1831"/>
    </row>
    <row r="58" spans="1:19" s="339" customFormat="1">
      <c r="A58" s="349"/>
      <c r="B58" s="211"/>
      <c r="C58" s="202"/>
      <c r="D58" s="1096"/>
      <c r="E58" s="232"/>
      <c r="F58" s="1233"/>
      <c r="G58" s="210"/>
      <c r="H58" s="210"/>
      <c r="I58" s="544"/>
      <c r="J58" s="210"/>
      <c r="K58" s="731"/>
      <c r="L58" s="799"/>
      <c r="M58" s="739"/>
      <c r="N58" s="735"/>
      <c r="P58" s="1831"/>
      <c r="Q58" s="1831"/>
    </row>
    <row r="59" spans="1:19" s="339" customFormat="1" ht="13.5" thickBot="1">
      <c r="A59" s="196"/>
      <c r="B59" s="190"/>
      <c r="C59" s="1091" t="s">
        <v>803</v>
      </c>
      <c r="D59" s="1234"/>
      <c r="E59" s="1223"/>
      <c r="F59" s="1093">
        <f>+F$55+F$51+F$47+F$43+F$38</f>
        <v>5237494085.3292313</v>
      </c>
      <c r="G59" s="454"/>
      <c r="H59" s="454"/>
      <c r="I59" s="454"/>
      <c r="J59" s="454"/>
      <c r="K59" s="799"/>
      <c r="L59" s="734"/>
      <c r="M59" s="734"/>
      <c r="N59" s="735"/>
      <c r="P59" s="1831"/>
    </row>
    <row r="60" spans="1:19" s="339" customFormat="1" ht="13.5" thickTop="1">
      <c r="A60" s="196"/>
      <c r="B60" s="190"/>
      <c r="C60" s="369"/>
      <c r="D60" s="368"/>
      <c r="E60" s="232"/>
      <c r="F60" s="857"/>
      <c r="G60" s="454"/>
      <c r="H60" s="454"/>
      <c r="I60" s="454"/>
      <c r="J60" s="454"/>
      <c r="K60" s="799"/>
      <c r="L60" s="734"/>
      <c r="M60" s="734"/>
      <c r="N60" s="735"/>
    </row>
    <row r="61" spans="1:19" s="339" customFormat="1" ht="25.5">
      <c r="A61" s="196"/>
      <c r="B61" s="190"/>
      <c r="C61" s="369" t="s">
        <v>553</v>
      </c>
      <c r="D61" s="444" t="s">
        <v>554</v>
      </c>
      <c r="E61" s="367">
        <f>E55</f>
        <v>2023</v>
      </c>
      <c r="F61" s="1224" t="s">
        <v>973</v>
      </c>
      <c r="G61" s="1225" t="s">
        <v>557</v>
      </c>
      <c r="H61" s="1224" t="s">
        <v>972</v>
      </c>
      <c r="I61" s="454"/>
      <c r="J61" s="454"/>
      <c r="K61" s="799"/>
      <c r="L61" s="734"/>
      <c r="M61" s="734"/>
      <c r="N61" s="735"/>
    </row>
    <row r="62" spans="1:19" s="339" customFormat="1">
      <c r="A62" s="196"/>
      <c r="B62" s="190"/>
      <c r="C62" s="721" t="s">
        <v>556</v>
      </c>
      <c r="D62" s="368"/>
      <c r="E62" s="232"/>
      <c r="F62" s="1448">
        <v>406006905</v>
      </c>
      <c r="G62" s="1844">
        <f>G31</f>
        <v>0.65659999999999996</v>
      </c>
      <c r="H62" s="454">
        <f>F62*G62</f>
        <v>266584133.82299998</v>
      </c>
      <c r="I62" s="454"/>
      <c r="J62" s="454"/>
      <c r="K62" s="799"/>
      <c r="L62" s="734"/>
      <c r="M62" s="734"/>
      <c r="N62" s="735"/>
    </row>
    <row r="63" spans="1:19" s="339" customFormat="1" ht="13.5" thickBot="1">
      <c r="A63" s="345"/>
      <c r="B63" s="459"/>
      <c r="C63" s="346"/>
      <c r="D63" s="1235"/>
      <c r="E63" s="459"/>
      <c r="F63" s="346"/>
      <c r="G63" s="346"/>
      <c r="H63" s="460"/>
      <c r="I63" s="722"/>
      <c r="J63" s="722"/>
      <c r="K63" s="732"/>
      <c r="L63" s="732"/>
      <c r="M63" s="732"/>
      <c r="N63" s="733"/>
      <c r="P63" s="189"/>
    </row>
    <row r="64" spans="1:19" s="339" customFormat="1">
      <c r="A64" s="209"/>
      <c r="B64" s="209"/>
      <c r="C64" s="198"/>
      <c r="D64" s="211"/>
      <c r="E64" s="203"/>
      <c r="F64" s="198"/>
      <c r="G64" s="198"/>
      <c r="H64" s="210"/>
      <c r="I64" s="250"/>
      <c r="J64" s="250"/>
      <c r="K64" s="717"/>
      <c r="L64" s="717"/>
      <c r="M64" s="717"/>
      <c r="N64" s="717"/>
      <c r="P64" s="1667"/>
    </row>
    <row r="65" spans="1:18" s="339" customFormat="1" ht="13.5" thickBot="1">
      <c r="A65" s="365" t="s">
        <v>649</v>
      </c>
      <c r="B65" s="360"/>
      <c r="C65" s="234"/>
      <c r="D65" s="219"/>
      <c r="E65" s="1236"/>
      <c r="F65" s="1237"/>
      <c r="G65" s="1237"/>
      <c r="H65" s="1238"/>
      <c r="I65" s="1238"/>
      <c r="J65" s="1238"/>
      <c r="K65" s="1238"/>
      <c r="L65" s="1238"/>
      <c r="M65" s="1238"/>
      <c r="N65" s="1238"/>
      <c r="P65" s="1667"/>
    </row>
    <row r="66" spans="1:18" s="339" customFormat="1">
      <c r="A66" s="1989" t="s">
        <v>1087</v>
      </c>
      <c r="B66" s="1990"/>
      <c r="C66" s="1990"/>
      <c r="D66" s="1990"/>
      <c r="E66" s="1990"/>
      <c r="F66" s="1999"/>
      <c r="G66" s="921"/>
      <c r="H66" s="1239" t="s">
        <v>164</v>
      </c>
      <c r="I66" s="1240" t="s">
        <v>163</v>
      </c>
      <c r="J66" s="1240" t="s">
        <v>165</v>
      </c>
      <c r="K66" s="1240" t="s">
        <v>139</v>
      </c>
      <c r="L66" s="1240"/>
      <c r="M66" s="1241"/>
      <c r="N66" s="1242"/>
      <c r="P66" s="1667"/>
    </row>
    <row r="67" spans="1:18" s="339" customFormat="1">
      <c r="A67" s="218"/>
      <c r="B67" s="358" t="s">
        <v>842</v>
      </c>
      <c r="C67" s="219"/>
      <c r="D67" s="217"/>
      <c r="E67" s="362"/>
      <c r="F67" s="1243"/>
      <c r="G67" s="1244"/>
      <c r="H67" s="1244"/>
      <c r="I67" s="217"/>
      <c r="J67" s="217"/>
      <c r="K67" s="525"/>
      <c r="L67" s="525"/>
      <c r="M67" s="526"/>
      <c r="N67" s="527"/>
      <c r="P67" s="1667"/>
    </row>
    <row r="68" spans="1:18" s="339" customFormat="1">
      <c r="A68" s="214"/>
      <c r="B68" s="217"/>
      <c r="C68" s="359" t="s">
        <v>278</v>
      </c>
      <c r="D68" s="219"/>
      <c r="E68" s="360"/>
      <c r="F68" s="361" t="s">
        <v>231</v>
      </c>
      <c r="G68" s="360"/>
      <c r="H68" s="1940">
        <v>48948753</v>
      </c>
      <c r="I68" s="1941">
        <v>48948753</v>
      </c>
      <c r="J68" s="221">
        <f>H68-I68</f>
        <v>0</v>
      </c>
      <c r="K68" s="1245"/>
      <c r="L68" s="1245"/>
      <c r="M68" s="1246"/>
      <c r="N68" s="1247"/>
      <c r="P68" s="1667"/>
    </row>
    <row r="69" spans="1:18" s="339" customFormat="1">
      <c r="A69" s="214"/>
      <c r="B69" s="216" t="s">
        <v>793</v>
      </c>
      <c r="C69" s="215"/>
      <c r="D69" s="217"/>
      <c r="E69" s="362"/>
      <c r="F69" s="363"/>
      <c r="G69" s="432"/>
      <c r="H69" s="1244"/>
      <c r="I69" s="217"/>
      <c r="J69" s="217"/>
      <c r="K69" s="222"/>
      <c r="L69" s="222"/>
      <c r="M69" s="1248"/>
      <c r="N69" s="1249"/>
      <c r="O69" s="422"/>
      <c r="P69" s="1667"/>
    </row>
    <row r="70" spans="1:18" s="339" customFormat="1">
      <c r="A70" s="218"/>
      <c r="B70" s="217"/>
      <c r="C70" s="215" t="s">
        <v>810</v>
      </c>
      <c r="D70" s="219"/>
      <c r="E70" s="362"/>
      <c r="F70" s="220" t="s">
        <v>232</v>
      </c>
      <c r="G70" s="219"/>
      <c r="H70" s="1940">
        <v>0</v>
      </c>
      <c r="I70" s="1941">
        <v>0</v>
      </c>
      <c r="J70" s="221">
        <f>+H70-I70</f>
        <v>0</v>
      </c>
      <c r="K70" s="1250"/>
      <c r="L70" s="1250"/>
      <c r="M70" s="1246"/>
      <c r="N70" s="1247"/>
      <c r="O70" s="423"/>
      <c r="P70" s="184"/>
    </row>
    <row r="71" spans="1:18" s="339" customFormat="1">
      <c r="A71" s="218"/>
      <c r="B71" s="216" t="s">
        <v>754</v>
      </c>
      <c r="C71" s="215"/>
      <c r="D71" s="219"/>
      <c r="E71" s="362"/>
      <c r="F71" s="220"/>
      <c r="G71" s="219"/>
      <c r="H71" s="1244"/>
      <c r="I71" s="217"/>
      <c r="J71" s="217"/>
      <c r="K71" s="525"/>
      <c r="L71" s="525"/>
      <c r="M71" s="525"/>
      <c r="N71" s="528"/>
      <c r="O71" s="1095"/>
      <c r="P71" s="184"/>
    </row>
    <row r="72" spans="1:18" s="339" customFormat="1" ht="13.5" thickBot="1">
      <c r="A72" s="1251"/>
      <c r="B72" s="1252"/>
      <c r="C72" s="1253" t="s">
        <v>809</v>
      </c>
      <c r="D72" s="364"/>
      <c r="E72" s="1254"/>
      <c r="F72" s="1255" t="s">
        <v>233</v>
      </c>
      <c r="G72" s="1256"/>
      <c r="H72" s="1950">
        <v>0</v>
      </c>
      <c r="I72" s="1951">
        <v>0</v>
      </c>
      <c r="J72" s="1257">
        <v>0</v>
      </c>
      <c r="K72" s="1258"/>
      <c r="L72" s="1258"/>
      <c r="M72" s="741"/>
      <c r="N72" s="742"/>
      <c r="O72" s="340"/>
      <c r="P72" s="418"/>
    </row>
    <row r="73" spans="1:18" ht="15.75">
      <c r="A73" s="223"/>
      <c r="B73" s="224"/>
      <c r="C73" s="225"/>
      <c r="D73" s="226"/>
      <c r="E73" s="223"/>
      <c r="F73" s="227"/>
      <c r="G73" s="227"/>
      <c r="H73" s="221"/>
      <c r="I73" s="221"/>
      <c r="J73" s="221"/>
      <c r="K73" s="222"/>
      <c r="L73" s="222"/>
      <c r="M73" s="222"/>
      <c r="N73" s="222"/>
      <c r="P73" s="418"/>
    </row>
    <row r="74" spans="1:18" s="213" customFormat="1" ht="13.5" thickBot="1">
      <c r="A74" s="365" t="s">
        <v>650</v>
      </c>
      <c r="B74" s="234"/>
      <c r="C74" s="234"/>
      <c r="D74" s="234"/>
      <c r="E74" s="234"/>
      <c r="F74" s="234"/>
      <c r="G74" s="234"/>
      <c r="H74" s="234"/>
      <c r="I74" s="234"/>
      <c r="J74" s="234"/>
      <c r="K74" s="412"/>
      <c r="L74" s="412"/>
      <c r="M74" s="412"/>
      <c r="N74" s="412"/>
      <c r="O74" s="212"/>
      <c r="P74" s="418"/>
      <c r="Q74" s="212"/>
      <c r="R74" s="212"/>
    </row>
    <row r="75" spans="1:18" s="213" customFormat="1" ht="39" thickBot="1">
      <c r="A75" s="2001" t="s">
        <v>1087</v>
      </c>
      <c r="B75" s="2002"/>
      <c r="C75" s="2002"/>
      <c r="D75" s="2002"/>
      <c r="E75" s="2002"/>
      <c r="F75" s="2003"/>
      <c r="G75" s="1259"/>
      <c r="H75" s="1260" t="s">
        <v>234</v>
      </c>
      <c r="I75" s="1261" t="s">
        <v>235</v>
      </c>
      <c r="J75" s="1261" t="s">
        <v>236</v>
      </c>
      <c r="K75" s="2004" t="s">
        <v>139</v>
      </c>
      <c r="L75" s="2005"/>
      <c r="M75" s="2005"/>
      <c r="N75" s="2006"/>
      <c r="P75" s="1373"/>
    </row>
    <row r="76" spans="1:18" s="339" customFormat="1">
      <c r="A76" s="352">
        <f>'ATT H-1 '!A78</f>
        <v>44</v>
      </c>
      <c r="B76" s="228"/>
      <c r="C76" s="353" t="s">
        <v>93</v>
      </c>
      <c r="D76" s="354"/>
      <c r="E76" s="355" t="s">
        <v>892</v>
      </c>
      <c r="F76" s="892" t="s">
        <v>851</v>
      </c>
      <c r="G76" s="1867"/>
      <c r="H76" s="1471">
        <v>38798124</v>
      </c>
      <c r="I76" s="1471">
        <v>49315001</v>
      </c>
      <c r="J76" s="417">
        <f>+(I76+H76)/2</f>
        <v>44056562.5</v>
      </c>
      <c r="K76" s="529"/>
      <c r="L76" s="1229"/>
      <c r="M76" s="1229"/>
      <c r="N76" s="1230"/>
      <c r="O76" s="1831"/>
      <c r="P76" s="418"/>
    </row>
    <row r="77" spans="1:18" s="213" customFormat="1">
      <c r="A77" s="196"/>
      <c r="B77" s="209"/>
      <c r="C77" s="202" t="s">
        <v>302</v>
      </c>
      <c r="D77" s="211"/>
      <c r="E77" s="198"/>
      <c r="F77" s="893"/>
      <c r="G77" s="1868"/>
      <c r="H77" s="1472">
        <f>436565+460720+460994+714663+1870638+1005331</f>
        <v>4948911</v>
      </c>
      <c r="I77" s="1472">
        <v>4948913</v>
      </c>
      <c r="J77" s="638"/>
      <c r="K77" s="414"/>
      <c r="L77" s="717"/>
      <c r="M77" s="717"/>
      <c r="N77" s="729"/>
      <c r="O77" s="1667"/>
      <c r="P77" s="418"/>
    </row>
    <row r="78" spans="1:18" s="213" customFormat="1" ht="15.75" customHeight="1" thickBot="1">
      <c r="A78" s="356"/>
      <c r="B78" s="245"/>
      <c r="C78" s="245"/>
      <c r="D78" s="245"/>
      <c r="E78" s="242"/>
      <c r="F78" s="348"/>
      <c r="G78" s="1868"/>
      <c r="H78" s="1262">
        <v>0</v>
      </c>
      <c r="I78" s="1262">
        <v>0</v>
      </c>
      <c r="J78" s="638"/>
      <c r="K78" s="1986"/>
      <c r="L78" s="1986"/>
      <c r="M78" s="1986"/>
      <c r="N78" s="729"/>
      <c r="O78" s="1667"/>
      <c r="P78" s="418"/>
    </row>
    <row r="79" spans="1:18" s="339" customFormat="1" ht="13.5" thickBot="1">
      <c r="A79" s="330"/>
      <c r="B79" s="236"/>
      <c r="C79" s="236"/>
      <c r="D79" s="236"/>
      <c r="E79" s="236"/>
      <c r="F79" s="357" t="s">
        <v>166</v>
      </c>
      <c r="G79" s="1869"/>
      <c r="H79" s="726">
        <f>+H77</f>
        <v>4948911</v>
      </c>
      <c r="I79" s="726">
        <f>I77</f>
        <v>4948913</v>
      </c>
      <c r="J79" s="375">
        <f>+(I79+H79)/2</f>
        <v>4948912</v>
      </c>
      <c r="K79" s="736"/>
      <c r="L79" s="736"/>
      <c r="M79" s="736"/>
      <c r="N79" s="737"/>
      <c r="O79" s="1831"/>
      <c r="P79" s="418"/>
    </row>
    <row r="80" spans="1:18" s="213" customFormat="1">
      <c r="A80" s="234"/>
      <c r="B80" s="234"/>
      <c r="C80" s="234"/>
      <c r="D80" s="234"/>
      <c r="E80" s="234"/>
      <c r="F80" s="234"/>
      <c r="G80" s="234"/>
      <c r="H80" s="234"/>
      <c r="I80" s="234"/>
      <c r="J80" s="234"/>
      <c r="K80" s="412"/>
      <c r="L80" s="412"/>
      <c r="M80" s="412"/>
      <c r="N80" s="412"/>
      <c r="O80" s="1832"/>
      <c r="P80" s="418"/>
      <c r="Q80" s="222"/>
      <c r="R80" s="222"/>
    </row>
    <row r="81" spans="1:16" ht="13.5" thickBot="1">
      <c r="A81" s="365" t="s">
        <v>237</v>
      </c>
      <c r="B81" s="234"/>
      <c r="C81" s="234"/>
      <c r="D81" s="234"/>
      <c r="E81" s="234"/>
      <c r="F81" s="234"/>
      <c r="G81" s="234"/>
      <c r="H81" s="234"/>
      <c r="I81" s="234"/>
      <c r="J81" s="234"/>
      <c r="K81" s="412"/>
      <c r="L81" s="412"/>
      <c r="M81" s="412"/>
      <c r="N81" s="412"/>
      <c r="O81" s="1667"/>
      <c r="P81" s="418"/>
    </row>
    <row r="82" spans="1:16" s="339" customFormat="1">
      <c r="A82" s="1989" t="s">
        <v>1087</v>
      </c>
      <c r="B82" s="1990"/>
      <c r="C82" s="1990"/>
      <c r="D82" s="1990"/>
      <c r="E82" s="1990"/>
      <c r="F82" s="1999"/>
      <c r="G82" s="921"/>
      <c r="H82" s="1263" t="s">
        <v>164</v>
      </c>
      <c r="I82" s="529" t="s">
        <v>238</v>
      </c>
      <c r="J82" s="529" t="s">
        <v>239</v>
      </c>
      <c r="K82" s="1991" t="s">
        <v>139</v>
      </c>
      <c r="L82" s="1997"/>
      <c r="M82" s="1997"/>
      <c r="N82" s="1998"/>
      <c r="O82" s="1831"/>
      <c r="P82" s="418"/>
    </row>
    <row r="83" spans="1:16" s="339" customFormat="1">
      <c r="A83" s="196">
        <f>'ATT H-1 '!A115</f>
        <v>66</v>
      </c>
      <c r="B83" s="230" t="s">
        <v>359</v>
      </c>
      <c r="C83" s="211"/>
      <c r="D83" s="211"/>
      <c r="E83" s="232"/>
      <c r="F83" s="233"/>
      <c r="G83" s="211"/>
      <c r="H83" s="246"/>
      <c r="I83" s="242"/>
      <c r="J83" s="242"/>
      <c r="K83" s="739"/>
      <c r="L83" s="739"/>
      <c r="M83" s="739"/>
      <c r="N83" s="1264"/>
      <c r="O83" s="1831"/>
      <c r="P83" s="418"/>
    </row>
    <row r="84" spans="1:16" s="339" customFormat="1">
      <c r="A84" s="196"/>
      <c r="B84" s="250"/>
      <c r="C84" s="1726" t="s">
        <v>1072</v>
      </c>
      <c r="D84" s="211"/>
      <c r="E84" s="232"/>
      <c r="F84" s="233"/>
      <c r="G84" s="211"/>
      <c r="H84" s="1872">
        <v>0</v>
      </c>
      <c r="I84" s="1382">
        <v>0</v>
      </c>
      <c r="J84" s="247">
        <f>+H84-I84</f>
        <v>0</v>
      </c>
      <c r="K84" s="739" t="s">
        <v>354</v>
      </c>
      <c r="L84" s="739"/>
      <c r="M84" s="739"/>
      <c r="N84" s="1264"/>
      <c r="O84" s="1833"/>
      <c r="P84" s="418"/>
    </row>
    <row r="85" spans="1:16" s="339" customFormat="1">
      <c r="A85" s="196"/>
      <c r="B85" s="250"/>
      <c r="C85" s="190" t="s">
        <v>240</v>
      </c>
      <c r="D85" s="211"/>
      <c r="E85" s="232"/>
      <c r="F85" s="233" t="s">
        <v>613</v>
      </c>
      <c r="G85" s="211"/>
      <c r="H85" s="1873">
        <v>28392494</v>
      </c>
      <c r="I85" s="1541">
        <v>136768.95000000001</v>
      </c>
      <c r="J85" s="247">
        <f>+H85-I85</f>
        <v>28255725.050000001</v>
      </c>
      <c r="K85" s="734" t="s">
        <v>241</v>
      </c>
      <c r="L85" s="734"/>
      <c r="M85" s="734"/>
      <c r="N85" s="740"/>
      <c r="P85" s="418"/>
    </row>
    <row r="86" spans="1:16" s="339" customFormat="1">
      <c r="A86" s="196"/>
      <c r="B86" s="250"/>
      <c r="C86" s="211" t="s">
        <v>242</v>
      </c>
      <c r="D86" s="242"/>
      <c r="E86" s="232"/>
      <c r="F86" s="233"/>
      <c r="G86" s="211"/>
      <c r="H86" s="725"/>
      <c r="I86" s="1959">
        <f>I85-I84</f>
        <v>136768.95000000001</v>
      </c>
      <c r="J86" s="242"/>
      <c r="K86" s="414"/>
      <c r="L86" s="717"/>
      <c r="M86" s="717"/>
      <c r="N86" s="729"/>
      <c r="P86" s="189"/>
    </row>
    <row r="87" spans="1:16" s="339" customFormat="1">
      <c r="A87" s="246"/>
      <c r="B87" s="190"/>
      <c r="C87" s="211"/>
      <c r="D87" s="211"/>
      <c r="E87" s="232"/>
      <c r="F87" s="233"/>
      <c r="G87" s="211"/>
      <c r="H87" s="246"/>
      <c r="I87" s="242"/>
      <c r="J87" s="242"/>
      <c r="K87" s="414"/>
      <c r="L87" s="717"/>
      <c r="M87" s="717"/>
      <c r="N87" s="729"/>
      <c r="P87" s="189"/>
    </row>
    <row r="88" spans="1:16" ht="13.5" thickBot="1">
      <c r="A88" s="205"/>
      <c r="B88" s="235"/>
      <c r="C88" s="207"/>
      <c r="D88" s="236"/>
      <c r="E88" s="235"/>
      <c r="F88" s="237"/>
      <c r="G88" s="433"/>
      <c r="H88" s="416"/>
      <c r="I88" s="238"/>
      <c r="J88" s="239"/>
      <c r="K88" s="741"/>
      <c r="L88" s="741"/>
      <c r="M88" s="741"/>
      <c r="N88" s="742"/>
    </row>
    <row r="89" spans="1:16">
      <c r="A89" s="234"/>
      <c r="B89" s="234"/>
      <c r="C89" s="234"/>
      <c r="D89" s="234"/>
      <c r="E89" s="234"/>
      <c r="F89" s="234"/>
      <c r="G89" s="234"/>
      <c r="H89" s="234"/>
      <c r="I89" s="234"/>
      <c r="J89" s="234"/>
      <c r="K89" s="412"/>
      <c r="L89" s="412"/>
      <c r="M89" s="412"/>
      <c r="N89" s="412"/>
      <c r="P89" s="1708"/>
    </row>
    <row r="90" spans="1:16" ht="13.5" thickBot="1">
      <c r="A90" s="365" t="s">
        <v>473</v>
      </c>
      <c r="B90" s="234"/>
      <c r="C90" s="234"/>
      <c r="D90" s="234"/>
      <c r="E90" s="234"/>
      <c r="F90" s="234"/>
      <c r="G90" s="234"/>
      <c r="H90" s="234"/>
      <c r="I90" s="234"/>
      <c r="J90" s="234"/>
      <c r="K90" s="412"/>
      <c r="L90" s="412"/>
      <c r="M90" s="412"/>
      <c r="N90" s="412"/>
    </row>
    <row r="91" spans="1:16" ht="25.5" customHeight="1">
      <c r="A91" s="1989" t="s">
        <v>1087</v>
      </c>
      <c r="B91" s="1990"/>
      <c r="C91" s="1990"/>
      <c r="D91" s="1990"/>
      <c r="E91" s="1990"/>
      <c r="F91" s="1999"/>
      <c r="G91" s="921"/>
      <c r="H91" s="1263" t="s">
        <v>851</v>
      </c>
      <c r="I91" s="529"/>
      <c r="J91" s="529"/>
      <c r="K91" s="1991" t="s">
        <v>139</v>
      </c>
      <c r="L91" s="1997"/>
      <c r="M91" s="1997"/>
      <c r="N91" s="1998"/>
    </row>
    <row r="92" spans="1:16">
      <c r="A92" s="196"/>
      <c r="B92" s="230" t="s">
        <v>359</v>
      </c>
      <c r="C92" s="211"/>
      <c r="D92" s="211"/>
      <c r="E92" s="232"/>
      <c r="F92" s="233"/>
      <c r="G92" s="211"/>
      <c r="H92" s="349" t="s">
        <v>279</v>
      </c>
      <c r="I92" s="242"/>
      <c r="J92" s="242"/>
      <c r="K92" s="1986"/>
      <c r="L92" s="2010"/>
      <c r="M92" s="2010"/>
      <c r="N92" s="2011"/>
    </row>
    <row r="93" spans="1:16" ht="13.5" thickBot="1">
      <c r="A93" s="205">
        <f>+'ATT H-1 '!A119</f>
        <v>70</v>
      </c>
      <c r="B93" s="235"/>
      <c r="C93" s="207" t="s">
        <v>472</v>
      </c>
      <c r="D93" s="236"/>
      <c r="E93" s="235"/>
      <c r="F93" s="208" t="s">
        <v>840</v>
      </c>
      <c r="G93" s="207"/>
      <c r="H93" s="1454">
        <v>0</v>
      </c>
      <c r="I93" s="1455">
        <v>0</v>
      </c>
      <c r="J93" s="524"/>
      <c r="K93" s="2008"/>
      <c r="L93" s="2008"/>
      <c r="M93" s="2008"/>
      <c r="N93" s="2009"/>
      <c r="P93" s="1667"/>
    </row>
    <row r="94" spans="1:16">
      <c r="A94" s="234"/>
      <c r="B94" s="234"/>
      <c r="C94" s="234"/>
      <c r="D94" s="234"/>
      <c r="E94" s="234"/>
      <c r="F94" s="234"/>
      <c r="G94" s="234"/>
      <c r="H94" s="234"/>
      <c r="I94" s="234"/>
      <c r="J94" s="234"/>
      <c r="K94" s="412"/>
      <c r="L94" s="412"/>
      <c r="M94" s="412"/>
      <c r="N94" s="412"/>
      <c r="P94" s="1667"/>
    </row>
    <row r="95" spans="1:16" s="418" customFormat="1" ht="13.5" thickBot="1">
      <c r="A95" s="1348" t="s">
        <v>651</v>
      </c>
      <c r="B95" s="666"/>
      <c r="C95" s="666"/>
      <c r="D95" s="666"/>
      <c r="E95" s="666"/>
      <c r="F95" s="666"/>
      <c r="G95" s="666"/>
      <c r="H95" s="666"/>
      <c r="I95" s="666"/>
      <c r="J95" s="666"/>
      <c r="K95" s="666"/>
      <c r="L95" s="666"/>
      <c r="M95" s="666"/>
      <c r="N95" s="666"/>
      <c r="P95" s="1667"/>
    </row>
    <row r="96" spans="1:16" s="418" customFormat="1">
      <c r="A96" s="1349" t="s">
        <v>1087</v>
      </c>
      <c r="B96" s="1350"/>
      <c r="C96" s="1350"/>
      <c r="D96" s="1350"/>
      <c r="E96" s="1350"/>
      <c r="F96" s="1351" t="s">
        <v>164</v>
      </c>
      <c r="G96" s="1352" t="s">
        <v>97</v>
      </c>
      <c r="H96" s="1352" t="s">
        <v>851</v>
      </c>
      <c r="I96" s="1353" t="s">
        <v>984</v>
      </c>
      <c r="J96" s="1353" t="s">
        <v>437</v>
      </c>
      <c r="K96" s="1353" t="s">
        <v>985</v>
      </c>
      <c r="L96" s="1354"/>
      <c r="M96" s="1355" t="s">
        <v>139</v>
      </c>
      <c r="N96" s="1356"/>
      <c r="P96" s="1667"/>
    </row>
    <row r="97" spans="1:32" s="418" customFormat="1">
      <c r="A97" s="1357"/>
      <c r="B97" s="1348"/>
      <c r="C97" s="1348"/>
      <c r="D97" s="1348"/>
      <c r="E97" s="1348"/>
      <c r="F97" s="1358"/>
      <c r="G97" s="1359"/>
      <c r="H97" s="1359"/>
      <c r="I97" s="668"/>
      <c r="J97" s="668"/>
      <c r="K97" s="668"/>
      <c r="L97" s="1360"/>
      <c r="M97" s="1361"/>
      <c r="N97" s="1362"/>
      <c r="P97" s="1667"/>
    </row>
    <row r="98" spans="1:32" s="418" customFormat="1">
      <c r="A98" s="1357"/>
      <c r="B98" s="1348"/>
      <c r="C98" s="1348" t="s">
        <v>986</v>
      </c>
      <c r="D98" s="1348"/>
      <c r="E98" s="1348"/>
      <c r="F98" s="1358"/>
      <c r="G98" s="1359"/>
      <c r="H98" s="1363">
        <f>+I98+J98+K98</f>
        <v>70493.463619279457</v>
      </c>
      <c r="I98" s="1458">
        <f>+'WKSHT4 - Monthly Tx System Peak'!C25</f>
        <v>53438.463619279457</v>
      </c>
      <c r="J98" s="1458">
        <f>'WKSHT4 - Monthly Tx System Peak'!C73</f>
        <v>8655</v>
      </c>
      <c r="K98" s="1458">
        <f>+'WKSHT4 - Monthly Tx System Peak'!C50</f>
        <v>8400</v>
      </c>
      <c r="L98" s="670" t="s">
        <v>102</v>
      </c>
      <c r="M98" s="1361"/>
      <c r="N98" s="1362"/>
      <c r="P98" s="1667"/>
    </row>
    <row r="99" spans="1:32" s="418" customFormat="1">
      <c r="A99" s="1357"/>
      <c r="B99" s="1348"/>
      <c r="C99" s="1348" t="s">
        <v>987</v>
      </c>
      <c r="D99" s="1348"/>
      <c r="E99" s="1348"/>
      <c r="F99" s="1358"/>
      <c r="G99" s="1359"/>
      <c r="H99" s="1363">
        <f>+I99+J99+K99</f>
        <v>28064</v>
      </c>
      <c r="I99" s="1458">
        <f>+'WKSHT4 - Monthly Tx System Peak'!C25-'WKSHT4 - Monthly Tx System Peak'!F25</f>
        <v>11009</v>
      </c>
      <c r="J99" s="1458">
        <f>'WKSHT4 - Monthly Tx System Peak'!H73</f>
        <v>8655</v>
      </c>
      <c r="K99" s="1458">
        <f>+'WKSHT4 - Monthly Tx System Peak'!H50+'WKSHT4 - Monthly Tx System Peak'!I50</f>
        <v>8400</v>
      </c>
      <c r="L99" s="670" t="s">
        <v>102</v>
      </c>
      <c r="M99" s="1361"/>
      <c r="N99" s="1362"/>
      <c r="P99" s="1667"/>
    </row>
    <row r="100" spans="1:32" s="418" customFormat="1">
      <c r="A100" s="1357"/>
      <c r="B100" s="1348"/>
      <c r="C100" s="1348" t="s">
        <v>97</v>
      </c>
      <c r="D100" s="1348"/>
      <c r="E100" s="1348"/>
      <c r="F100" s="1358"/>
      <c r="G100" s="1359"/>
      <c r="H100" s="1363"/>
      <c r="I100" s="1459">
        <f>+I98/I99</f>
        <v>4.8540706348696023</v>
      </c>
      <c r="J100" s="1803">
        <f>+J98/J99</f>
        <v>1</v>
      </c>
      <c r="K100" s="1459">
        <f>+K98/K99</f>
        <v>1</v>
      </c>
      <c r="L100" s="670" t="s">
        <v>102</v>
      </c>
      <c r="M100" s="1361"/>
      <c r="N100" s="1362"/>
      <c r="P100" s="1667"/>
    </row>
    <row r="101" spans="1:32" s="418" customFormat="1">
      <c r="A101" s="1364"/>
      <c r="B101" s="1365" t="s">
        <v>785</v>
      </c>
      <c r="C101" s="1366"/>
      <c r="D101" s="1367"/>
      <c r="E101" s="1368"/>
      <c r="F101" s="1369"/>
      <c r="G101" s="1370"/>
      <c r="H101" s="1371"/>
      <c r="L101" s="670"/>
      <c r="M101" s="670"/>
      <c r="N101" s="1372"/>
      <c r="P101" s="1667"/>
      <c r="Q101" s="1373"/>
    </row>
    <row r="102" spans="1:32" s="418" customFormat="1">
      <c r="A102" s="1266"/>
      <c r="B102" s="849">
        <v>1</v>
      </c>
      <c r="C102" s="850" t="s">
        <v>924</v>
      </c>
      <c r="D102" s="851"/>
      <c r="E102" s="1267"/>
      <c r="F102" s="1531">
        <v>1226187</v>
      </c>
      <c r="G102" s="1374" t="s">
        <v>988</v>
      </c>
      <c r="H102" s="1534">
        <f>+K102+J102+I102</f>
        <v>3080037.3672653013</v>
      </c>
      <c r="I102" s="1535">
        <f>+I$99/$H$99*$F102*I$100</f>
        <v>2334861.3665170115</v>
      </c>
      <c r="J102" s="1535">
        <f t="shared" ref="I102:K103" si="0">+J$99/$H$99*$F102*J$100</f>
        <v>378158.79721351201</v>
      </c>
      <c r="K102" s="1535">
        <f t="shared" si="0"/>
        <v>367017.20353477763</v>
      </c>
      <c r="L102" s="1268" t="s">
        <v>989</v>
      </c>
      <c r="M102" s="668"/>
      <c r="N102" s="1269"/>
      <c r="O102" s="764"/>
      <c r="P102" s="1667"/>
    </row>
    <row r="103" spans="1:32" s="418" customFormat="1">
      <c r="A103" s="1266"/>
      <c r="B103" s="849">
        <v>2</v>
      </c>
      <c r="C103" s="850" t="s">
        <v>98</v>
      </c>
      <c r="D103" s="851"/>
      <c r="E103" s="1267"/>
      <c r="F103" s="1531">
        <v>577547</v>
      </c>
      <c r="G103" s="1374" t="s">
        <v>988</v>
      </c>
      <c r="H103" s="1534">
        <f>+I103+J103+K103</f>
        <v>1450730.0610363453</v>
      </c>
      <c r="I103" s="1535">
        <f t="shared" si="0"/>
        <v>1099744.3111432437</v>
      </c>
      <c r="J103" s="1535">
        <f t="shared" si="0"/>
        <v>178116.77896949829</v>
      </c>
      <c r="K103" s="1535">
        <f t="shared" si="0"/>
        <v>172868.97092360319</v>
      </c>
      <c r="L103" s="1097" t="s">
        <v>990</v>
      </c>
      <c r="M103" s="668"/>
      <c r="N103" s="1269"/>
      <c r="O103" s="764"/>
      <c r="P103" s="1667"/>
    </row>
    <row r="104" spans="1:32" s="418" customFormat="1" ht="13.5" customHeight="1">
      <c r="A104" s="1266"/>
      <c r="B104" s="849">
        <v>3</v>
      </c>
      <c r="C104" s="1268" t="s">
        <v>928</v>
      </c>
      <c r="D104" s="851"/>
      <c r="E104" s="1267"/>
      <c r="F104" s="1532"/>
      <c r="G104" s="1375" t="s">
        <v>991</v>
      </c>
      <c r="H104" s="1534"/>
      <c r="I104" s="1536"/>
      <c r="J104" s="1536"/>
      <c r="K104" s="1536"/>
      <c r="L104" s="1268" t="s">
        <v>992</v>
      </c>
      <c r="M104" s="668"/>
      <c r="N104" s="1270"/>
      <c r="P104" s="1667"/>
    </row>
    <row r="105" spans="1:32" s="418" customFormat="1">
      <c r="A105" s="1266"/>
      <c r="B105" s="849">
        <v>4</v>
      </c>
      <c r="C105" s="850" t="s">
        <v>925</v>
      </c>
      <c r="D105" s="851"/>
      <c r="E105" s="1267"/>
      <c r="F105" s="1531"/>
      <c r="G105" s="1375" t="s">
        <v>991</v>
      </c>
      <c r="H105" s="1534"/>
      <c r="I105" s="1536"/>
      <c r="J105" s="1536"/>
      <c r="K105" s="1537"/>
      <c r="L105" s="1268"/>
      <c r="M105" s="1268"/>
      <c r="N105" s="1271"/>
      <c r="P105" s="1667"/>
    </row>
    <row r="106" spans="1:32" s="418" customFormat="1">
      <c r="A106" s="1266"/>
      <c r="B106" s="849">
        <v>5</v>
      </c>
      <c r="C106" s="1268" t="s">
        <v>926</v>
      </c>
      <c r="D106" s="851"/>
      <c r="E106" s="1267"/>
      <c r="F106" s="1531"/>
      <c r="G106" s="1375" t="s">
        <v>991</v>
      </c>
      <c r="H106" s="1534"/>
      <c r="I106" s="1536"/>
      <c r="J106" s="1536"/>
      <c r="K106" s="1537"/>
      <c r="L106" s="1268"/>
      <c r="M106" s="1268"/>
      <c r="N106" s="1271"/>
      <c r="P106" s="1667"/>
    </row>
    <row r="107" spans="1:32" s="418" customFormat="1">
      <c r="A107" s="1266"/>
      <c r="B107" s="849">
        <v>6</v>
      </c>
      <c r="C107" s="850" t="s">
        <v>927</v>
      </c>
      <c r="D107" s="851"/>
      <c r="E107" s="1267"/>
      <c r="F107" s="1531"/>
      <c r="G107" s="1375" t="s">
        <v>991</v>
      </c>
      <c r="H107" s="1534"/>
      <c r="I107" s="1536"/>
      <c r="J107" s="1536"/>
      <c r="K107" s="1537"/>
      <c r="L107" s="1268"/>
      <c r="M107" s="1268"/>
      <c r="N107" s="1271"/>
      <c r="P107" s="1667"/>
    </row>
    <row r="108" spans="1:32" s="418" customFormat="1">
      <c r="A108" s="1266"/>
      <c r="B108" s="849">
        <v>7</v>
      </c>
      <c r="C108" s="850" t="s">
        <v>929</v>
      </c>
      <c r="D108" s="851"/>
      <c r="E108" s="1267"/>
      <c r="F108" s="1533">
        <v>14242230</v>
      </c>
      <c r="G108" s="1375" t="s">
        <v>993</v>
      </c>
      <c r="H108" s="1538"/>
      <c r="I108" s="1539"/>
      <c r="J108" s="1539"/>
      <c r="K108" s="1540"/>
      <c r="M108" s="1268"/>
      <c r="N108" s="1271"/>
      <c r="P108" s="1667"/>
    </row>
    <row r="109" spans="1:32" s="418" customFormat="1" ht="13.5" thickBot="1">
      <c r="A109" s="1272">
        <f>+'ATT H-1 '!A126</f>
        <v>75</v>
      </c>
      <c r="B109" s="853">
        <v>8</v>
      </c>
      <c r="C109" s="854" t="s">
        <v>905</v>
      </c>
      <c r="D109" s="854" t="s">
        <v>614</v>
      </c>
      <c r="E109" s="855"/>
      <c r="F109" s="1376">
        <f>SUM(F102:F108)</f>
        <v>16045964</v>
      </c>
      <c r="G109" s="1273"/>
      <c r="H109" s="1377">
        <f>SUM(H102:H108)</f>
        <v>4530767.4283016464</v>
      </c>
      <c r="I109" s="1377">
        <f>SUM(I102:I108)</f>
        <v>3434605.6776602552</v>
      </c>
      <c r="J109" s="1377">
        <f>SUM(J102:J108)</f>
        <v>556275.57618301036</v>
      </c>
      <c r="K109" s="1377">
        <f>SUM(K102:K108)</f>
        <v>539886.17445838079</v>
      </c>
      <c r="L109" s="1302"/>
      <c r="M109" s="1377"/>
      <c r="N109" s="1378"/>
      <c r="P109" s="1667"/>
    </row>
    <row r="110" spans="1:32" s="418" customFormat="1">
      <c r="A110" s="1379"/>
      <c r="B110" s="1380"/>
      <c r="C110" s="1381"/>
      <c r="D110" s="1381"/>
      <c r="E110" s="1379"/>
      <c r="F110" s="1382"/>
      <c r="G110" s="1383"/>
      <c r="H110" s="1384"/>
      <c r="I110" s="1384"/>
      <c r="J110" s="1384"/>
      <c r="K110" s="1384"/>
      <c r="L110" s="1097"/>
      <c r="M110" s="1384"/>
      <c r="N110" s="1384"/>
      <c r="P110" s="189"/>
    </row>
    <row r="111" spans="1:32" ht="13.5" thickBot="1">
      <c r="A111" s="365" t="s">
        <v>652</v>
      </c>
      <c r="B111" s="234"/>
      <c r="C111" s="234"/>
      <c r="D111" s="234"/>
      <c r="E111" s="234"/>
      <c r="F111" s="234"/>
      <c r="G111" s="234"/>
      <c r="H111" s="234"/>
      <c r="I111" s="234"/>
      <c r="J111" s="234"/>
      <c r="K111" s="412"/>
      <c r="L111" s="412"/>
      <c r="M111" s="412"/>
      <c r="N111" s="412"/>
      <c r="AE111" s="418"/>
      <c r="AF111" s="413"/>
    </row>
    <row r="112" spans="1:32" ht="25.5">
      <c r="A112" s="1989" t="s">
        <v>1087</v>
      </c>
      <c r="B112" s="1990"/>
      <c r="C112" s="1990"/>
      <c r="D112" s="1990"/>
      <c r="E112" s="1990"/>
      <c r="F112" s="1999"/>
      <c r="G112" s="921"/>
      <c r="H112" s="1263" t="s">
        <v>164</v>
      </c>
      <c r="I112" s="529" t="s">
        <v>167</v>
      </c>
      <c r="J112" s="529" t="s">
        <v>648</v>
      </c>
      <c r="K112" s="529" t="s">
        <v>168</v>
      </c>
      <c r="L112" s="1991" t="s">
        <v>139</v>
      </c>
      <c r="M112" s="1991"/>
      <c r="N112" s="2007"/>
      <c r="AE112" s="418"/>
      <c r="AF112" s="413"/>
    </row>
    <row r="113" spans="1:14">
      <c r="A113" s="196"/>
      <c r="B113" s="230" t="s">
        <v>785</v>
      </c>
      <c r="C113" s="242"/>
      <c r="D113" s="211"/>
      <c r="E113" s="232"/>
      <c r="F113" s="233"/>
      <c r="G113" s="211"/>
      <c r="H113" s="246"/>
      <c r="I113" s="242"/>
      <c r="J113" s="242"/>
      <c r="K113" s="242"/>
      <c r="L113" s="739"/>
      <c r="M113" s="739"/>
      <c r="N113" s="1264"/>
    </row>
    <row r="114" spans="1:14" ht="13.5" thickBot="1">
      <c r="A114" s="1337" t="s">
        <v>520</v>
      </c>
      <c r="B114" s="241"/>
      <c r="C114" s="207" t="s">
        <v>906</v>
      </c>
      <c r="D114" s="243"/>
      <c r="E114" s="1274"/>
      <c r="F114" s="208" t="s">
        <v>586</v>
      </c>
      <c r="G114" s="207"/>
      <c r="H114" s="416">
        <v>56129</v>
      </c>
      <c r="I114" s="646">
        <v>0</v>
      </c>
      <c r="J114" s="1742">
        <v>0</v>
      </c>
      <c r="K114" s="524">
        <v>0</v>
      </c>
      <c r="L114" s="1101"/>
      <c r="M114" s="1101" t="s">
        <v>662</v>
      </c>
      <c r="N114" s="1102"/>
    </row>
    <row r="115" spans="1:14">
      <c r="A115" s="234"/>
      <c r="B115" s="234"/>
      <c r="C115" s="234"/>
      <c r="D115" s="234"/>
      <c r="E115" s="234"/>
      <c r="F115" s="234"/>
      <c r="G115" s="234"/>
      <c r="H115" s="234"/>
      <c r="I115" s="234"/>
      <c r="J115" s="234"/>
      <c r="K115" s="412"/>
      <c r="L115" s="412"/>
      <c r="M115" s="412"/>
      <c r="N115" s="412"/>
    </row>
    <row r="116" spans="1:14">
      <c r="A116" s="234"/>
      <c r="B116" s="234"/>
      <c r="C116" s="234"/>
      <c r="D116" s="234"/>
      <c r="E116" s="234"/>
      <c r="F116" s="234"/>
      <c r="G116" s="234"/>
      <c r="H116" s="234"/>
      <c r="I116" s="234"/>
      <c r="J116" s="234"/>
      <c r="K116" s="412"/>
      <c r="L116" s="412"/>
      <c r="M116" s="412"/>
      <c r="N116" s="412"/>
    </row>
    <row r="117" spans="1:14" ht="13.5" thickBot="1">
      <c r="A117" s="365" t="s">
        <v>653</v>
      </c>
      <c r="B117" s="234"/>
      <c r="C117" s="234"/>
      <c r="D117" s="234"/>
      <c r="E117" s="234"/>
      <c r="F117" s="234"/>
      <c r="G117" s="234"/>
      <c r="H117" s="234"/>
      <c r="I117" s="234"/>
      <c r="J117" s="234"/>
      <c r="K117" s="412"/>
      <c r="L117" s="412"/>
      <c r="M117" s="412"/>
      <c r="N117" s="412"/>
    </row>
    <row r="118" spans="1:14" ht="51">
      <c r="A118" s="1989" t="s">
        <v>1087</v>
      </c>
      <c r="B118" s="1990"/>
      <c r="C118" s="1990"/>
      <c r="D118" s="1990"/>
      <c r="E118" s="1990"/>
      <c r="F118" s="1999"/>
      <c r="G118" s="921"/>
      <c r="H118" s="1263" t="str">
        <f>+C120</f>
        <v>Excluded Transmission Facilities - Colstrip Facilities</v>
      </c>
      <c r="I118" s="1991" t="s">
        <v>171</v>
      </c>
      <c r="J118" s="1992"/>
      <c r="K118" s="1992"/>
      <c r="L118" s="1992"/>
      <c r="M118" s="1992"/>
      <c r="N118" s="1993"/>
    </row>
    <row r="119" spans="1:14">
      <c r="A119" s="331"/>
      <c r="B119" s="202" t="s">
        <v>787</v>
      </c>
      <c r="C119" s="230"/>
      <c r="D119" s="244"/>
      <c r="E119" s="1265"/>
      <c r="F119" s="1275"/>
      <c r="G119" s="1276"/>
      <c r="H119" s="246"/>
      <c r="I119" s="242"/>
      <c r="J119" s="242"/>
      <c r="K119" s="739"/>
      <c r="L119" s="739"/>
      <c r="M119" s="739"/>
      <c r="N119" s="1264"/>
    </row>
    <row r="120" spans="1:14">
      <c r="A120" s="196">
        <f>'ATT H-1 '!A259</f>
        <v>158</v>
      </c>
      <c r="B120" s="209"/>
      <c r="C120" s="198" t="s">
        <v>257</v>
      </c>
      <c r="D120" s="244" t="s">
        <v>875</v>
      </c>
      <c r="E120" s="203"/>
      <c r="F120" s="204"/>
      <c r="G120" s="198"/>
      <c r="H120" s="1277">
        <f>'WKSHT3 - All GIFs'!C8</f>
        <v>3873000</v>
      </c>
      <c r="I120" s="1986" t="s">
        <v>243</v>
      </c>
      <c r="J120" s="1987"/>
      <c r="K120" s="1987"/>
      <c r="L120" s="1987"/>
      <c r="M120" s="1987"/>
      <c r="N120" s="1988"/>
    </row>
    <row r="121" spans="1:14">
      <c r="A121" s="196"/>
      <c r="B121" s="209"/>
      <c r="C121" s="198" t="s">
        <v>258</v>
      </c>
      <c r="D121" s="244" t="s">
        <v>875</v>
      </c>
      <c r="E121" s="203"/>
      <c r="F121" s="204"/>
      <c r="G121" s="198"/>
      <c r="H121" s="1277">
        <f>'WKSHT3 - All GIFs'!C85</f>
        <v>176930000</v>
      </c>
      <c r="I121" s="414"/>
      <c r="J121" s="192"/>
      <c r="K121" s="717"/>
      <c r="L121" s="717"/>
      <c r="M121" s="717"/>
      <c r="N121" s="729"/>
    </row>
    <row r="122" spans="1:14">
      <c r="A122" s="196"/>
      <c r="B122" s="209"/>
      <c r="C122" s="721" t="s">
        <v>996</v>
      </c>
      <c r="D122" s="244" t="s">
        <v>875</v>
      </c>
      <c r="E122" s="203"/>
      <c r="F122" s="204"/>
      <c r="G122" s="198"/>
      <c r="H122" s="1277">
        <v>0</v>
      </c>
      <c r="I122" s="414"/>
      <c r="J122" s="192"/>
      <c r="K122" s="717"/>
      <c r="L122" s="717"/>
      <c r="M122" s="717"/>
      <c r="N122" s="729"/>
    </row>
    <row r="123" spans="1:14">
      <c r="A123" s="196"/>
      <c r="B123" s="209"/>
      <c r="C123" s="198" t="s">
        <v>851</v>
      </c>
      <c r="D123" s="244"/>
      <c r="E123" s="203"/>
      <c r="F123" s="204"/>
      <c r="G123" s="198"/>
      <c r="H123" s="1278">
        <f>SUM(H120:H122)</f>
        <v>180803000</v>
      </c>
      <c r="I123" s="414"/>
      <c r="J123" s="192"/>
      <c r="K123" s="717"/>
      <c r="L123" s="717"/>
      <c r="M123" s="717"/>
      <c r="N123" s="729"/>
    </row>
    <row r="124" spans="1:14" ht="13.5" thickBot="1">
      <c r="A124" s="330"/>
      <c r="B124" s="236"/>
      <c r="C124" s="236"/>
      <c r="D124" s="236"/>
      <c r="E124" s="236"/>
      <c r="F124" s="1279"/>
      <c r="G124" s="236"/>
      <c r="H124" s="330"/>
      <c r="I124" s="236"/>
      <c r="J124" s="236"/>
      <c r="K124" s="1280"/>
      <c r="L124" s="1281" t="s">
        <v>172</v>
      </c>
      <c r="M124" s="1280"/>
      <c r="N124" s="1282"/>
    </row>
    <row r="125" spans="1:14">
      <c r="A125" s="242"/>
      <c r="B125" s="242"/>
      <c r="C125" s="242"/>
      <c r="D125" s="242"/>
      <c r="E125" s="242"/>
      <c r="F125" s="242"/>
      <c r="G125" s="242"/>
      <c r="H125" s="242"/>
      <c r="I125" s="242"/>
      <c r="J125" s="242"/>
      <c r="K125" s="739"/>
      <c r="L125" s="1283"/>
      <c r="M125" s="739"/>
      <c r="N125" s="739"/>
    </row>
    <row r="126" spans="1:14" ht="13.5" thickBot="1">
      <c r="A126" s="365" t="s">
        <v>873</v>
      </c>
      <c r="B126" s="234"/>
      <c r="C126" s="234"/>
      <c r="D126" s="234"/>
      <c r="E126" s="234"/>
      <c r="F126" s="234"/>
      <c r="G126" s="234"/>
      <c r="H126" s="234"/>
      <c r="I126" s="234"/>
      <c r="J126" s="234"/>
      <c r="K126" s="412"/>
      <c r="L126" s="412"/>
      <c r="M126" s="412"/>
      <c r="N126" s="412"/>
    </row>
    <row r="127" spans="1:14" ht="49.5" customHeight="1">
      <c r="A127" s="1989" t="s">
        <v>1087</v>
      </c>
      <c r="B127" s="1990"/>
      <c r="C127" s="1990"/>
      <c r="D127" s="1990"/>
      <c r="E127" s="1990"/>
      <c r="F127" s="1999"/>
      <c r="G127" s="1106"/>
      <c r="H127" s="529" t="s">
        <v>234</v>
      </c>
      <c r="I127" s="529" t="s">
        <v>235</v>
      </c>
      <c r="J127" s="529" t="s">
        <v>236</v>
      </c>
      <c r="K127" s="529" t="s">
        <v>877</v>
      </c>
      <c r="L127" s="529" t="s">
        <v>280</v>
      </c>
      <c r="M127" s="529" t="s">
        <v>139</v>
      </c>
      <c r="N127" s="1230"/>
    </row>
    <row r="128" spans="1:14">
      <c r="A128" s="331">
        <f>+'ATT H-1 '!A72</f>
        <v>41</v>
      </c>
      <c r="B128" s="230" t="s">
        <v>724</v>
      </c>
      <c r="C128" s="242"/>
      <c r="D128" s="211"/>
      <c r="E128" s="232"/>
      <c r="F128" s="233"/>
      <c r="G128" s="634"/>
      <c r="H128" s="247"/>
      <c r="I128" s="247" t="s">
        <v>170</v>
      </c>
      <c r="J128" s="247"/>
      <c r="K128" s="743"/>
      <c r="L128" s="743"/>
      <c r="M128" s="739"/>
      <c r="N128" s="1264"/>
    </row>
    <row r="129" spans="1:15">
      <c r="A129" s="196"/>
      <c r="B129" s="242" t="s">
        <v>876</v>
      </c>
      <c r="C129" s="242"/>
      <c r="D129" s="229"/>
      <c r="E129" s="232"/>
      <c r="F129" s="233"/>
      <c r="G129" s="634"/>
      <c r="H129" s="242"/>
      <c r="I129" s="242"/>
      <c r="J129" s="242"/>
      <c r="K129" s="1284"/>
      <c r="L129" s="739"/>
      <c r="M129" s="739"/>
      <c r="N129" s="1264"/>
      <c r="O129" s="412"/>
    </row>
    <row r="130" spans="1:15">
      <c r="A130" s="196"/>
      <c r="B130" s="230"/>
      <c r="C130" s="1631" t="s">
        <v>409</v>
      </c>
      <c r="D130" s="242"/>
      <c r="E130" s="232"/>
      <c r="F130" s="233"/>
      <c r="G130" s="634"/>
      <c r="H130" s="1838">
        <v>11473641</v>
      </c>
      <c r="I130" s="1838">
        <v>11856486.98</v>
      </c>
      <c r="J130" s="1632"/>
      <c r="K130" s="1636"/>
      <c r="L130" s="1637"/>
      <c r="M130" s="1637"/>
      <c r="N130" s="1264"/>
      <c r="O130" s="412"/>
    </row>
    <row r="131" spans="1:15">
      <c r="A131" s="196"/>
      <c r="B131" s="230"/>
      <c r="C131" s="1631" t="s">
        <v>431</v>
      </c>
      <c r="D131" s="242"/>
      <c r="E131" s="232"/>
      <c r="F131" s="233"/>
      <c r="G131" s="634"/>
      <c r="H131" s="1838">
        <v>296410.96999999997</v>
      </c>
      <c r="I131" s="1838">
        <v>312479.49</v>
      </c>
      <c r="J131" s="1632"/>
      <c r="K131" s="1636"/>
      <c r="L131" s="1637"/>
      <c r="M131" s="1637"/>
      <c r="N131" s="1264"/>
      <c r="O131" s="412"/>
    </row>
    <row r="132" spans="1:15">
      <c r="A132" s="196"/>
      <c r="B132" s="230"/>
      <c r="C132" s="1632"/>
      <c r="D132" s="229"/>
      <c r="E132" s="232"/>
      <c r="F132" s="233"/>
      <c r="G132" s="634"/>
      <c r="H132" s="1638"/>
      <c r="I132" s="1638"/>
      <c r="J132" s="1638"/>
      <c r="K132" s="1636"/>
      <c r="L132" s="1637"/>
      <c r="M132" s="1637"/>
      <c r="N132" s="1264"/>
      <c r="O132" s="412"/>
    </row>
    <row r="133" spans="1:15">
      <c r="A133" s="196"/>
      <c r="B133" s="230"/>
      <c r="C133" s="1632" t="s">
        <v>851</v>
      </c>
      <c r="D133" s="211"/>
      <c r="E133" s="211" t="s">
        <v>269</v>
      </c>
      <c r="F133" s="893"/>
      <c r="G133" s="246"/>
      <c r="H133" s="1639">
        <f>SUM(H130:H131)</f>
        <v>11770051.970000001</v>
      </c>
      <c r="I133" s="1639">
        <f>SUM(I130:I131)</f>
        <v>12168966.470000001</v>
      </c>
      <c r="J133" s="1640">
        <f>(I133+H133)/2</f>
        <v>11969509.220000001</v>
      </c>
      <c r="K133" s="1641">
        <v>1</v>
      </c>
      <c r="L133" s="1458">
        <f>+J133*K133</f>
        <v>11969509.220000001</v>
      </c>
      <c r="M133" s="1637" t="s">
        <v>432</v>
      </c>
      <c r="N133" s="1264"/>
      <c r="O133" s="412"/>
    </row>
    <row r="134" spans="1:15">
      <c r="A134" s="196"/>
      <c r="B134" s="230"/>
      <c r="C134" s="1632"/>
      <c r="D134" s="211"/>
      <c r="E134" s="232"/>
      <c r="F134" s="233"/>
      <c r="G134" s="634"/>
      <c r="H134" s="1639"/>
      <c r="I134" s="1639"/>
      <c r="J134" s="1639"/>
      <c r="K134" s="1636"/>
      <c r="L134" s="1642"/>
      <c r="M134" s="1637"/>
      <c r="N134" s="1264"/>
    </row>
    <row r="135" spans="1:15" ht="16.5" customHeight="1">
      <c r="A135" s="196"/>
      <c r="B135" s="242" t="s">
        <v>363</v>
      </c>
      <c r="C135" s="1632"/>
      <c r="D135" s="229"/>
      <c r="E135" s="232"/>
      <c r="F135" s="233"/>
      <c r="G135" s="634"/>
      <c r="H135" s="1639"/>
      <c r="I135" s="1639"/>
      <c r="J135" s="1639"/>
      <c r="K135" s="1637"/>
      <c r="L135" s="1637"/>
      <c r="M135" s="1637"/>
      <c r="N135" s="1264"/>
    </row>
    <row r="136" spans="1:15">
      <c r="A136" s="196"/>
      <c r="C136" s="1631" t="s">
        <v>259</v>
      </c>
      <c r="D136" s="103"/>
      <c r="E136" s="635"/>
      <c r="F136" s="199"/>
      <c r="G136" s="321"/>
      <c r="H136" s="1635">
        <v>7299033.2699999996</v>
      </c>
      <c r="I136" s="1635">
        <v>7057695.9000000004</v>
      </c>
      <c r="J136" s="1640">
        <f t="shared" ref="J136:J148" si="1">(I136+H136)/2</f>
        <v>7178364.585</v>
      </c>
      <c r="K136" s="1643"/>
      <c r="L136" s="1642"/>
      <c r="M136" s="1637"/>
      <c r="N136" s="738"/>
    </row>
    <row r="137" spans="1:15" ht="16.5" customHeight="1">
      <c r="A137" s="196"/>
      <c r="C137" s="1631" t="s">
        <v>260</v>
      </c>
      <c r="D137" s="103"/>
      <c r="E137" s="635"/>
      <c r="F137" s="199"/>
      <c r="G137" s="321"/>
      <c r="H137" s="1635">
        <v>13984328.66</v>
      </c>
      <c r="I137" s="1635">
        <v>12585903.109999999</v>
      </c>
      <c r="J137" s="1640">
        <f t="shared" si="1"/>
        <v>13285115.885</v>
      </c>
      <c r="K137" s="1643"/>
      <c r="L137" s="1642"/>
      <c r="M137" s="1637"/>
      <c r="N137" s="738"/>
    </row>
    <row r="138" spans="1:15" ht="16.5" customHeight="1">
      <c r="A138" s="196"/>
      <c r="B138" s="230"/>
      <c r="C138" s="1631" t="s">
        <v>1353</v>
      </c>
      <c r="D138" s="211"/>
      <c r="E138" s="232"/>
      <c r="F138" s="199"/>
      <c r="G138" s="321"/>
      <c r="H138" s="1635">
        <v>4296577.99</v>
      </c>
      <c r="I138" s="1635">
        <v>3509231.35</v>
      </c>
      <c r="J138" s="1640">
        <f t="shared" si="1"/>
        <v>3902904.67</v>
      </c>
      <c r="K138" s="1643"/>
      <c r="L138" s="1642"/>
      <c r="M138" s="1637"/>
      <c r="N138" s="738"/>
    </row>
    <row r="139" spans="1:15" ht="16.5" customHeight="1">
      <c r="A139" s="196"/>
      <c r="B139" s="230"/>
      <c r="C139" s="1631" t="s">
        <v>1272</v>
      </c>
      <c r="D139" s="709"/>
      <c r="E139" s="232"/>
      <c r="F139" s="199"/>
      <c r="G139" s="321"/>
      <c r="H139" s="1635">
        <v>2872500</v>
      </c>
      <c r="I139" s="1635">
        <v>2782500</v>
      </c>
      <c r="J139" s="1640">
        <f t="shared" si="1"/>
        <v>2827500</v>
      </c>
      <c r="K139" s="1643"/>
      <c r="L139" s="1642"/>
      <c r="M139" s="1637"/>
      <c r="N139" s="738"/>
    </row>
    <row r="140" spans="1:15" ht="16.5" customHeight="1">
      <c r="A140" s="196"/>
      <c r="B140" s="230"/>
      <c r="C140" s="1631" t="s">
        <v>1273</v>
      </c>
      <c r="D140" s="709"/>
      <c r="E140" s="232"/>
      <c r="F140" s="199"/>
      <c r="G140" s="321"/>
      <c r="H140" s="1635">
        <v>6904958.9900000002</v>
      </c>
      <c r="I140" s="1635">
        <v>8550546.8100000005</v>
      </c>
      <c r="J140" s="1640">
        <f t="shared" si="1"/>
        <v>7727752.9000000004</v>
      </c>
      <c r="K140" s="1643"/>
      <c r="L140" s="1642"/>
      <c r="M140" s="1637"/>
      <c r="N140" s="738"/>
    </row>
    <row r="141" spans="1:15" ht="16.5" customHeight="1">
      <c r="A141" s="196"/>
      <c r="B141" s="230"/>
      <c r="C141" s="1631" t="s">
        <v>1274</v>
      </c>
      <c r="D141" s="710"/>
      <c r="E141" s="232"/>
      <c r="F141" s="199"/>
      <c r="G141" s="321"/>
      <c r="H141" s="1635">
        <v>1713310.47</v>
      </c>
      <c r="I141" s="1635">
        <v>1956043.13</v>
      </c>
      <c r="J141" s="1640">
        <f t="shared" si="1"/>
        <v>1834676.7999999998</v>
      </c>
      <c r="K141" s="1643"/>
      <c r="L141" s="1642"/>
      <c r="M141" s="1637"/>
      <c r="N141" s="738"/>
    </row>
    <row r="142" spans="1:15" ht="16.5" customHeight="1">
      <c r="A142" s="196"/>
      <c r="B142" s="230"/>
      <c r="C142" s="1631" t="s">
        <v>84</v>
      </c>
      <c r="D142" s="710"/>
      <c r="E142" s="232"/>
      <c r="F142" s="199"/>
      <c r="G142" s="321"/>
      <c r="H142" s="1635">
        <v>88000</v>
      </c>
      <c r="I142" s="1635">
        <v>-307500</v>
      </c>
      <c r="J142" s="1640">
        <f t="shared" si="1"/>
        <v>-109750</v>
      </c>
      <c r="K142" s="1643"/>
      <c r="L142" s="1642"/>
      <c r="M142" s="1637"/>
      <c r="N142" s="738"/>
    </row>
    <row r="143" spans="1:15" ht="16.5" customHeight="1">
      <c r="A143" s="196"/>
      <c r="B143" s="230"/>
      <c r="C143" s="1631" t="s">
        <v>85</v>
      </c>
      <c r="D143" s="710"/>
      <c r="E143" s="232"/>
      <c r="F143" s="199"/>
      <c r="G143" s="321"/>
      <c r="H143" s="1635">
        <v>33521849.91</v>
      </c>
      <c r="I143" s="1635">
        <v>28222945.059999999</v>
      </c>
      <c r="J143" s="1640">
        <f t="shared" si="1"/>
        <v>30872397.484999999</v>
      </c>
      <c r="K143" s="1643"/>
      <c r="L143" s="1642"/>
      <c r="M143" s="1637"/>
      <c r="N143" s="738"/>
    </row>
    <row r="144" spans="1:15" ht="16.5" customHeight="1">
      <c r="A144" s="196"/>
      <c r="B144" s="230"/>
      <c r="C144" s="1633" t="s">
        <v>86</v>
      </c>
      <c r="D144" s="211"/>
      <c r="E144" s="232"/>
      <c r="F144" s="199"/>
      <c r="G144" s="321"/>
      <c r="H144" s="1635">
        <v>2349146.89</v>
      </c>
      <c r="I144" s="1635">
        <v>2113231.06</v>
      </c>
      <c r="J144" s="1640">
        <f t="shared" si="1"/>
        <v>2231188.9750000001</v>
      </c>
      <c r="K144" s="1643"/>
      <c r="L144" s="1642"/>
      <c r="M144" s="1637"/>
      <c r="N144" s="738"/>
    </row>
    <row r="145" spans="1:15" ht="16.5" customHeight="1">
      <c r="A145" s="196"/>
      <c r="B145" s="230"/>
      <c r="C145" s="1633" t="s">
        <v>521</v>
      </c>
      <c r="D145" s="211"/>
      <c r="E145" s="232"/>
      <c r="F145" s="199"/>
      <c r="G145" s="321"/>
      <c r="H145" s="1635">
        <v>-69255165.920000002</v>
      </c>
      <c r="I145" s="1635">
        <v>-128137502.92</v>
      </c>
      <c r="J145" s="1640">
        <f t="shared" si="1"/>
        <v>-98696334.420000002</v>
      </c>
      <c r="K145" s="1643"/>
      <c r="L145" s="1642"/>
      <c r="M145" s="1637"/>
      <c r="N145" s="738"/>
    </row>
    <row r="146" spans="1:15" ht="16.5" customHeight="1">
      <c r="A146" s="196"/>
      <c r="B146" s="230"/>
      <c r="C146" s="1633"/>
      <c r="D146" s="211"/>
      <c r="E146" s="232"/>
      <c r="F146" s="199"/>
      <c r="G146" s="321"/>
      <c r="H146" s="1635"/>
      <c r="I146" s="1635"/>
      <c r="J146" s="1640">
        <f t="shared" si="1"/>
        <v>0</v>
      </c>
      <c r="K146" s="1643"/>
      <c r="L146" s="1642"/>
      <c r="M146" s="1637"/>
      <c r="N146" s="738"/>
    </row>
    <row r="147" spans="1:15" ht="16.5" customHeight="1">
      <c r="A147" s="196"/>
      <c r="B147" s="230"/>
      <c r="C147" s="1784"/>
      <c r="D147" s="211"/>
      <c r="E147" s="232"/>
      <c r="F147" s="199"/>
      <c r="G147" s="321"/>
      <c r="H147" s="1635"/>
      <c r="I147" s="1635"/>
      <c r="J147" s="1640">
        <f t="shared" si="1"/>
        <v>0</v>
      </c>
      <c r="K147" s="1643"/>
      <c r="L147" s="1642"/>
      <c r="M147" s="1637"/>
      <c r="N147" s="738"/>
    </row>
    <row r="148" spans="1:15" ht="16.5" customHeight="1">
      <c r="A148" s="196"/>
      <c r="B148" s="230"/>
      <c r="C148" s="1633"/>
      <c r="D148" s="211"/>
      <c r="E148" s="232"/>
      <c r="F148" s="199"/>
      <c r="G148" s="634"/>
      <c r="H148" s="1644"/>
      <c r="I148" s="1644"/>
      <c r="J148" s="1640">
        <f t="shared" si="1"/>
        <v>0</v>
      </c>
      <c r="K148" s="1643"/>
      <c r="L148" s="1642"/>
      <c r="M148" s="1637"/>
      <c r="N148" s="738"/>
    </row>
    <row r="149" spans="1:15" ht="16.5" customHeight="1">
      <c r="A149" s="196"/>
      <c r="B149" s="230"/>
      <c r="C149" s="1634"/>
      <c r="D149" s="211"/>
      <c r="E149" s="199" t="s">
        <v>268</v>
      </c>
      <c r="F149" s="231"/>
      <c r="G149" s="246"/>
      <c r="H149" s="1639">
        <f>SUM(H136:H148)</f>
        <v>3774540.2600000054</v>
      </c>
      <c r="I149" s="1639">
        <f>SUM(I136:I148)</f>
        <v>-61666906.5</v>
      </c>
      <c r="J149" s="1640">
        <f>(I149+H149)/2</f>
        <v>-28946183.119999997</v>
      </c>
      <c r="K149" s="1641">
        <f>+'ATT H-1 '!H13</f>
        <v>0.10801595633021691</v>
      </c>
      <c r="L149" s="1458">
        <f>+J149*K149</f>
        <v>-3126649.6518163816</v>
      </c>
      <c r="M149" s="1637"/>
      <c r="N149" s="738"/>
      <c r="O149" s="413"/>
    </row>
    <row r="150" spans="1:15" ht="16.5" customHeight="1">
      <c r="A150" s="196"/>
      <c r="B150" s="230"/>
      <c r="C150" s="1632"/>
      <c r="D150" s="211"/>
      <c r="E150" s="195"/>
      <c r="F150" s="199"/>
      <c r="G150" s="634"/>
      <c r="H150" s="1639"/>
      <c r="I150" s="1639"/>
      <c r="J150" s="1639"/>
      <c r="K150" s="1641"/>
      <c r="L150" s="1642"/>
      <c r="M150" s="1637"/>
      <c r="N150" s="738"/>
      <c r="O150" s="413"/>
    </row>
    <row r="151" spans="1:15" ht="16.5" customHeight="1">
      <c r="A151" s="196"/>
      <c r="B151" s="242" t="s">
        <v>169</v>
      </c>
      <c r="C151" s="1632"/>
      <c r="D151" s="211"/>
      <c r="E151" s="232"/>
      <c r="F151" s="233"/>
      <c r="G151" s="634"/>
      <c r="H151" s="1639"/>
      <c r="I151" s="1639"/>
      <c r="J151" s="1639"/>
      <c r="K151" s="1637"/>
      <c r="L151" s="1637"/>
      <c r="M151" s="1637"/>
      <c r="N151" s="1264"/>
      <c r="O151" s="413"/>
    </row>
    <row r="152" spans="1:15" ht="16.5" customHeight="1">
      <c r="A152" s="196"/>
      <c r="B152" s="230"/>
      <c r="C152" s="1634" t="s">
        <v>1183</v>
      </c>
      <c r="D152" s="211"/>
      <c r="E152" s="232" t="s">
        <v>270</v>
      </c>
      <c r="F152" s="233"/>
      <c r="G152" s="634"/>
      <c r="H152" s="1639">
        <v>52634.84</v>
      </c>
      <c r="I152" s="1639">
        <v>67420386.450000003</v>
      </c>
      <c r="J152" s="1640">
        <f t="shared" ref="J152:J194" si="2">(I152+H152)/2</f>
        <v>33736510.645000003</v>
      </c>
      <c r="K152" s="1637"/>
      <c r="L152" s="1637"/>
      <c r="M152" s="1645"/>
      <c r="N152" s="1264"/>
      <c r="O152" s="413"/>
    </row>
    <row r="153" spans="1:15" ht="16.5" customHeight="1">
      <c r="A153" s="196"/>
      <c r="B153" s="230"/>
      <c r="C153" s="1634" t="s">
        <v>1184</v>
      </c>
      <c r="D153" s="211"/>
      <c r="E153" s="232"/>
      <c r="F153" s="233"/>
      <c r="G153" s="634"/>
      <c r="H153" s="1639">
        <v>261252.88</v>
      </c>
      <c r="I153" s="1639">
        <v>352338.44</v>
      </c>
      <c r="J153" s="1640">
        <f t="shared" si="2"/>
        <v>306795.66000000003</v>
      </c>
      <c r="K153" s="1641"/>
      <c r="L153" s="1642"/>
      <c r="M153" s="1645"/>
      <c r="N153" s="1264"/>
    </row>
    <row r="154" spans="1:15" ht="16.5" customHeight="1">
      <c r="A154" s="196"/>
      <c r="B154" s="230"/>
      <c r="C154" s="1634" t="s">
        <v>1211</v>
      </c>
      <c r="D154" s="211"/>
      <c r="E154" s="232"/>
      <c r="F154" s="233"/>
      <c r="G154" s="634"/>
      <c r="H154" s="1639">
        <v>1007703.08</v>
      </c>
      <c r="I154" s="1639">
        <v>1327732.1399999999</v>
      </c>
      <c r="J154" s="1640">
        <f t="shared" si="2"/>
        <v>1167717.6099999999</v>
      </c>
      <c r="K154" s="1641"/>
      <c r="L154" s="1642"/>
      <c r="M154" s="1645"/>
      <c r="N154" s="1264"/>
    </row>
    <row r="155" spans="1:15" ht="16.5" customHeight="1">
      <c r="A155" s="196"/>
      <c r="B155" s="230"/>
      <c r="C155" s="1634" t="s">
        <v>1275</v>
      </c>
      <c r="D155" s="211"/>
      <c r="E155" s="232"/>
      <c r="F155" s="233"/>
      <c r="G155" s="634"/>
      <c r="H155" s="1639">
        <v>24049.56</v>
      </c>
      <c r="I155" s="1639">
        <v>31921.51</v>
      </c>
      <c r="J155" s="1640">
        <f t="shared" si="2"/>
        <v>27985.535</v>
      </c>
      <c r="K155" s="1641"/>
      <c r="L155" s="1642"/>
      <c r="M155" s="1645"/>
      <c r="N155" s="1264"/>
    </row>
    <row r="156" spans="1:15" ht="16.5" customHeight="1">
      <c r="A156" s="196"/>
      <c r="B156" s="230"/>
      <c r="C156" s="1634" t="s">
        <v>1185</v>
      </c>
      <c r="D156" s="211"/>
      <c r="E156" s="232"/>
      <c r="F156" s="233"/>
      <c r="G156" s="634"/>
      <c r="H156" s="1639">
        <v>-1726070.91</v>
      </c>
      <c r="I156" s="1639">
        <v>0</v>
      </c>
      <c r="J156" s="1640">
        <f t="shared" si="2"/>
        <v>-863035.45499999996</v>
      </c>
      <c r="K156" s="1641"/>
      <c r="L156" s="1642"/>
      <c r="M156" s="1645"/>
      <c r="N156" s="1264"/>
    </row>
    <row r="157" spans="1:15" ht="16.5" customHeight="1">
      <c r="A157" s="196"/>
      <c r="B157" s="230"/>
      <c r="C157" s="1634" t="s">
        <v>1186</v>
      </c>
      <c r="D157" s="211"/>
      <c r="E157" s="232"/>
      <c r="F157" s="233"/>
      <c r="G157" s="634"/>
      <c r="H157" s="1639">
        <v>355307.01</v>
      </c>
      <c r="I157" s="1639">
        <v>365298.03</v>
      </c>
      <c r="J157" s="1640">
        <f t="shared" si="2"/>
        <v>360302.52</v>
      </c>
      <c r="K157" s="1641"/>
      <c r="L157" s="1642"/>
      <c r="M157" s="1645"/>
      <c r="N157" s="1264"/>
    </row>
    <row r="158" spans="1:15" ht="16.5" customHeight="1">
      <c r="A158" s="196"/>
      <c r="B158" s="230"/>
      <c r="C158" s="1634" t="s">
        <v>1187</v>
      </c>
      <c r="D158" s="211"/>
      <c r="E158" s="232"/>
      <c r="F158" s="233"/>
      <c r="G158" s="634"/>
      <c r="H158" s="1639">
        <v>138629.79999999999</v>
      </c>
      <c r="I158" s="1639">
        <v>154552.70000000001</v>
      </c>
      <c r="J158" s="1640">
        <f t="shared" si="2"/>
        <v>146591.25</v>
      </c>
      <c r="K158" s="1641"/>
      <c r="L158" s="1642"/>
      <c r="M158" s="1645"/>
      <c r="N158" s="1264"/>
    </row>
    <row r="159" spans="1:15" ht="16.5" customHeight="1">
      <c r="A159" s="196"/>
      <c r="B159" s="230"/>
      <c r="C159" s="1634" t="s">
        <v>1188</v>
      </c>
      <c r="D159" s="211"/>
      <c r="E159" s="232"/>
      <c r="F159" s="233"/>
      <c r="G159" s="634"/>
      <c r="H159" s="1639">
        <v>138629.79999999999</v>
      </c>
      <c r="I159" s="1639">
        <v>154552.70000000001</v>
      </c>
      <c r="J159" s="1640">
        <f t="shared" si="2"/>
        <v>146591.25</v>
      </c>
      <c r="K159" s="1641"/>
      <c r="L159" s="1642"/>
      <c r="M159" s="1645"/>
      <c r="N159" s="1264"/>
    </row>
    <row r="160" spans="1:15" ht="16.5" customHeight="1">
      <c r="A160" s="196"/>
      <c r="B160" s="230"/>
      <c r="C160" s="1634" t="s">
        <v>1189</v>
      </c>
      <c r="D160" s="211"/>
      <c r="E160" s="232"/>
      <c r="F160" s="233"/>
      <c r="G160" s="634"/>
      <c r="H160" s="1639">
        <v>32936.5</v>
      </c>
      <c r="I160" s="1639">
        <v>37730.300000000003</v>
      </c>
      <c r="J160" s="1640">
        <f t="shared" si="2"/>
        <v>35333.4</v>
      </c>
      <c r="K160" s="1637"/>
      <c r="L160" s="1642"/>
      <c r="M160" s="1645"/>
      <c r="N160" s="1264"/>
    </row>
    <row r="161" spans="1:16" ht="16.5" customHeight="1">
      <c r="A161" s="196"/>
      <c r="B161" s="230"/>
      <c r="C161" s="1634" t="s">
        <v>1190</v>
      </c>
      <c r="D161" s="211"/>
      <c r="E161" s="232"/>
      <c r="F161" s="233"/>
      <c r="G161" s="634"/>
      <c r="H161" s="1639">
        <v>32936.5</v>
      </c>
      <c r="I161" s="1639">
        <v>37730.300000000003</v>
      </c>
      <c r="J161" s="1640">
        <f t="shared" si="2"/>
        <v>35333.4</v>
      </c>
      <c r="K161" s="1637"/>
      <c r="L161" s="1642"/>
      <c r="M161" s="1645"/>
      <c r="N161" s="1264"/>
    </row>
    <row r="162" spans="1:16" ht="16.5" customHeight="1">
      <c r="A162" s="196"/>
      <c r="B162" s="230"/>
      <c r="C162" s="1634" t="s">
        <v>1191</v>
      </c>
      <c r="D162" s="211"/>
      <c r="E162" s="232"/>
      <c r="F162" s="233"/>
      <c r="G162" s="634"/>
      <c r="H162" s="1639">
        <v>4807934</v>
      </c>
      <c r="I162" s="1639">
        <v>1166666</v>
      </c>
      <c r="J162" s="1640">
        <f t="shared" si="2"/>
        <v>2987300</v>
      </c>
      <c r="K162" s="1637"/>
      <c r="L162" s="1642"/>
      <c r="M162" s="1645"/>
      <c r="N162" s="1264"/>
    </row>
    <row r="163" spans="1:16" ht="16.5" customHeight="1">
      <c r="A163" s="196"/>
      <c r="B163" s="230"/>
      <c r="C163" s="1634" t="s">
        <v>1328</v>
      </c>
      <c r="D163" s="211"/>
      <c r="E163" s="232"/>
      <c r="F163" s="233"/>
      <c r="G163" s="634"/>
      <c r="H163" s="1639">
        <v>742500</v>
      </c>
      <c r="I163" s="1639">
        <v>0</v>
      </c>
      <c r="J163" s="1640">
        <f t="shared" si="2"/>
        <v>371250</v>
      </c>
      <c r="K163" s="1637"/>
      <c r="L163" s="1642"/>
      <c r="M163" s="1645"/>
      <c r="N163" s="1264"/>
    </row>
    <row r="164" spans="1:16" ht="16.5" customHeight="1">
      <c r="A164" s="196"/>
      <c r="B164" s="230"/>
      <c r="C164" s="1634" t="s">
        <v>1276</v>
      </c>
      <c r="D164" s="211"/>
      <c r="E164" s="232"/>
      <c r="F164" s="233"/>
      <c r="G164" s="634"/>
      <c r="H164" s="1639">
        <v>0</v>
      </c>
      <c r="I164" s="1639"/>
      <c r="J164" s="1640">
        <f t="shared" si="2"/>
        <v>0</v>
      </c>
      <c r="K164" s="1637"/>
      <c r="L164" s="1642"/>
      <c r="M164" s="1645"/>
      <c r="N164" s="1264"/>
      <c r="P164" s="234"/>
    </row>
    <row r="165" spans="1:16" ht="16.5" customHeight="1">
      <c r="A165" s="196"/>
      <c r="B165" s="230"/>
      <c r="C165" s="1866" t="s">
        <v>1277</v>
      </c>
      <c r="D165" s="211"/>
      <c r="E165" s="232"/>
      <c r="F165" s="233"/>
      <c r="G165" s="634"/>
      <c r="H165" s="1639">
        <v>0</v>
      </c>
      <c r="I165" s="1639">
        <v>406375</v>
      </c>
      <c r="J165" s="1640">
        <f t="shared" si="2"/>
        <v>203187.5</v>
      </c>
      <c r="K165" s="1637"/>
      <c r="L165" s="1642"/>
      <c r="M165" s="1645"/>
      <c r="N165" s="1264"/>
      <c r="P165" s="234"/>
    </row>
    <row r="166" spans="1:16" ht="16.5" customHeight="1">
      <c r="A166" s="196"/>
      <c r="B166" s="230"/>
      <c r="C166" s="1634" t="s">
        <v>1278</v>
      </c>
      <c r="D166" s="211"/>
      <c r="E166" s="232"/>
      <c r="F166" s="233"/>
      <c r="G166" s="634"/>
      <c r="H166" s="1639">
        <v>116847.53</v>
      </c>
      <c r="I166" s="1639">
        <v>120352.94</v>
      </c>
      <c r="J166" s="1640">
        <f t="shared" si="2"/>
        <v>118600.235</v>
      </c>
      <c r="K166" s="1637"/>
      <c r="L166" s="1642"/>
      <c r="M166" s="1645"/>
      <c r="N166" s="1264"/>
      <c r="P166" s="234"/>
    </row>
    <row r="167" spans="1:16" ht="16.5" customHeight="1">
      <c r="A167" s="196"/>
      <c r="B167" s="230"/>
      <c r="C167" s="1634" t="s">
        <v>1279</v>
      </c>
      <c r="D167" s="211"/>
      <c r="E167" s="232"/>
      <c r="F167" s="233"/>
      <c r="G167" s="634"/>
      <c r="H167" s="1639">
        <v>116847.53</v>
      </c>
      <c r="I167" s="1639">
        <v>120352.94</v>
      </c>
      <c r="J167" s="1640">
        <f t="shared" si="2"/>
        <v>118600.235</v>
      </c>
      <c r="K167" s="1637"/>
      <c r="L167" s="1642"/>
      <c r="M167" s="1645"/>
      <c r="N167" s="1264"/>
      <c r="P167" s="234"/>
    </row>
    <row r="168" spans="1:16" ht="16.5" customHeight="1">
      <c r="A168" s="196"/>
      <c r="B168" s="230"/>
      <c r="C168" s="1634" t="s">
        <v>1280</v>
      </c>
      <c r="D168" s="211"/>
      <c r="E168" s="232"/>
      <c r="F168" s="233"/>
      <c r="G168" s="634"/>
      <c r="H168" s="1639">
        <v>807051</v>
      </c>
      <c r="I168" s="1639">
        <v>356667.67</v>
      </c>
      <c r="J168" s="1640">
        <f t="shared" si="2"/>
        <v>581859.33499999996</v>
      </c>
      <c r="K168" s="1637"/>
      <c r="L168" s="1642"/>
      <c r="M168" s="1645"/>
      <c r="N168" s="1264"/>
      <c r="P168" s="234"/>
    </row>
    <row r="169" spans="1:16" ht="16.5" customHeight="1">
      <c r="A169" s="196"/>
      <c r="B169" s="230"/>
      <c r="C169" s="1634" t="s">
        <v>1192</v>
      </c>
      <c r="D169" s="211"/>
      <c r="E169" s="232"/>
      <c r="F169" s="233"/>
      <c r="G169" s="634"/>
      <c r="H169" s="1639">
        <v>343207.05</v>
      </c>
      <c r="I169" s="1639">
        <v>390302.16</v>
      </c>
      <c r="J169" s="1640">
        <f t="shared" si="2"/>
        <v>366754.60499999998</v>
      </c>
      <c r="K169" s="1637"/>
      <c r="L169" s="1642"/>
      <c r="M169" s="1645"/>
      <c r="N169" s="1264"/>
      <c r="P169" s="234"/>
    </row>
    <row r="170" spans="1:16" ht="16.5" customHeight="1">
      <c r="A170" s="196"/>
      <c r="B170" s="230"/>
      <c r="C170" s="1634" t="s">
        <v>1193</v>
      </c>
      <c r="D170" s="211"/>
      <c r="E170" s="232"/>
      <c r="F170" s="233"/>
      <c r="G170" s="634"/>
      <c r="H170" s="1639">
        <v>128953.86</v>
      </c>
      <c r="I170" s="1639">
        <v>164597.14000000001</v>
      </c>
      <c r="J170" s="1640">
        <f t="shared" si="2"/>
        <v>146775.5</v>
      </c>
      <c r="K170" s="1637"/>
      <c r="L170" s="1642"/>
      <c r="M170" s="1645"/>
      <c r="N170" s="1264"/>
      <c r="P170" s="234"/>
    </row>
    <row r="171" spans="1:16" ht="16.5" customHeight="1">
      <c r="A171" s="196"/>
      <c r="B171" s="230"/>
      <c r="C171" s="1634" t="s">
        <v>1194</v>
      </c>
      <c r="D171" s="211"/>
      <c r="E171" s="232"/>
      <c r="F171" s="233"/>
      <c r="G171" s="634"/>
      <c r="H171" s="1639">
        <v>163240.59</v>
      </c>
      <c r="I171" s="1639">
        <v>186341.14</v>
      </c>
      <c r="J171" s="1640">
        <f t="shared" si="2"/>
        <v>174790.86499999999</v>
      </c>
      <c r="K171" s="1637"/>
      <c r="L171" s="1642"/>
      <c r="M171" s="1645"/>
      <c r="N171" s="1264"/>
      <c r="P171" s="234"/>
    </row>
    <row r="172" spans="1:16" ht="16.5" customHeight="1">
      <c r="A172" s="196"/>
      <c r="B172" s="230"/>
      <c r="C172" s="1634" t="s">
        <v>1195</v>
      </c>
      <c r="D172" s="211"/>
      <c r="E172" s="232"/>
      <c r="F172" s="233"/>
      <c r="G172" s="634"/>
      <c r="H172" s="1639">
        <v>248671.4</v>
      </c>
      <c r="I172" s="1639">
        <v>122717.65</v>
      </c>
      <c r="J172" s="1640">
        <f t="shared" si="2"/>
        <v>185694.52499999999</v>
      </c>
      <c r="K172" s="1637"/>
      <c r="L172" s="1642"/>
      <c r="M172" s="1645"/>
      <c r="N172" s="1264"/>
      <c r="P172" s="234"/>
    </row>
    <row r="173" spans="1:16" ht="16.5" customHeight="1">
      <c r="A173" s="196"/>
      <c r="B173" s="230"/>
      <c r="C173" s="1634" t="s">
        <v>1196</v>
      </c>
      <c r="D173" s="211"/>
      <c r="E173" s="232"/>
      <c r="F173" s="233"/>
      <c r="G173" s="634"/>
      <c r="H173" s="1639">
        <v>122701.47</v>
      </c>
      <c r="I173" s="1639">
        <v>69615.3</v>
      </c>
      <c r="J173" s="1640">
        <f t="shared" si="2"/>
        <v>96158.385000000009</v>
      </c>
      <c r="K173" s="1637"/>
      <c r="L173" s="1642"/>
      <c r="M173" s="1645"/>
      <c r="N173" s="1264"/>
      <c r="P173" s="2"/>
    </row>
    <row r="174" spans="1:16" ht="16.5" customHeight="1">
      <c r="A174" s="196"/>
      <c r="B174" s="230"/>
      <c r="C174" s="1634" t="s">
        <v>1329</v>
      </c>
      <c r="D174" s="211"/>
      <c r="E174" s="232"/>
      <c r="F174" s="233"/>
      <c r="G174" s="634"/>
      <c r="H174" s="1639">
        <v>25000</v>
      </c>
      <c r="I174" s="1639">
        <v>37274.620000000003</v>
      </c>
      <c r="J174" s="1640">
        <f t="shared" si="2"/>
        <v>31137.31</v>
      </c>
      <c r="K174" s="1637"/>
      <c r="L174" s="1642"/>
      <c r="M174" s="1645"/>
      <c r="N174" s="1264"/>
      <c r="P174" s="2"/>
    </row>
    <row r="175" spans="1:16" ht="16.5" customHeight="1">
      <c r="A175" s="196"/>
      <c r="B175" s="230"/>
      <c r="C175" s="1634" t="s">
        <v>1197</v>
      </c>
      <c r="D175" s="211"/>
      <c r="E175" s="232"/>
      <c r="F175" s="233"/>
      <c r="G175" s="634"/>
      <c r="H175" s="1639">
        <v>90961.93</v>
      </c>
      <c r="I175" s="1639">
        <v>48207.91</v>
      </c>
      <c r="J175" s="1640">
        <f t="shared" si="2"/>
        <v>69584.92</v>
      </c>
      <c r="K175" s="1637"/>
      <c r="L175" s="1642"/>
      <c r="M175" s="1645"/>
      <c r="N175" s="1264"/>
      <c r="P175" s="234"/>
    </row>
    <row r="176" spans="1:16" ht="16.5" customHeight="1">
      <c r="A176" s="196"/>
      <c r="B176" s="230"/>
      <c r="C176" s="1634" t="s">
        <v>1198</v>
      </c>
      <c r="D176" s="211"/>
      <c r="E176" s="232"/>
      <c r="F176" s="233"/>
      <c r="G176" s="634"/>
      <c r="H176" s="1639">
        <v>295504.28999999998</v>
      </c>
      <c r="I176" s="1639">
        <v>397551.08</v>
      </c>
      <c r="J176" s="1640">
        <f t="shared" si="2"/>
        <v>346527.685</v>
      </c>
      <c r="K176" s="1637"/>
      <c r="L176" s="1642"/>
      <c r="M176" s="1645"/>
      <c r="N176" s="1264"/>
      <c r="P176" s="234"/>
    </row>
    <row r="177" spans="1:16" ht="16.5" customHeight="1">
      <c r="A177" s="196"/>
      <c r="B177" s="230"/>
      <c r="C177" s="1634" t="s">
        <v>1199</v>
      </c>
      <c r="D177" s="211"/>
      <c r="E177" s="232"/>
      <c r="F177" s="233"/>
      <c r="G177" s="634"/>
      <c r="H177" s="1639">
        <v>136041.53</v>
      </c>
      <c r="I177" s="1639">
        <v>143312.95000000001</v>
      </c>
      <c r="J177" s="1640">
        <f t="shared" si="2"/>
        <v>139677.24</v>
      </c>
      <c r="K177" s="1637"/>
      <c r="L177" s="1642"/>
      <c r="M177" s="1645"/>
      <c r="N177" s="1264"/>
    </row>
    <row r="178" spans="1:16" ht="16.5" customHeight="1">
      <c r="A178" s="196"/>
      <c r="B178" s="193"/>
      <c r="C178" s="1634" t="s">
        <v>1200</v>
      </c>
      <c r="D178" s="103"/>
      <c r="E178" s="635"/>
      <c r="F178" s="233"/>
      <c r="G178" s="634"/>
      <c r="H178" s="1639">
        <v>83310.11</v>
      </c>
      <c r="I178" s="1639">
        <v>87763.04</v>
      </c>
      <c r="J178" s="1640">
        <f t="shared" si="2"/>
        <v>85536.574999999997</v>
      </c>
      <c r="K178" s="1637"/>
      <c r="L178" s="1642"/>
      <c r="M178" s="1645"/>
      <c r="N178" s="1264"/>
    </row>
    <row r="179" spans="1:16" ht="16.5" customHeight="1">
      <c r="A179" s="196"/>
      <c r="B179" s="193"/>
      <c r="C179" s="1634" t="s">
        <v>1201</v>
      </c>
      <c r="D179" s="103"/>
      <c r="E179" s="635"/>
      <c r="F179" s="233"/>
      <c r="G179" s="634"/>
      <c r="H179" s="1639">
        <v>15636.16</v>
      </c>
      <c r="I179" s="1639">
        <v>16471.91</v>
      </c>
      <c r="J179" s="1640">
        <f t="shared" si="2"/>
        <v>16054.035</v>
      </c>
      <c r="K179" s="1637"/>
      <c r="L179" s="1642"/>
      <c r="M179" s="1645"/>
      <c r="N179" s="1264"/>
    </row>
    <row r="180" spans="1:16" ht="16.5" customHeight="1">
      <c r="A180" s="196"/>
      <c r="B180" s="193"/>
      <c r="C180" s="1634" t="s">
        <v>1202</v>
      </c>
      <c r="D180" s="103"/>
      <c r="E180" s="635"/>
      <c r="F180" s="233"/>
      <c r="G180" s="634"/>
      <c r="H180" s="1639">
        <v>2391124.77</v>
      </c>
      <c r="I180" s="1639">
        <v>2516269.96</v>
      </c>
      <c r="J180" s="1640">
        <f t="shared" si="2"/>
        <v>2453697.3650000002</v>
      </c>
      <c r="K180" s="1637"/>
      <c r="L180" s="1642"/>
      <c r="M180" s="1645"/>
      <c r="N180" s="1264"/>
    </row>
    <row r="181" spans="1:16" ht="16.5" customHeight="1">
      <c r="A181" s="196"/>
      <c r="B181" s="193"/>
      <c r="C181" s="1634" t="s">
        <v>1203</v>
      </c>
      <c r="D181" s="103"/>
      <c r="E181" s="635"/>
      <c r="F181" s="233"/>
      <c r="G181" s="634"/>
      <c r="H181" s="1639">
        <v>192467.84</v>
      </c>
      <c r="I181" s="1639">
        <v>145403.66</v>
      </c>
      <c r="J181" s="1640">
        <f t="shared" si="2"/>
        <v>168935.75</v>
      </c>
      <c r="K181" s="1637"/>
      <c r="L181" s="1642"/>
      <c r="M181" s="1645"/>
      <c r="N181" s="1264"/>
    </row>
    <row r="182" spans="1:16" ht="16.5" customHeight="1">
      <c r="A182" s="196"/>
      <c r="B182" s="193"/>
      <c r="C182" s="1634" t="s">
        <v>1204</v>
      </c>
      <c r="D182" s="103"/>
      <c r="E182" s="635"/>
      <c r="F182" s="233"/>
      <c r="G182" s="634"/>
      <c r="H182" s="1639">
        <v>74287.149999999994</v>
      </c>
      <c r="I182" s="1639">
        <v>78257.8</v>
      </c>
      <c r="J182" s="1640">
        <f t="shared" si="2"/>
        <v>76272.475000000006</v>
      </c>
      <c r="K182" s="1637"/>
      <c r="L182" s="1642"/>
      <c r="M182" s="1645"/>
      <c r="N182" s="1264"/>
    </row>
    <row r="183" spans="1:16" ht="16.5" customHeight="1">
      <c r="A183" s="196"/>
      <c r="B183" s="193"/>
      <c r="C183" s="1634" t="s">
        <v>1205</v>
      </c>
      <c r="D183" s="103"/>
      <c r="E183" s="635"/>
      <c r="F183" s="233"/>
      <c r="G183" s="634"/>
      <c r="H183" s="1639">
        <v>219251.58</v>
      </c>
      <c r="I183" s="1639">
        <v>230970.58</v>
      </c>
      <c r="J183" s="1640">
        <f t="shared" si="2"/>
        <v>225111.08</v>
      </c>
      <c r="K183" s="1637"/>
      <c r="L183" s="1642"/>
      <c r="M183" s="1645"/>
      <c r="N183" s="1264"/>
      <c r="P183" s="234"/>
    </row>
    <row r="184" spans="1:16" ht="16.5" customHeight="1">
      <c r="A184" s="196"/>
      <c r="B184" s="193"/>
      <c r="C184" s="1634" t="s">
        <v>1206</v>
      </c>
      <c r="D184" s="103"/>
      <c r="E184" s="635"/>
      <c r="F184" s="233"/>
      <c r="G184" s="634"/>
      <c r="H184" s="1639">
        <v>4202538.78</v>
      </c>
      <c r="I184" s="1639">
        <v>3624475.94</v>
      </c>
      <c r="J184" s="1640">
        <f t="shared" si="2"/>
        <v>3913507.3600000003</v>
      </c>
      <c r="K184" s="1637"/>
      <c r="L184" s="1642"/>
      <c r="M184" s="1645"/>
      <c r="N184" s="1264"/>
      <c r="P184" s="234"/>
    </row>
    <row r="185" spans="1:16" ht="16.5" customHeight="1">
      <c r="A185" s="196"/>
      <c r="B185" s="193"/>
      <c r="C185" s="1634" t="s">
        <v>1207</v>
      </c>
      <c r="D185" s="103"/>
      <c r="E185" s="635"/>
      <c r="F185" s="233"/>
      <c r="G185" s="634"/>
      <c r="H185" s="1639">
        <v>178789.54</v>
      </c>
      <c r="I185" s="1639">
        <v>209908.87</v>
      </c>
      <c r="J185" s="1640">
        <f t="shared" si="2"/>
        <v>194349.20500000002</v>
      </c>
      <c r="K185" s="1637"/>
      <c r="L185" s="1642"/>
      <c r="M185" s="1645"/>
      <c r="N185" s="1264"/>
      <c r="P185" s="234"/>
    </row>
    <row r="186" spans="1:16" ht="16.5" customHeight="1">
      <c r="A186" s="196"/>
      <c r="B186" s="193"/>
      <c r="C186" s="1634" t="s">
        <v>1208</v>
      </c>
      <c r="D186" s="103"/>
      <c r="E186" s="635"/>
      <c r="F186" s="233"/>
      <c r="G186" s="634"/>
      <c r="H186" s="1639">
        <v>112193.62</v>
      </c>
      <c r="I186" s="1639">
        <v>104128.74</v>
      </c>
      <c r="J186" s="1640">
        <f t="shared" si="2"/>
        <v>108161.18</v>
      </c>
      <c r="K186" s="1637"/>
      <c r="L186" s="1642"/>
      <c r="M186" s="1645"/>
      <c r="N186" s="1264"/>
      <c r="P186" s="234"/>
    </row>
    <row r="187" spans="1:16" ht="16.5" customHeight="1">
      <c r="A187" s="196"/>
      <c r="B187" s="193"/>
      <c r="C187" s="1634" t="s">
        <v>1209</v>
      </c>
      <c r="D187" s="242"/>
      <c r="E187" s="242"/>
      <c r="F187" s="636"/>
      <c r="G187" s="196"/>
      <c r="H187" s="1639">
        <v>134973.41</v>
      </c>
      <c r="I187" s="1639">
        <v>147937.88</v>
      </c>
      <c r="J187" s="1640">
        <f t="shared" si="2"/>
        <v>141455.64500000002</v>
      </c>
      <c r="K187" s="1637"/>
      <c r="L187" s="1646"/>
      <c r="M187" s="1637"/>
      <c r="N187" s="1264"/>
      <c r="P187" s="234"/>
    </row>
    <row r="188" spans="1:16" ht="16.5" customHeight="1">
      <c r="A188" s="196"/>
      <c r="B188" s="193"/>
      <c r="C188" s="1634" t="s">
        <v>1210</v>
      </c>
      <c r="D188" s="242"/>
      <c r="E188" s="242"/>
      <c r="F188" s="636"/>
      <c r="G188" s="196"/>
      <c r="H188" s="1635">
        <v>39650.730000000003</v>
      </c>
      <c r="I188" s="1635">
        <v>45838.55</v>
      </c>
      <c r="J188" s="1640">
        <f t="shared" si="2"/>
        <v>42744.639999999999</v>
      </c>
      <c r="K188" s="1637"/>
      <c r="L188" s="1646"/>
      <c r="M188" s="1637"/>
      <c r="N188" s="1264"/>
      <c r="P188" s="234"/>
    </row>
    <row r="189" spans="1:16" ht="16.5" customHeight="1">
      <c r="A189" s="196"/>
      <c r="B189" s="193"/>
      <c r="C189" s="1634" t="s">
        <v>1330</v>
      </c>
      <c r="D189" s="242"/>
      <c r="E189" s="242"/>
      <c r="F189" s="636"/>
      <c r="G189" s="196"/>
      <c r="H189" s="1635">
        <v>2025.3</v>
      </c>
      <c r="I189" s="1635">
        <v>2025.3</v>
      </c>
      <c r="J189" s="1640">
        <f t="shared" si="2"/>
        <v>2025.3</v>
      </c>
      <c r="K189" s="1637"/>
      <c r="L189" s="1646"/>
      <c r="M189" s="1637"/>
      <c r="N189" s="1264"/>
      <c r="P189" s="234"/>
    </row>
    <row r="190" spans="1:16" ht="16.5" customHeight="1">
      <c r="A190" s="196"/>
      <c r="B190" s="193"/>
      <c r="C190" s="1634" t="s">
        <v>1281</v>
      </c>
      <c r="D190" s="242"/>
      <c r="E190" s="242"/>
      <c r="F190" s="636"/>
      <c r="G190" s="196"/>
      <c r="H190" s="1635">
        <v>359669.72</v>
      </c>
      <c r="I190" s="1635">
        <v>450770.8</v>
      </c>
      <c r="J190" s="1640">
        <f t="shared" si="2"/>
        <v>405220.26</v>
      </c>
      <c r="K190" s="1637"/>
      <c r="L190" s="1646"/>
      <c r="M190" s="1637"/>
      <c r="N190" s="1264"/>
      <c r="P190" s="234"/>
    </row>
    <row r="191" spans="1:16" ht="16.5" customHeight="1">
      <c r="A191" s="196"/>
      <c r="B191" s="193"/>
      <c r="C191" s="1634" t="s">
        <v>1212</v>
      </c>
      <c r="D191" s="242"/>
      <c r="E191" s="242"/>
      <c r="F191" s="636"/>
      <c r="G191" s="196"/>
      <c r="H191" s="1635">
        <v>121942.62</v>
      </c>
      <c r="I191" s="1635">
        <v>162211.14000000001</v>
      </c>
      <c r="J191" s="1640">
        <f t="shared" si="2"/>
        <v>142076.88</v>
      </c>
      <c r="K191" s="1637"/>
      <c r="L191" s="1646"/>
      <c r="M191" s="1637"/>
      <c r="N191" s="1264"/>
      <c r="P191" s="234"/>
    </row>
    <row r="192" spans="1:16" ht="16.5" customHeight="1">
      <c r="A192" s="196"/>
      <c r="B192" s="193"/>
      <c r="C192" s="1634" t="s">
        <v>1331</v>
      </c>
      <c r="D192" s="242"/>
      <c r="E192" s="242"/>
      <c r="F192" s="636"/>
      <c r="G192" s="196"/>
      <c r="H192" s="1635">
        <v>20000</v>
      </c>
      <c r="I192" s="1635">
        <v>70319.69</v>
      </c>
      <c r="J192" s="1640">
        <f t="shared" si="2"/>
        <v>45159.845000000001</v>
      </c>
      <c r="K192" s="1637"/>
      <c r="L192" s="1646"/>
      <c r="M192" s="1637"/>
      <c r="N192" s="1264"/>
      <c r="P192" s="234"/>
    </row>
    <row r="193" spans="1:17" ht="16.5" customHeight="1">
      <c r="A193" s="196"/>
      <c r="B193" s="193"/>
      <c r="C193" s="1866" t="s">
        <v>1354</v>
      </c>
      <c r="D193" s="242"/>
      <c r="E193" s="242"/>
      <c r="F193" s="636"/>
      <c r="G193" s="196"/>
      <c r="H193" s="1635">
        <v>0</v>
      </c>
      <c r="I193" s="1635">
        <v>78624.240000000005</v>
      </c>
      <c r="J193" s="1640">
        <f t="shared" si="2"/>
        <v>39312.120000000003</v>
      </c>
      <c r="K193" s="1637"/>
      <c r="L193" s="1646"/>
      <c r="M193" s="1637"/>
      <c r="N193" s="1264"/>
      <c r="P193" s="234"/>
    </row>
    <row r="194" spans="1:17" ht="16.5" customHeight="1">
      <c r="A194" s="196"/>
      <c r="B194" s="193"/>
      <c r="C194" s="1634" t="s">
        <v>1355</v>
      </c>
      <c r="D194" s="242"/>
      <c r="E194" s="242"/>
      <c r="F194" s="636"/>
      <c r="G194" s="196"/>
      <c r="H194" s="1635">
        <v>0</v>
      </c>
      <c r="I194" s="1635">
        <v>498344.62</v>
      </c>
      <c r="J194" s="1640">
        <f t="shared" si="2"/>
        <v>249172.31</v>
      </c>
      <c r="K194" s="1637"/>
      <c r="L194" s="1646"/>
      <c r="M194" s="1637"/>
      <c r="N194" s="1264"/>
      <c r="P194" s="234"/>
    </row>
    <row r="195" spans="1:17" ht="16.5" customHeight="1">
      <c r="A195" s="196"/>
      <c r="B195" s="193"/>
      <c r="C195" s="1634"/>
      <c r="D195" s="242"/>
      <c r="E195" s="242"/>
      <c r="F195" s="636"/>
      <c r="G195" s="196"/>
      <c r="H195" s="1635"/>
      <c r="I195" s="1635"/>
      <c r="J195" s="1640"/>
      <c r="K195" s="1637"/>
      <c r="L195" s="1646"/>
      <c r="M195" s="1637"/>
      <c r="N195" s="1264"/>
      <c r="P195" s="234"/>
    </row>
    <row r="196" spans="1:17" ht="16.5" customHeight="1">
      <c r="A196" s="429"/>
      <c r="B196" s="193"/>
      <c r="C196" s="242"/>
      <c r="D196" s="242"/>
      <c r="E196" s="242"/>
      <c r="F196" s="1461"/>
      <c r="G196" s="1462"/>
      <c r="H196" s="1647">
        <f>SUM(H152:H195)</f>
        <v>16611332.569999998</v>
      </c>
      <c r="I196" s="1647">
        <f>SUM(I152:I195)</f>
        <v>82082299.789999977</v>
      </c>
      <c r="J196" s="1839">
        <f>SUM(J152:J195)</f>
        <v>49346816.18</v>
      </c>
      <c r="K196" s="1648">
        <v>0</v>
      </c>
      <c r="L196" s="1649">
        <f>+J196*K196</f>
        <v>0</v>
      </c>
      <c r="M196" s="1650"/>
      <c r="N196" s="1463"/>
      <c r="P196" s="234"/>
    </row>
    <row r="197" spans="1:17" ht="16.5" customHeight="1" thickBot="1">
      <c r="A197" s="1286"/>
      <c r="B197" s="1287"/>
      <c r="C197" s="1287"/>
      <c r="D197" s="1287"/>
      <c r="E197" s="1287"/>
      <c r="F197" s="1288"/>
      <c r="G197" s="1666"/>
      <c r="H197" s="239"/>
      <c r="I197" s="239"/>
      <c r="J197" s="239"/>
      <c r="K197" s="1289"/>
      <c r="L197" s="1457">
        <f>(+L196+L149+L133)</f>
        <v>8842859.5681836195</v>
      </c>
      <c r="M197" s="1290"/>
      <c r="N197" s="1291"/>
      <c r="O197" s="234"/>
      <c r="P197" s="234"/>
      <c r="Q197" s="234"/>
    </row>
    <row r="198" spans="1:17" ht="16.5" customHeight="1">
      <c r="A198" s="234"/>
      <c r="B198" s="234"/>
      <c r="C198" s="234"/>
      <c r="D198" s="234"/>
      <c r="E198" s="234"/>
      <c r="F198" s="234"/>
      <c r="G198" s="234"/>
      <c r="H198" s="234"/>
      <c r="I198" s="234"/>
      <c r="J198" s="234"/>
      <c r="K198" s="412"/>
      <c r="L198" s="412"/>
      <c r="M198" s="412"/>
      <c r="N198" s="412"/>
      <c r="O198" s="234"/>
      <c r="P198" s="234"/>
      <c r="Q198" s="234"/>
    </row>
    <row r="199" spans="1:17" ht="16.5" customHeight="1" thickBot="1">
      <c r="A199" s="365" t="s">
        <v>795</v>
      </c>
      <c r="B199" s="174"/>
      <c r="C199" s="2"/>
      <c r="D199" s="635"/>
      <c r="E199" s="635"/>
      <c r="F199" s="234"/>
      <c r="G199" s="234"/>
      <c r="H199" s="234"/>
      <c r="I199" s="234"/>
      <c r="J199" s="234"/>
      <c r="K199" s="412"/>
      <c r="L199" s="412"/>
      <c r="M199" s="412"/>
      <c r="N199" s="412"/>
      <c r="O199" s="234"/>
      <c r="P199" s="234"/>
      <c r="Q199" s="234"/>
    </row>
    <row r="200" spans="1:17" ht="26.25" customHeight="1">
      <c r="A200" s="1292" t="s">
        <v>1087</v>
      </c>
      <c r="B200" s="921"/>
      <c r="C200" s="921"/>
      <c r="D200" s="890"/>
      <c r="E200" s="890"/>
      <c r="F200" s="892"/>
      <c r="G200" s="890"/>
      <c r="H200" s="1263"/>
      <c r="I200" s="529"/>
      <c r="J200" s="529" t="s">
        <v>416</v>
      </c>
      <c r="K200" s="529" t="s">
        <v>877</v>
      </c>
      <c r="L200" s="529" t="s">
        <v>280</v>
      </c>
      <c r="M200" s="529" t="s">
        <v>139</v>
      </c>
      <c r="N200" s="1230"/>
      <c r="O200" s="234"/>
      <c r="P200" s="234"/>
      <c r="Q200" s="234"/>
    </row>
    <row r="201" spans="1:17" ht="16.5" customHeight="1">
      <c r="A201" s="248">
        <f>+'ATT H-1 '!A75</f>
        <v>42</v>
      </c>
      <c r="B201" s="202" t="s">
        <v>795</v>
      </c>
      <c r="C201" s="244"/>
      <c r="D201" s="242"/>
      <c r="E201" s="242"/>
      <c r="F201" s="893"/>
      <c r="G201" s="242"/>
      <c r="H201" s="1293"/>
      <c r="I201" s="365"/>
      <c r="J201" s="368"/>
      <c r="K201" s="734"/>
      <c r="L201" s="249"/>
      <c r="M201" s="734"/>
      <c r="N201" s="740"/>
      <c r="O201" s="234"/>
      <c r="P201" s="234"/>
      <c r="Q201" s="234"/>
    </row>
    <row r="202" spans="1:17" ht="16.5" customHeight="1">
      <c r="A202" s="196"/>
      <c r="B202" s="209"/>
      <c r="C202" s="211" t="s">
        <v>129</v>
      </c>
      <c r="D202" s="211" t="s">
        <v>874</v>
      </c>
      <c r="E202" s="242"/>
      <c r="F202" s="893"/>
      <c r="G202" s="242"/>
      <c r="H202" s="840"/>
      <c r="I202" s="841"/>
      <c r="J202" s="1294">
        <f>'WKSHT2 - Prepaid'!W22</f>
        <v>42727070.48153846</v>
      </c>
      <c r="K202" s="1295">
        <f>+'ATT H-1 '!H13</f>
        <v>0.10801595633021691</v>
      </c>
      <c r="L202" s="744">
        <f>+J202*K202</f>
        <v>4615205.3792519579</v>
      </c>
      <c r="M202" s="717"/>
      <c r="N202" s="729"/>
      <c r="O202" s="234"/>
      <c r="P202" s="234"/>
      <c r="Q202" s="234"/>
    </row>
    <row r="203" spans="1:17" ht="16.5" customHeight="1">
      <c r="A203" s="196"/>
      <c r="B203" s="209"/>
      <c r="C203" s="242" t="s">
        <v>126</v>
      </c>
      <c r="D203" s="211" t="s">
        <v>874</v>
      </c>
      <c r="E203" s="242"/>
      <c r="F203" s="893"/>
      <c r="G203" s="242"/>
      <c r="H203" s="840"/>
      <c r="I203" s="841"/>
      <c r="J203" s="335">
        <f>'WKSHT2 - Prepaid'!V6</f>
        <v>421066.85461538465</v>
      </c>
      <c r="K203" s="1295">
        <f>+'ATT H-1 '!H26</f>
        <v>0.20213185271297171</v>
      </c>
      <c r="L203" s="744">
        <f>+J203*K203</f>
        <v>85111.023439431199</v>
      </c>
      <c r="M203" s="745"/>
      <c r="N203" s="746"/>
      <c r="O203" s="234"/>
      <c r="P203" s="234"/>
      <c r="Q203" s="234"/>
    </row>
    <row r="204" spans="1:17" ht="16.5" customHeight="1">
      <c r="A204" s="196"/>
      <c r="B204" s="209"/>
      <c r="C204" s="242" t="s">
        <v>271</v>
      </c>
      <c r="D204" s="211" t="s">
        <v>874</v>
      </c>
      <c r="E204" s="242"/>
      <c r="F204" s="893"/>
      <c r="G204" s="242"/>
      <c r="H204" s="840"/>
      <c r="I204" s="841"/>
      <c r="J204" s="335">
        <f>'WKSHT2 - Prepaid'!U27</f>
        <v>0</v>
      </c>
      <c r="K204" s="1295">
        <v>1</v>
      </c>
      <c r="L204" s="744">
        <f>+J204*K204</f>
        <v>0</v>
      </c>
      <c r="M204" s="745"/>
      <c r="N204" s="746"/>
      <c r="O204" s="234"/>
      <c r="P204" s="234"/>
      <c r="Q204" s="234"/>
    </row>
    <row r="205" spans="1:17">
      <c r="A205" s="196"/>
      <c r="B205" s="209"/>
      <c r="C205" s="242" t="s">
        <v>272</v>
      </c>
      <c r="D205" s="211" t="s">
        <v>874</v>
      </c>
      <c r="E205" s="242"/>
      <c r="F205" s="893"/>
      <c r="G205" s="242"/>
      <c r="H205" s="840"/>
      <c r="I205" s="841"/>
      <c r="J205" s="335">
        <f>'WKSHT2 - Prepaid'!T41</f>
        <v>22705050.693</v>
      </c>
      <c r="K205" s="1295">
        <v>0</v>
      </c>
      <c r="L205" s="744">
        <f>+J205*K205</f>
        <v>0</v>
      </c>
      <c r="M205" s="745"/>
      <c r="N205" s="746"/>
      <c r="O205" s="234"/>
      <c r="P205" s="234"/>
      <c r="Q205" s="234"/>
    </row>
    <row r="206" spans="1:17" customFormat="1">
      <c r="A206" s="196"/>
      <c r="B206" s="209"/>
      <c r="C206" s="242"/>
      <c r="D206" s="242"/>
      <c r="E206" s="242"/>
      <c r="F206" s="893"/>
      <c r="G206" s="242"/>
      <c r="H206" s="246"/>
      <c r="I206" s="242"/>
      <c r="J206" s="1296"/>
      <c r="K206" s="739"/>
      <c r="L206" s="1297"/>
      <c r="M206" s="747"/>
      <c r="N206" s="729"/>
      <c r="O206" s="2"/>
      <c r="P206" s="234"/>
      <c r="Q206" s="2"/>
    </row>
    <row r="207" spans="1:17" customFormat="1" ht="13.5" thickBot="1">
      <c r="A207" s="205"/>
      <c r="B207" s="235"/>
      <c r="C207" s="1298"/>
      <c r="D207" s="236"/>
      <c r="E207" s="236"/>
      <c r="F207" s="1279"/>
      <c r="G207" s="236"/>
      <c r="H207" s="1299"/>
      <c r="I207" s="1300"/>
      <c r="J207" s="1300"/>
      <c r="K207" s="1301"/>
      <c r="L207" s="1302">
        <f>SUM(L202:L205)</f>
        <v>4700316.4026913894</v>
      </c>
      <c r="M207" s="732"/>
      <c r="N207" s="733"/>
      <c r="O207" s="2"/>
      <c r="P207" s="234"/>
      <c r="Q207" s="2"/>
    </row>
    <row r="208" spans="1:17">
      <c r="A208" s="531"/>
      <c r="B208" s="531"/>
      <c r="C208" s="531"/>
      <c r="D208" s="531"/>
      <c r="E208" s="531"/>
      <c r="F208" s="532"/>
      <c r="G208" s="532"/>
      <c r="H208" s="891"/>
      <c r="I208" s="739"/>
      <c r="J208" s="739"/>
      <c r="K208" s="739"/>
      <c r="L208" s="1283"/>
      <c r="M208" s="739"/>
      <c r="N208" s="739"/>
      <c r="O208" s="234"/>
      <c r="P208" s="234"/>
      <c r="Q208" s="234"/>
    </row>
    <row r="209" spans="1:18" ht="13.5" thickBot="1">
      <c r="A209" s="365" t="s">
        <v>244</v>
      </c>
      <c r="B209" s="234"/>
      <c r="C209" s="234"/>
      <c r="D209" s="234"/>
      <c r="E209" s="234"/>
      <c r="F209" s="242"/>
      <c r="G209" s="242"/>
      <c r="H209" s="242"/>
      <c r="I209" s="242"/>
      <c r="J209" s="234"/>
      <c r="K209" s="412"/>
      <c r="L209" s="412"/>
      <c r="M209" s="412"/>
      <c r="N209" s="412"/>
      <c r="O209" s="234"/>
      <c r="P209" s="234"/>
      <c r="Q209" s="234"/>
    </row>
    <row r="210" spans="1:18">
      <c r="A210" s="1292" t="s">
        <v>1087</v>
      </c>
      <c r="B210" s="921"/>
      <c r="C210" s="921"/>
      <c r="D210" s="890"/>
      <c r="E210" s="890"/>
      <c r="F210" s="890"/>
      <c r="G210" s="890"/>
      <c r="H210" s="529"/>
      <c r="I210" s="529"/>
      <c r="J210" s="529"/>
      <c r="K210" s="529"/>
      <c r="L210" s="529"/>
      <c r="M210" s="529"/>
      <c r="N210" s="1229"/>
      <c r="O210" s="890"/>
      <c r="P210" s="890"/>
      <c r="Q210" s="892"/>
    </row>
    <row r="211" spans="1:18">
      <c r="A211" s="248">
        <v>45</v>
      </c>
      <c r="B211" s="202" t="s">
        <v>793</v>
      </c>
      <c r="C211" s="244"/>
      <c r="D211" s="104"/>
      <c r="E211" s="104"/>
      <c r="F211" s="104"/>
      <c r="G211" s="104"/>
      <c r="H211" s="104"/>
      <c r="I211" s="104"/>
      <c r="J211" s="104"/>
      <c r="K211" s="104"/>
      <c r="L211" s="104"/>
      <c r="M211" s="104"/>
      <c r="N211" s="104"/>
      <c r="O211" s="104"/>
      <c r="P211" s="104"/>
      <c r="Q211" s="894" t="s">
        <v>712</v>
      </c>
    </row>
    <row r="212" spans="1:18">
      <c r="A212" s="246"/>
      <c r="B212" s="242"/>
      <c r="C212" s="242"/>
      <c r="D212" s="1303">
        <v>44926</v>
      </c>
      <c r="E212" s="1303">
        <v>44927</v>
      </c>
      <c r="F212" s="1303">
        <v>44959</v>
      </c>
      <c r="G212" s="1303">
        <v>44991</v>
      </c>
      <c r="H212" s="1303">
        <v>45023</v>
      </c>
      <c r="I212" s="1303">
        <v>45055</v>
      </c>
      <c r="J212" s="1303">
        <v>45087</v>
      </c>
      <c r="K212" s="1303">
        <v>45119</v>
      </c>
      <c r="L212" s="1303">
        <v>45151</v>
      </c>
      <c r="M212" s="1303">
        <v>45183</v>
      </c>
      <c r="N212" s="1303">
        <v>45215</v>
      </c>
      <c r="O212" s="1303">
        <v>45247</v>
      </c>
      <c r="P212" s="1303">
        <v>45279</v>
      </c>
      <c r="Q212" s="1304" t="s">
        <v>79</v>
      </c>
    </row>
    <row r="213" spans="1:18" ht="17.25" customHeight="1">
      <c r="A213" s="868" t="s">
        <v>411</v>
      </c>
      <c r="B213" s="739"/>
      <c r="C213" s="242"/>
      <c r="D213" s="1635">
        <v>156825</v>
      </c>
      <c r="E213" s="1635">
        <v>166027.74</v>
      </c>
      <c r="F213" s="1635">
        <v>297036.95</v>
      </c>
      <c r="G213" s="1635">
        <v>468246.97</v>
      </c>
      <c r="H213" s="1635">
        <v>475198.25</v>
      </c>
      <c r="I213" s="1635">
        <v>285495.25</v>
      </c>
      <c r="J213" s="1635">
        <v>460327.54</v>
      </c>
      <c r="K213" s="1635">
        <v>229904.62</v>
      </c>
      <c r="L213" s="1635">
        <v>268773.09999999998</v>
      </c>
      <c r="M213" s="1635">
        <v>-273456.78999999998</v>
      </c>
      <c r="N213" s="1635">
        <v>-1270592.01</v>
      </c>
      <c r="O213" s="1635">
        <v>-1073030.52</v>
      </c>
      <c r="P213" s="1635">
        <v>-1312552.75</v>
      </c>
      <c r="Q213" s="1468">
        <f>AVERAGE(D213:P213)</f>
        <v>-86292.050000000017</v>
      </c>
    </row>
    <row r="214" spans="1:18" ht="17.25" customHeight="1">
      <c r="A214" s="869" t="s">
        <v>412</v>
      </c>
      <c r="B214" s="531"/>
      <c r="C214" s="242"/>
      <c r="D214" s="1635">
        <v>709535</v>
      </c>
      <c r="E214" s="1635">
        <v>586486.10794927517</v>
      </c>
      <c r="F214" s="1635">
        <v>595178.9982971485</v>
      </c>
      <c r="G214" s="1635">
        <v>603199.31544598879</v>
      </c>
      <c r="H214" s="1635">
        <v>610994.03693959035</v>
      </c>
      <c r="I214" s="1635">
        <v>618183.18442703167</v>
      </c>
      <c r="J214" s="1635">
        <v>623364.03005564958</v>
      </c>
      <c r="K214" s="1635">
        <v>642053.42127765086</v>
      </c>
      <c r="L214" s="1635">
        <v>660297.37818204321</v>
      </c>
      <c r="M214" s="1635">
        <v>676126.7256436646</v>
      </c>
      <c r="N214" s="1635">
        <v>712800.14544859272</v>
      </c>
      <c r="O214" s="1635">
        <v>752272.51798580261</v>
      </c>
      <c r="P214" s="1635">
        <v>773700.33941981674</v>
      </c>
      <c r="Q214" s="1468">
        <f>AVERAGE(D214:P214)</f>
        <v>658783.93854401959</v>
      </c>
    </row>
    <row r="215" spans="1:18" ht="17.25" customHeight="1" thickBot="1">
      <c r="A215" s="870" t="s">
        <v>851</v>
      </c>
      <c r="B215" s="871"/>
      <c r="C215" s="236"/>
      <c r="D215" s="872">
        <f t="shared" ref="D215:N215" si="3">SUM(D213:D214)</f>
        <v>866360</v>
      </c>
      <c r="E215" s="872">
        <f t="shared" si="3"/>
        <v>752513.84794927516</v>
      </c>
      <c r="F215" s="872">
        <f t="shared" si="3"/>
        <v>892215.94829714857</v>
      </c>
      <c r="G215" s="872">
        <f t="shared" si="3"/>
        <v>1071446.2854459886</v>
      </c>
      <c r="H215" s="872">
        <f t="shared" si="3"/>
        <v>1086192.2869395902</v>
      </c>
      <c r="I215" s="872">
        <f t="shared" si="3"/>
        <v>903678.43442703167</v>
      </c>
      <c r="J215" s="872">
        <f t="shared" si="3"/>
        <v>1083691.5700556496</v>
      </c>
      <c r="K215" s="872">
        <f t="shared" si="3"/>
        <v>871958.04127765086</v>
      </c>
      <c r="L215" s="872">
        <f t="shared" si="3"/>
        <v>929070.47818204318</v>
      </c>
      <c r="M215" s="872">
        <f t="shared" si="3"/>
        <v>402669.93564366462</v>
      </c>
      <c r="N215" s="872">
        <f t="shared" si="3"/>
        <v>-557791.86455140729</v>
      </c>
      <c r="O215" s="872">
        <f>SUM(O213:O214)</f>
        <v>-320758.00201419741</v>
      </c>
      <c r="P215" s="872">
        <f>SUM(P213:P214)</f>
        <v>-538852.41058018326</v>
      </c>
      <c r="Q215" s="1305">
        <f>AVERAGE(D215:P215)</f>
        <v>572491.88854401954</v>
      </c>
    </row>
    <row r="216" spans="1:18">
      <c r="A216" s="209"/>
      <c r="B216" s="209"/>
      <c r="C216" s="244"/>
      <c r="D216" s="242"/>
      <c r="E216" s="242"/>
      <c r="F216" s="242"/>
      <c r="G216" s="242"/>
      <c r="H216" s="1306"/>
      <c r="I216" s="1306"/>
      <c r="J216" s="1296"/>
      <c r="K216" s="1306"/>
      <c r="L216" s="1306"/>
      <c r="M216" s="717"/>
      <c r="N216" s="717"/>
      <c r="O216" s="234"/>
      <c r="P216" s="724"/>
      <c r="Q216" s="234"/>
    </row>
    <row r="217" spans="1:18" ht="13.5" thickBot="1">
      <c r="A217" s="365" t="s">
        <v>654</v>
      </c>
      <c r="B217" s="234"/>
      <c r="C217" s="234"/>
      <c r="D217" s="234"/>
      <c r="E217" s="234"/>
      <c r="F217" s="234"/>
      <c r="G217" s="234"/>
      <c r="H217" s="234"/>
      <c r="I217" s="234"/>
      <c r="J217" s="234"/>
      <c r="K217" s="412"/>
      <c r="L217" s="412"/>
      <c r="M217" s="412"/>
      <c r="N217" s="412"/>
      <c r="O217" s="234"/>
      <c r="P217" s="724"/>
      <c r="Q217" s="234"/>
      <c r="R217" s="193"/>
    </row>
    <row r="218" spans="1:18">
      <c r="A218" s="1989" t="s">
        <v>1087</v>
      </c>
      <c r="B218" s="1990"/>
      <c r="C218" s="1990"/>
      <c r="D218" s="1990"/>
      <c r="E218" s="1990"/>
      <c r="F218" s="1999"/>
      <c r="G218" s="921"/>
      <c r="H218" s="1263"/>
      <c r="I218" s="1991" t="s">
        <v>174</v>
      </c>
      <c r="J218" s="1992"/>
      <c r="K218" s="1992"/>
      <c r="L218" s="1992"/>
      <c r="M218" s="1992"/>
      <c r="N218" s="1993"/>
      <c r="O218" s="234"/>
      <c r="P218" s="1710"/>
      <c r="Q218" s="234"/>
      <c r="R218" s="193"/>
    </row>
    <row r="219" spans="1:18" ht="44.25" customHeight="1">
      <c r="A219" s="1116"/>
      <c r="B219" s="202" t="s">
        <v>140</v>
      </c>
      <c r="C219" s="1283"/>
      <c r="D219" s="365"/>
      <c r="E219" s="232"/>
      <c r="F219" s="1307"/>
      <c r="G219" s="368"/>
      <c r="H219" s="1308" t="s">
        <v>234</v>
      </c>
      <c r="I219" s="414" t="s">
        <v>235</v>
      </c>
      <c r="J219" s="414" t="s">
        <v>975</v>
      </c>
      <c r="K219" s="739"/>
      <c r="L219" s="739"/>
      <c r="M219" s="739"/>
      <c r="N219" s="1264"/>
      <c r="O219" s="234"/>
      <c r="P219" s="724"/>
      <c r="Q219" s="234"/>
      <c r="R219" s="193"/>
    </row>
    <row r="220" spans="1:18" ht="17.25" customHeight="1">
      <c r="A220" s="356">
        <f>+'ATT H-1 '!A96</f>
        <v>55</v>
      </c>
      <c r="B220" s="249"/>
      <c r="C220" s="1283" t="str">
        <f>+'ATT H-1 '!C96</f>
        <v>Outstanding Network Credits</v>
      </c>
      <c r="D220" s="209"/>
      <c r="E220" s="209"/>
      <c r="F220" s="204"/>
      <c r="G220" s="198"/>
      <c r="H220" s="1116"/>
      <c r="I220" s="1986" t="s">
        <v>173</v>
      </c>
      <c r="J220" s="1987"/>
      <c r="K220" s="1987"/>
      <c r="L220" s="1987"/>
      <c r="M220" s="1987"/>
      <c r="N220" s="1988"/>
      <c r="O220" s="234"/>
      <c r="P220" s="724"/>
      <c r="Q220" s="234"/>
      <c r="R220" s="193"/>
    </row>
    <row r="221" spans="1:18" ht="17.25" customHeight="1">
      <c r="A221" s="246"/>
      <c r="B221" s="242"/>
      <c r="C221" s="242" t="s">
        <v>184</v>
      </c>
      <c r="D221" s="194" t="s">
        <v>364</v>
      </c>
      <c r="E221" s="1706" t="s">
        <v>1316</v>
      </c>
      <c r="F221" s="1451">
        <v>0</v>
      </c>
      <c r="G221" s="210"/>
      <c r="H221" s="1309">
        <f>+F221</f>
        <v>0</v>
      </c>
      <c r="I221" s="250"/>
      <c r="J221" s="232"/>
      <c r="K221" s="717"/>
      <c r="L221" s="717"/>
      <c r="M221" s="717"/>
      <c r="N221" s="729"/>
      <c r="O221" s="234"/>
      <c r="P221" s="724"/>
      <c r="Q221" s="234"/>
      <c r="R221" s="193"/>
    </row>
    <row r="222" spans="1:18" ht="17.25" customHeight="1">
      <c r="A222" s="196"/>
      <c r="B222" s="190"/>
      <c r="C222" s="200" t="s">
        <v>184</v>
      </c>
      <c r="D222" s="201" t="s">
        <v>364</v>
      </c>
      <c r="E222" s="1707" t="s">
        <v>1315</v>
      </c>
      <c r="F222" s="1452">
        <v>0</v>
      </c>
      <c r="G222" s="210"/>
      <c r="H222" s="634"/>
      <c r="I222" s="334">
        <f>+F222</f>
        <v>0</v>
      </c>
      <c r="J222" s="334"/>
      <c r="K222" s="734"/>
      <c r="L222" s="734"/>
      <c r="M222" s="734"/>
      <c r="N222" s="740"/>
      <c r="O222" s="234"/>
      <c r="P222" s="724"/>
      <c r="Q222" s="242"/>
      <c r="R222" s="193"/>
    </row>
    <row r="223" spans="1:18" ht="17.25" customHeight="1">
      <c r="A223" s="196"/>
      <c r="B223" s="211"/>
      <c r="C223" s="198" t="s">
        <v>273</v>
      </c>
      <c r="D223" s="211"/>
      <c r="E223" s="232"/>
      <c r="F223" s="350">
        <f>AVERAGE(F221:F222)</f>
        <v>0</v>
      </c>
      <c r="G223" s="210"/>
      <c r="H223" s="1310"/>
      <c r="I223" s="334"/>
      <c r="J223" s="334">
        <f>+F223</f>
        <v>0</v>
      </c>
      <c r="K223" s="717"/>
      <c r="L223" s="717"/>
      <c r="M223" s="717"/>
      <c r="N223" s="729"/>
      <c r="O223" s="234"/>
      <c r="Q223" s="234"/>
    </row>
    <row r="224" spans="1:18" ht="17.25" customHeight="1">
      <c r="A224" s="196"/>
      <c r="B224" s="211"/>
      <c r="C224" s="198"/>
      <c r="D224" s="211"/>
      <c r="E224" s="232"/>
      <c r="F224" s="350"/>
      <c r="G224" s="210"/>
      <c r="H224" s="1310"/>
      <c r="I224" s="334"/>
      <c r="J224" s="334"/>
      <c r="K224" s="717"/>
      <c r="L224" s="717"/>
      <c r="M224" s="717"/>
      <c r="N224" s="729"/>
      <c r="O224" s="234"/>
      <c r="Q224" s="234"/>
    </row>
    <row r="225" spans="1:17" ht="17.25" customHeight="1">
      <c r="A225" s="331">
        <f>+'ATT H-1 '!A97</f>
        <v>56</v>
      </c>
      <c r="B225" s="244"/>
      <c r="C225" s="202" t="s">
        <v>274</v>
      </c>
      <c r="D225" s="211"/>
      <c r="E225" s="232"/>
      <c r="F225" s="350"/>
      <c r="G225" s="210"/>
      <c r="H225" s="1310"/>
      <c r="I225" s="334"/>
      <c r="J225" s="334"/>
      <c r="K225" s="717"/>
      <c r="L225" s="717"/>
      <c r="M225" s="717"/>
      <c r="N225" s="729"/>
      <c r="O225" s="234"/>
      <c r="Q225" s="234"/>
    </row>
    <row r="226" spans="1:17" ht="15">
      <c r="A226" s="246"/>
      <c r="B226" s="242"/>
      <c r="C226" s="242" t="s">
        <v>184</v>
      </c>
      <c r="D226" s="194" t="s">
        <v>364</v>
      </c>
      <c r="E226" s="1706" t="s">
        <v>1316</v>
      </c>
      <c r="F226" s="1451">
        <v>0</v>
      </c>
      <c r="G226" s="210"/>
      <c r="H226" s="1277">
        <f>+F226</f>
        <v>0</v>
      </c>
      <c r="I226" s="1285"/>
      <c r="J226" s="334"/>
      <c r="K226" s="717"/>
      <c r="L226" s="717"/>
      <c r="M226" s="717"/>
      <c r="N226" s="729"/>
      <c r="O226" s="234"/>
      <c r="Q226" s="234"/>
    </row>
    <row r="227" spans="1:17" ht="15">
      <c r="A227" s="196"/>
      <c r="B227" s="211"/>
      <c r="C227" s="200" t="s">
        <v>184</v>
      </c>
      <c r="D227" s="201" t="s">
        <v>364</v>
      </c>
      <c r="E227" s="1707" t="s">
        <v>1315</v>
      </c>
      <c r="F227" s="1452">
        <v>0</v>
      </c>
      <c r="G227" s="210"/>
      <c r="H227" s="1309"/>
      <c r="I227" s="1262">
        <f>+F227</f>
        <v>0</v>
      </c>
      <c r="J227" s="334"/>
      <c r="K227" s="717"/>
      <c r="L227" s="717"/>
      <c r="M227" s="717"/>
      <c r="N227" s="729"/>
      <c r="O227" s="234"/>
      <c r="Q227" s="1708"/>
    </row>
    <row r="228" spans="1:17">
      <c r="A228" s="246"/>
      <c r="B228" s="209"/>
      <c r="C228" s="198" t="str">
        <f>+C223</f>
        <v>Average Beginning and End of Year</v>
      </c>
      <c r="D228" s="209"/>
      <c r="E228" s="209"/>
      <c r="F228" s="350">
        <f>AVERAGE(F226:F227)</f>
        <v>0</v>
      </c>
      <c r="G228" s="210"/>
      <c r="H228" s="356"/>
      <c r="I228" s="245"/>
      <c r="J228" s="334">
        <f>+F228</f>
        <v>0</v>
      </c>
      <c r="K228" s="739"/>
      <c r="L228" s="739"/>
      <c r="M228" s="739"/>
      <c r="N228" s="1264"/>
      <c r="O228" s="234"/>
      <c r="Q228" s="234"/>
    </row>
    <row r="229" spans="1:17" ht="13.5" thickBot="1">
      <c r="A229" s="205"/>
      <c r="B229" s="235"/>
      <c r="C229" s="235"/>
      <c r="D229" s="235"/>
      <c r="E229" s="235"/>
      <c r="F229" s="351"/>
      <c r="G229" s="235"/>
      <c r="H229" s="330"/>
      <c r="I229" s="236"/>
      <c r="J229" s="236"/>
      <c r="K229" s="1280"/>
      <c r="L229" s="1281"/>
      <c r="M229" s="1280"/>
      <c r="N229" s="1282"/>
      <c r="O229" s="234"/>
      <c r="Q229" s="234"/>
    </row>
    <row r="230" spans="1:17">
      <c r="A230" s="209"/>
      <c r="B230" s="209"/>
      <c r="C230" s="209"/>
      <c r="D230" s="209"/>
      <c r="E230" s="209"/>
      <c r="F230" s="209"/>
      <c r="G230" s="209"/>
      <c r="H230" s="242"/>
      <c r="I230" s="242"/>
      <c r="J230" s="242"/>
      <c r="K230" s="739"/>
      <c r="L230" s="1283"/>
      <c r="M230" s="739"/>
      <c r="N230" s="739"/>
      <c r="O230" s="234"/>
      <c r="Q230" s="234"/>
    </row>
    <row r="231" spans="1:17" ht="13.5" thickBot="1">
      <c r="A231" s="365" t="s">
        <v>655</v>
      </c>
      <c r="B231" s="234"/>
      <c r="C231" s="234"/>
      <c r="D231" s="234"/>
      <c r="E231" s="234"/>
      <c r="F231" s="234"/>
      <c r="G231" s="234"/>
      <c r="H231" s="234"/>
      <c r="I231" s="234"/>
      <c r="J231" s="234"/>
      <c r="K231" s="412"/>
      <c r="L231" s="412"/>
      <c r="M231" s="412"/>
      <c r="N231" s="412"/>
      <c r="O231" s="412"/>
      <c r="Q231" s="234"/>
    </row>
    <row r="232" spans="1:17" ht="25.5">
      <c r="A232" s="1989" t="s">
        <v>1087</v>
      </c>
      <c r="B232" s="1990"/>
      <c r="C232" s="1990"/>
      <c r="D232" s="1990"/>
      <c r="E232" s="1990"/>
      <c r="F232" s="1990"/>
      <c r="G232" s="1311"/>
      <c r="H232" s="1263" t="str">
        <f>+C234</f>
        <v>Interest on Network Credits</v>
      </c>
      <c r="I232" s="1991" t="s">
        <v>245</v>
      </c>
      <c r="J232" s="1992"/>
      <c r="K232" s="1992"/>
      <c r="L232" s="1992"/>
      <c r="M232" s="1992"/>
      <c r="N232" s="1993"/>
      <c r="O232" s="234"/>
      <c r="Q232" s="234"/>
    </row>
    <row r="233" spans="1:17">
      <c r="A233" s="196"/>
      <c r="B233" s="202"/>
      <c r="C233" s="209"/>
      <c r="D233" s="209"/>
      <c r="E233" s="209"/>
      <c r="F233" s="209"/>
      <c r="G233" s="1103"/>
      <c r="H233" s="356" t="s">
        <v>246</v>
      </c>
      <c r="I233" s="242"/>
      <c r="J233" s="242"/>
      <c r="K233" s="739"/>
      <c r="L233" s="739"/>
      <c r="M233" s="739"/>
      <c r="N233" s="1264"/>
      <c r="O233" s="234"/>
      <c r="Q233" s="234"/>
    </row>
    <row r="234" spans="1:17">
      <c r="A234" s="249">
        <f>+'ATT H-1 '!A267</f>
        <v>164</v>
      </c>
      <c r="B234" s="249"/>
      <c r="C234" s="202" t="str">
        <f>+'ATT H-1 '!C267</f>
        <v>Interest on Network Credits</v>
      </c>
      <c r="D234" s="209"/>
      <c r="E234" s="209"/>
      <c r="F234" s="198"/>
      <c r="G234" s="1104"/>
      <c r="H234" s="1453">
        <v>0</v>
      </c>
      <c r="I234" s="1986" t="s">
        <v>173</v>
      </c>
      <c r="J234" s="1987"/>
      <c r="K234" s="1987"/>
      <c r="L234" s="1987"/>
      <c r="M234" s="1987"/>
      <c r="N234" s="1988"/>
      <c r="O234" s="234"/>
      <c r="Q234" s="234"/>
    </row>
    <row r="235" spans="1:17">
      <c r="A235" s="196"/>
      <c r="B235" s="209"/>
      <c r="C235" s="209"/>
      <c r="D235" s="209"/>
      <c r="E235" s="209"/>
      <c r="F235" s="209"/>
      <c r="G235" s="1103"/>
      <c r="H235" s="246"/>
      <c r="I235" s="211"/>
      <c r="J235" s="211"/>
      <c r="K235" s="734"/>
      <c r="L235" s="734"/>
      <c r="M235" s="734"/>
      <c r="N235" s="740"/>
      <c r="O235" s="234"/>
      <c r="Q235" s="234"/>
    </row>
    <row r="236" spans="1:17">
      <c r="A236" s="234"/>
      <c r="B236" s="234"/>
      <c r="C236" s="234"/>
      <c r="D236" s="234"/>
      <c r="E236" s="234"/>
      <c r="F236" s="234"/>
      <c r="G236" s="1312"/>
      <c r="H236" s="246"/>
      <c r="I236" s="242"/>
      <c r="J236" s="250"/>
      <c r="K236" s="748"/>
      <c r="L236" s="748"/>
      <c r="M236" s="748"/>
      <c r="N236" s="746"/>
      <c r="O236" s="412"/>
      <c r="Q236" s="234"/>
    </row>
    <row r="237" spans="1:17" ht="13.5" thickBot="1">
      <c r="A237" s="205"/>
      <c r="B237" s="235"/>
      <c r="C237" s="235"/>
      <c r="D237" s="235"/>
      <c r="E237" s="235"/>
      <c r="F237" s="235"/>
      <c r="G237" s="1105"/>
      <c r="H237" s="330"/>
      <c r="I237" s="236"/>
      <c r="J237" s="236"/>
      <c r="K237" s="1280"/>
      <c r="L237" s="1281" t="s">
        <v>172</v>
      </c>
      <c r="M237" s="1280"/>
      <c r="N237" s="1282"/>
      <c r="O237" s="234"/>
      <c r="Q237" s="234"/>
    </row>
    <row r="238" spans="1:17">
      <c r="A238" s="209"/>
      <c r="B238" s="209"/>
      <c r="C238" s="209"/>
      <c r="D238" s="209"/>
      <c r="E238" s="209"/>
      <c r="F238" s="209"/>
      <c r="G238" s="209"/>
      <c r="H238" s="242"/>
      <c r="I238" s="242"/>
      <c r="J238" s="242"/>
      <c r="K238" s="739"/>
      <c r="L238" s="1283"/>
      <c r="M238" s="739"/>
      <c r="N238" s="739"/>
      <c r="O238" s="234"/>
      <c r="Q238" s="234"/>
    </row>
    <row r="240" spans="1:17" ht="16.5" thickBot="1">
      <c r="A240" s="365" t="s">
        <v>247</v>
      </c>
      <c r="B240" s="100"/>
      <c r="C240" s="372"/>
      <c r="D240" s="100"/>
      <c r="E240" s="100"/>
      <c r="F240" s="100"/>
      <c r="G240" s="100"/>
      <c r="H240" s="88"/>
      <c r="I240" s="769"/>
      <c r="J240" s="770"/>
      <c r="K240" s="88"/>
      <c r="L240" s="88"/>
      <c r="M240" s="88"/>
      <c r="N240" s="481"/>
      <c r="Q240" s="242"/>
    </row>
    <row r="241" spans="1:17" ht="31.5">
      <c r="A241" s="1338">
        <f>'ATT H-1 '!A110</f>
        <v>63</v>
      </c>
      <c r="B241" s="1339"/>
      <c r="C241" s="1340" t="s">
        <v>247</v>
      </c>
      <c r="D241" s="873" t="s">
        <v>249</v>
      </c>
      <c r="E241" s="873"/>
      <c r="F241" s="886" t="s">
        <v>250</v>
      </c>
      <c r="G241" s="884" t="s">
        <v>253</v>
      </c>
      <c r="H241" s="884" t="s">
        <v>252</v>
      </c>
      <c r="I241" s="884" t="s">
        <v>254</v>
      </c>
      <c r="J241" s="874"/>
      <c r="K241" s="884" t="s">
        <v>251</v>
      </c>
      <c r="L241" s="875"/>
      <c r="M241" s="874"/>
      <c r="N241" s="876"/>
      <c r="Q241" s="242"/>
    </row>
    <row r="242" spans="1:17" ht="15.75">
      <c r="A242" s="877"/>
      <c r="B242" s="100"/>
      <c r="C242" s="372" t="s">
        <v>435</v>
      </c>
      <c r="D242" s="1843">
        <v>156109122</v>
      </c>
      <c r="E242" s="771"/>
      <c r="F242" s="1841">
        <v>7296</v>
      </c>
      <c r="G242" s="1841"/>
      <c r="H242" s="1841">
        <v>76861</v>
      </c>
      <c r="I242" s="1841"/>
      <c r="J242" s="773"/>
      <c r="K242" s="1800">
        <f>D242-F242-G242-H242-I242</f>
        <v>156024965</v>
      </c>
      <c r="L242" s="770"/>
      <c r="M242" s="88"/>
      <c r="N242" s="878"/>
      <c r="Q242" s="242"/>
    </row>
    <row r="243" spans="1:17" ht="15.75">
      <c r="A243" s="877"/>
      <c r="B243" s="100"/>
      <c r="C243" s="372" t="s">
        <v>437</v>
      </c>
      <c r="D243" s="1843">
        <v>5334956</v>
      </c>
      <c r="E243" s="771"/>
      <c r="F243" s="1842"/>
      <c r="G243" s="1842"/>
      <c r="H243" s="1842"/>
      <c r="I243" s="1842">
        <v>404224</v>
      </c>
      <c r="J243" s="773"/>
      <c r="K243" s="1800">
        <f>D243-F243-G243-H243-I243</f>
        <v>4930732</v>
      </c>
      <c r="L243" s="770"/>
      <c r="M243" s="88"/>
      <c r="N243" s="878"/>
      <c r="Q243" s="242"/>
    </row>
    <row r="244" spans="1:17" ht="15.75">
      <c r="A244" s="877"/>
      <c r="B244" s="100"/>
      <c r="C244" s="372" t="s">
        <v>438</v>
      </c>
      <c r="D244" s="1843">
        <v>1139346</v>
      </c>
      <c r="E244" s="771"/>
      <c r="F244" s="1842">
        <v>1139346</v>
      </c>
      <c r="G244" s="1842"/>
      <c r="H244" s="1842"/>
      <c r="I244" s="1842"/>
      <c r="J244" s="773"/>
      <c r="K244" s="1800">
        <f>D244-F244-G244-H244-I244</f>
        <v>0</v>
      </c>
      <c r="L244" s="770"/>
      <c r="M244" s="88"/>
      <c r="N244" s="878"/>
      <c r="Q244" s="242"/>
    </row>
    <row r="245" spans="1:17" ht="15.75">
      <c r="A245" s="877"/>
      <c r="B245" s="100"/>
      <c r="C245" s="372"/>
      <c r="D245" s="772"/>
      <c r="E245" s="771"/>
      <c r="F245" s="885"/>
      <c r="G245" s="885"/>
      <c r="H245" s="885"/>
      <c r="I245" s="885"/>
      <c r="J245" s="1313"/>
      <c r="K245" s="1801"/>
      <c r="L245" s="137"/>
      <c r="M245" s="1192"/>
      <c r="N245" s="1314"/>
      <c r="O245" s="234"/>
      <c r="Q245" s="242"/>
    </row>
    <row r="246" spans="1:17" ht="16.5" thickBot="1">
      <c r="A246" s="879"/>
      <c r="B246" s="880"/>
      <c r="C246" s="881" t="s">
        <v>248</v>
      </c>
      <c r="D246" s="882">
        <f>SUM(D242:D245)</f>
        <v>162583424</v>
      </c>
      <c r="E246" s="883"/>
      <c r="F246" s="887">
        <f>SUM(F242:F245)</f>
        <v>1146642</v>
      </c>
      <c r="G246" s="887">
        <f>SUM(G242:G245)</f>
        <v>0</v>
      </c>
      <c r="H246" s="887">
        <f>SUM(H242:H245)</f>
        <v>76861</v>
      </c>
      <c r="I246" s="887">
        <f>SUM(I242:I245)</f>
        <v>404224</v>
      </c>
      <c r="J246" s="1315"/>
      <c r="K246" s="1802">
        <f>SUM(K242:K245)</f>
        <v>160955697</v>
      </c>
      <c r="L246" s="1316"/>
      <c r="M246" s="1317"/>
      <c r="N246" s="1318"/>
      <c r="O246" s="234"/>
      <c r="Q246" s="242"/>
    </row>
    <row r="247" spans="1:17" ht="15.75">
      <c r="A247" s="100"/>
      <c r="B247" s="100"/>
      <c r="C247" s="372"/>
      <c r="D247" s="100"/>
      <c r="E247" s="100"/>
      <c r="F247" s="100"/>
      <c r="G247" s="100"/>
      <c r="H247" s="1192"/>
      <c r="I247" s="1192"/>
      <c r="J247" s="1319"/>
      <c r="K247" s="137"/>
      <c r="L247" s="1192"/>
      <c r="M247" s="1192"/>
      <c r="N247" s="1192"/>
      <c r="O247" s="234"/>
      <c r="Q247" s="242"/>
    </row>
    <row r="248" spans="1:17" ht="16.5" thickBot="1">
      <c r="A248" s="1861" t="s">
        <v>1240</v>
      </c>
      <c r="B248" s="880"/>
      <c r="C248" s="881"/>
      <c r="D248" s="880"/>
      <c r="E248" s="880"/>
      <c r="F248" s="880"/>
      <c r="G248" s="880"/>
      <c r="H248" s="1859"/>
      <c r="I248" s="1667"/>
      <c r="J248" s="1667"/>
      <c r="K248" s="1667"/>
      <c r="L248" s="184"/>
    </row>
    <row r="249" spans="1:17">
      <c r="A249" s="1349" t="s">
        <v>1087</v>
      </c>
      <c r="B249" s="418"/>
      <c r="C249" s="418"/>
      <c r="D249" s="418"/>
      <c r="E249" s="418"/>
      <c r="F249" s="1862" t="s">
        <v>877</v>
      </c>
      <c r="G249" s="418"/>
      <c r="H249" s="184"/>
      <c r="I249" s="413"/>
      <c r="J249" s="413"/>
    </row>
    <row r="250" spans="1:17">
      <c r="A250" s="418"/>
      <c r="B250" s="418"/>
      <c r="C250" s="418"/>
      <c r="D250" s="418"/>
      <c r="E250" s="1862" t="s">
        <v>851</v>
      </c>
      <c r="F250" s="1862" t="s">
        <v>126</v>
      </c>
      <c r="G250" s="418"/>
      <c r="H250" s="1862" t="s">
        <v>166</v>
      </c>
      <c r="I250" s="1667"/>
      <c r="J250" s="1667"/>
      <c r="K250" s="184"/>
      <c r="L250" s="184"/>
    </row>
    <row r="251" spans="1:17">
      <c r="A251" s="418"/>
      <c r="B251" s="418"/>
      <c r="C251" s="418" t="s">
        <v>1314</v>
      </c>
      <c r="D251" s="418" t="s">
        <v>1248</v>
      </c>
      <c r="E251" s="184">
        <f>-('WKSHT7 - EDIT'!K11+'WKSHT7 - EDIT'!K12)</f>
        <v>-23259816.944445897</v>
      </c>
      <c r="F251" s="1863">
        <f>'ATT H-1 '!H23</f>
        <v>0.17360751348150233</v>
      </c>
      <c r="G251" s="418"/>
      <c r="H251" s="184">
        <f>E251*F251</f>
        <v>-4038078.9837601674</v>
      </c>
      <c r="L251" s="184"/>
    </row>
    <row r="252" spans="1:17">
      <c r="A252" s="418"/>
      <c r="B252" s="418"/>
      <c r="C252" s="418" t="s">
        <v>1249</v>
      </c>
      <c r="D252" s="418"/>
      <c r="E252" s="1843">
        <v>2812666</v>
      </c>
      <c r="F252" s="1864">
        <f>F251</f>
        <v>0.17360751348150233</v>
      </c>
      <c r="G252" s="418"/>
      <c r="H252" s="184">
        <f t="shared" ref="H252" si="4">E252*F252</f>
        <v>488299.95051396324</v>
      </c>
      <c r="L252" s="184"/>
    </row>
    <row r="253" spans="1:17">
      <c r="A253" s="418"/>
      <c r="B253" s="418"/>
      <c r="C253" s="418"/>
      <c r="D253" s="418"/>
      <c r="E253" s="184"/>
      <c r="F253" s="1860"/>
      <c r="G253" s="418"/>
      <c r="H253" s="184"/>
      <c r="L253" s="184"/>
    </row>
    <row r="254" spans="1:17">
      <c r="A254" s="418" t="s">
        <v>1241</v>
      </c>
      <c r="B254" s="418"/>
      <c r="C254" s="418" t="s">
        <v>1257</v>
      </c>
      <c r="D254" s="418"/>
      <c r="E254" s="1373">
        <f>SUM(E251:E253)</f>
        <v>-20447150.944445897</v>
      </c>
      <c r="F254" s="418"/>
      <c r="G254" s="418"/>
      <c r="H254" s="1373">
        <f>SUM(H251:H253)</f>
        <v>-3549779.0332462043</v>
      </c>
      <c r="L254" s="184"/>
    </row>
    <row r="255" spans="1:17">
      <c r="A255" s="418"/>
      <c r="B255" s="418"/>
      <c r="C255" s="418"/>
      <c r="D255" s="418"/>
      <c r="E255" s="418"/>
      <c r="F255" s="418"/>
      <c r="G255" s="418"/>
      <c r="H255" s="418"/>
      <c r="J255" s="413"/>
      <c r="L255" s="184"/>
    </row>
    <row r="256" spans="1:17" ht="28.5" customHeight="1">
      <c r="C256" s="1985" t="s">
        <v>1250</v>
      </c>
      <c r="D256" s="1985"/>
      <c r="E256" s="1985"/>
      <c r="L256" s="184"/>
    </row>
    <row r="257" spans="9:12">
      <c r="I257" s="1668"/>
      <c r="L257" s="184"/>
    </row>
    <row r="258" spans="9:12">
      <c r="L258" s="184"/>
    </row>
    <row r="259" spans="9:12">
      <c r="L259" s="184"/>
    </row>
    <row r="260" spans="9:12">
      <c r="J260" s="413"/>
      <c r="L260" s="184"/>
    </row>
    <row r="261" spans="9:12">
      <c r="J261" s="413"/>
      <c r="L261" s="184"/>
    </row>
    <row r="262" spans="9:12">
      <c r="L262" s="184"/>
    </row>
    <row r="263" spans="9:12">
      <c r="L263" s="184"/>
    </row>
    <row r="264" spans="9:12">
      <c r="J264" s="413"/>
      <c r="L264" s="184"/>
    </row>
    <row r="265" spans="9:12">
      <c r="J265" s="413"/>
      <c r="L265" s="184"/>
    </row>
    <row r="266" spans="9:12">
      <c r="J266" s="413"/>
      <c r="L266" s="184"/>
    </row>
    <row r="267" spans="9:12">
      <c r="J267" s="413"/>
      <c r="L267" s="184"/>
    </row>
    <row r="268" spans="9:12">
      <c r="J268" s="413"/>
      <c r="L268" s="184"/>
    </row>
    <row r="269" spans="9:12">
      <c r="J269" s="413"/>
      <c r="L269" s="184"/>
    </row>
    <row r="270" spans="9:12">
      <c r="L270" s="184"/>
    </row>
    <row r="271" spans="9:12">
      <c r="K271" s="189"/>
    </row>
  </sheetData>
  <mergeCells count="33">
    <mergeCell ref="R17:S17"/>
    <mergeCell ref="A66:F66"/>
    <mergeCell ref="K36:N36"/>
    <mergeCell ref="R18:S18"/>
    <mergeCell ref="R19:S19"/>
    <mergeCell ref="P7:Q7"/>
    <mergeCell ref="A36:F36"/>
    <mergeCell ref="A118:F118"/>
    <mergeCell ref="I118:N118"/>
    <mergeCell ref="A82:F82"/>
    <mergeCell ref="A112:F112"/>
    <mergeCell ref="K78:M78"/>
    <mergeCell ref="K91:N91"/>
    <mergeCell ref="A75:F75"/>
    <mergeCell ref="K75:N75"/>
    <mergeCell ref="L112:N112"/>
    <mergeCell ref="K93:N93"/>
    <mergeCell ref="K82:N82"/>
    <mergeCell ref="A91:F91"/>
    <mergeCell ref="K92:N92"/>
    <mergeCell ref="A1:N1"/>
    <mergeCell ref="A3:N3"/>
    <mergeCell ref="A7:F7"/>
    <mergeCell ref="K7:N7"/>
    <mergeCell ref="A218:F218"/>
    <mergeCell ref="A127:F127"/>
    <mergeCell ref="I218:N218"/>
    <mergeCell ref="I120:N120"/>
    <mergeCell ref="C256:E256"/>
    <mergeCell ref="I234:N234"/>
    <mergeCell ref="I220:N220"/>
    <mergeCell ref="A232:F232"/>
    <mergeCell ref="I232:N232"/>
  </mergeCells>
  <phoneticPr fontId="49" type="noConversion"/>
  <pageMargins left="0.25" right="0.25" top="0.75" bottom="0.75" header="0.3" footer="0.3"/>
  <pageSetup scale="42" fitToHeight="7" orientation="landscape" r:id="rId1"/>
  <headerFooter alignWithMargins="0"/>
  <rowBreaks count="4" manualBreakCount="4">
    <brk id="33" max="16" man="1"/>
    <brk id="73" max="16383" man="1"/>
    <brk id="125" max="16" man="1"/>
    <brk id="197"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21"/>
  <sheetViews>
    <sheetView topLeftCell="A59" zoomScaleNormal="100" zoomScaleSheetLayoutView="75" workbookViewId="0">
      <selection activeCell="D70" sqref="D70"/>
    </sheetView>
  </sheetViews>
  <sheetFormatPr defaultRowHeight="12.75"/>
  <cols>
    <col min="1" max="1" width="18.140625" customWidth="1"/>
    <col min="3" max="3" width="18.28515625" customWidth="1"/>
    <col min="4" max="4" width="22.5703125" customWidth="1"/>
    <col min="5" max="5" width="23.140625" customWidth="1"/>
    <col min="6" max="6" width="15.28515625" customWidth="1"/>
    <col min="7" max="7" width="33" customWidth="1"/>
    <col min="8" max="8" width="12.42578125" customWidth="1"/>
    <col min="9" max="9" width="13.28515625" customWidth="1"/>
    <col min="10" max="10" width="12.7109375" customWidth="1"/>
    <col min="11" max="11" width="12.140625" customWidth="1"/>
    <col min="12" max="12" width="15.42578125" customWidth="1"/>
    <col min="13" max="13" width="11.7109375" customWidth="1"/>
    <col min="14" max="14" width="21.5703125" customWidth="1"/>
    <col min="15" max="15" width="23.5703125" customWidth="1"/>
    <col min="16" max="16" width="14" bestFit="1" customWidth="1"/>
  </cols>
  <sheetData>
    <row r="2" spans="1:20" ht="15">
      <c r="J2" s="12" t="s">
        <v>447</v>
      </c>
    </row>
    <row r="3" spans="1:20" ht="18">
      <c r="A3" s="1430" t="s">
        <v>353</v>
      </c>
      <c r="B3" s="569"/>
      <c r="C3" s="569"/>
      <c r="D3" s="569"/>
      <c r="E3" s="569"/>
      <c r="F3" s="569"/>
      <c r="G3" s="569"/>
      <c r="H3" s="569"/>
      <c r="I3" s="570"/>
      <c r="J3" s="570"/>
      <c r="K3" s="421"/>
      <c r="L3" s="421"/>
      <c r="M3" s="421"/>
      <c r="N3" s="421"/>
      <c r="O3" s="421"/>
    </row>
    <row r="4" spans="1:20">
      <c r="A4" s="421"/>
      <c r="B4" s="421"/>
      <c r="C4" s="421"/>
      <c r="D4" s="421"/>
      <c r="E4" s="1765" t="s">
        <v>1105</v>
      </c>
      <c r="F4" s="1766">
        <v>2021</v>
      </c>
      <c r="G4" s="421"/>
      <c r="H4" s="421"/>
      <c r="I4" s="421"/>
      <c r="J4" s="421"/>
      <c r="K4" s="421"/>
      <c r="L4" s="421"/>
      <c r="M4" s="421"/>
      <c r="N4" s="421"/>
      <c r="O4" s="421"/>
    </row>
    <row r="5" spans="1:20" ht="16.5">
      <c r="A5" s="420"/>
      <c r="B5" s="420"/>
      <c r="C5" s="420"/>
      <c r="D5" s="419"/>
      <c r="E5" s="1765" t="s">
        <v>1106</v>
      </c>
      <c r="F5" s="1767">
        <v>2022</v>
      </c>
      <c r="G5" s="419"/>
      <c r="H5" s="419"/>
      <c r="I5" s="419"/>
      <c r="J5" s="571"/>
      <c r="K5" s="419"/>
      <c r="L5" s="419"/>
      <c r="M5" s="419"/>
      <c r="N5" s="419"/>
      <c r="O5" s="419"/>
    </row>
    <row r="6" spans="1:20" ht="13.5">
      <c r="A6" s="572" t="s">
        <v>621</v>
      </c>
      <c r="B6" s="572" t="s">
        <v>622</v>
      </c>
      <c r="C6" s="572" t="s">
        <v>623</v>
      </c>
      <c r="D6" s="572" t="s">
        <v>624</v>
      </c>
      <c r="E6" s="1765" t="s">
        <v>1107</v>
      </c>
      <c r="F6" s="1767">
        <v>2023</v>
      </c>
      <c r="G6" s="573"/>
      <c r="H6" s="573"/>
      <c r="I6" s="573"/>
      <c r="J6" s="573"/>
      <c r="K6" s="573"/>
      <c r="L6" s="573"/>
      <c r="M6" s="573"/>
      <c r="N6" s="573"/>
      <c r="O6" s="573"/>
      <c r="P6" s="573"/>
      <c r="Q6" s="573"/>
      <c r="R6" s="573"/>
      <c r="S6" s="573"/>
    </row>
    <row r="7" spans="1:20" ht="13.5">
      <c r="A7" s="420"/>
      <c r="B7" s="572"/>
      <c r="C7" s="572"/>
      <c r="D7" s="573"/>
      <c r="E7" s="573"/>
      <c r="F7" s="573"/>
      <c r="G7" s="573"/>
      <c r="H7" s="573"/>
      <c r="I7" s="573"/>
      <c r="J7" s="573"/>
      <c r="K7" s="573"/>
      <c r="L7" s="573"/>
      <c r="M7" s="573"/>
      <c r="N7" s="573"/>
      <c r="O7" s="573"/>
      <c r="P7" s="577"/>
      <c r="Q7" s="577"/>
      <c r="R7" s="577"/>
      <c r="S7" s="577"/>
    </row>
    <row r="8" spans="1:20" ht="13.5">
      <c r="A8" s="574" t="s">
        <v>625</v>
      </c>
      <c r="B8" s="572"/>
      <c r="C8" s="572"/>
      <c r="D8" s="573"/>
      <c r="E8" s="573"/>
      <c r="F8" s="573"/>
      <c r="G8" s="573"/>
      <c r="H8" s="573"/>
      <c r="I8" s="573"/>
      <c r="J8" s="573"/>
      <c r="K8" s="573"/>
      <c r="L8" s="573"/>
      <c r="M8" s="573"/>
      <c r="N8" s="573"/>
      <c r="P8" s="577"/>
      <c r="Q8" s="577"/>
      <c r="R8" s="577"/>
      <c r="S8" s="577"/>
    </row>
    <row r="9" spans="1:20" ht="13.5">
      <c r="A9" s="575">
        <v>1</v>
      </c>
      <c r="B9" s="575" t="s">
        <v>626</v>
      </c>
      <c r="C9" s="575" t="s">
        <v>601</v>
      </c>
      <c r="D9" s="576" t="s">
        <v>1092</v>
      </c>
      <c r="E9" s="577"/>
      <c r="F9" s="577"/>
      <c r="G9" s="577"/>
      <c r="H9" s="577"/>
      <c r="I9" s="577"/>
      <c r="J9" s="577"/>
      <c r="K9" s="577"/>
      <c r="L9" s="577"/>
      <c r="M9" s="577"/>
      <c r="N9" s="577"/>
      <c r="P9" s="577"/>
      <c r="Q9" s="625"/>
      <c r="R9" s="625"/>
      <c r="S9" s="609"/>
    </row>
    <row r="10" spans="1:20" ht="13.5">
      <c r="A10" s="575">
        <v>2</v>
      </c>
      <c r="B10" s="575" t="s">
        <v>626</v>
      </c>
      <c r="C10" s="575" t="s">
        <v>601</v>
      </c>
      <c r="D10" s="576" t="s">
        <v>1093</v>
      </c>
      <c r="E10" s="577"/>
      <c r="F10" s="577"/>
      <c r="G10" s="577"/>
      <c r="H10" s="577"/>
      <c r="I10" s="577"/>
      <c r="J10" s="577"/>
      <c r="K10" s="577"/>
      <c r="L10" s="577"/>
      <c r="M10" s="577"/>
      <c r="N10" s="577"/>
      <c r="P10" s="577"/>
      <c r="Q10" s="625"/>
      <c r="R10" s="625"/>
      <c r="S10" s="609"/>
    </row>
    <row r="11" spans="1:20" ht="13.5">
      <c r="A11" s="575">
        <v>3</v>
      </c>
      <c r="B11" s="575" t="s">
        <v>626</v>
      </c>
      <c r="C11" s="575" t="s">
        <v>601</v>
      </c>
      <c r="D11" s="576" t="s">
        <v>1094</v>
      </c>
      <c r="E11" s="577"/>
      <c r="F11" s="577"/>
      <c r="G11" s="577"/>
      <c r="H11" s="577"/>
      <c r="I11" s="577"/>
      <c r="J11" s="577"/>
      <c r="K11" s="577"/>
      <c r="L11" s="577"/>
      <c r="M11" s="577"/>
      <c r="N11" s="577"/>
      <c r="P11" s="577"/>
      <c r="Q11" s="625"/>
      <c r="R11" s="625"/>
      <c r="S11" s="609"/>
    </row>
    <row r="12" spans="1:20" ht="13.5">
      <c r="A12" s="575">
        <v>4</v>
      </c>
      <c r="B12" s="575" t="s">
        <v>627</v>
      </c>
      <c r="C12" s="575" t="s">
        <v>601</v>
      </c>
      <c r="D12" s="576" t="s">
        <v>962</v>
      </c>
      <c r="E12" s="577"/>
      <c r="F12" s="577"/>
      <c r="G12" s="577"/>
      <c r="H12" s="577"/>
      <c r="I12" s="577"/>
      <c r="J12" s="577"/>
      <c r="K12" s="577"/>
      <c r="L12" s="577"/>
      <c r="M12" s="577"/>
      <c r="N12" s="577"/>
      <c r="P12" s="573"/>
      <c r="Q12" s="626"/>
      <c r="R12" s="626"/>
      <c r="S12" s="609"/>
    </row>
    <row r="13" spans="1:20" ht="13.5">
      <c r="A13" s="575">
        <v>5</v>
      </c>
      <c r="B13" s="578" t="s">
        <v>628</v>
      </c>
      <c r="C13" s="575" t="s">
        <v>601</v>
      </c>
      <c r="D13" s="576" t="s">
        <v>1095</v>
      </c>
      <c r="E13" s="577"/>
      <c r="F13" s="577"/>
      <c r="G13" s="577"/>
      <c r="H13" s="577"/>
      <c r="I13" s="577"/>
      <c r="J13" s="577"/>
      <c r="K13" s="577"/>
      <c r="L13" s="577"/>
      <c r="M13" s="577"/>
      <c r="N13" s="577"/>
      <c r="P13" s="573"/>
      <c r="Q13" s="626"/>
      <c r="R13" s="626"/>
      <c r="S13" s="609"/>
    </row>
    <row r="14" spans="1:20" ht="13.5">
      <c r="A14" s="572">
        <v>6</v>
      </c>
      <c r="B14" s="572" t="s">
        <v>626</v>
      </c>
      <c r="C14" s="575" t="s">
        <v>602</v>
      </c>
      <c r="D14" s="579" t="s">
        <v>1096</v>
      </c>
      <c r="E14" s="573"/>
      <c r="F14" s="573"/>
      <c r="G14" s="573"/>
      <c r="H14" s="573"/>
      <c r="I14" s="573"/>
      <c r="J14" s="573"/>
      <c r="K14" s="573"/>
      <c r="L14" s="573"/>
      <c r="M14" s="573"/>
      <c r="N14" s="573"/>
      <c r="P14" s="573"/>
      <c r="Q14" s="626"/>
      <c r="R14" s="626"/>
      <c r="S14" s="609"/>
    </row>
    <row r="15" spans="1:20" ht="13.5">
      <c r="A15" s="572">
        <v>7</v>
      </c>
      <c r="B15" s="572" t="s">
        <v>626</v>
      </c>
      <c r="C15" s="575" t="s">
        <v>602</v>
      </c>
      <c r="D15" s="579" t="str">
        <f>+D65</f>
        <v>Reconciliation</v>
      </c>
      <c r="E15" s="580"/>
      <c r="F15" s="580"/>
      <c r="G15" s="580"/>
      <c r="H15" s="580"/>
      <c r="I15" s="580"/>
      <c r="J15" s="580"/>
      <c r="K15" s="573"/>
      <c r="L15" s="573"/>
      <c r="M15" s="573"/>
      <c r="N15" s="573"/>
      <c r="P15" s="573"/>
      <c r="Q15" s="626"/>
      <c r="R15" s="626"/>
      <c r="S15" s="609"/>
    </row>
    <row r="16" spans="1:20" ht="13.5">
      <c r="A16" s="572">
        <v>8</v>
      </c>
      <c r="B16" s="572" t="s">
        <v>626</v>
      </c>
      <c r="C16" s="575" t="s">
        <v>602</v>
      </c>
      <c r="D16" s="579" t="str">
        <f>+D75</f>
        <v>True-Up Adjustment</v>
      </c>
      <c r="E16" s="573"/>
      <c r="F16" s="573"/>
      <c r="G16" s="573"/>
      <c r="H16" s="573"/>
      <c r="I16" s="573"/>
      <c r="J16" s="573"/>
      <c r="K16" s="573"/>
      <c r="L16" s="573"/>
      <c r="M16" s="1870"/>
      <c r="N16" s="573"/>
      <c r="P16" s="573"/>
      <c r="Q16" s="847"/>
      <c r="R16" s="847"/>
      <c r="S16" s="846"/>
      <c r="T16" s="97"/>
    </row>
    <row r="17" spans="1:20" ht="13.5">
      <c r="A17" s="572">
        <v>9</v>
      </c>
      <c r="B17" s="572" t="s">
        <v>626</v>
      </c>
      <c r="C17" s="575" t="s">
        <v>602</v>
      </c>
      <c r="D17" s="579" t="s">
        <v>1097</v>
      </c>
      <c r="E17" s="573"/>
      <c r="F17" s="573"/>
      <c r="G17" s="573"/>
      <c r="H17" s="573"/>
      <c r="I17" s="573"/>
      <c r="J17" s="573"/>
      <c r="K17" s="573"/>
      <c r="L17" s="573"/>
      <c r="M17" s="573"/>
      <c r="N17" s="573"/>
      <c r="P17" s="573"/>
      <c r="Q17" s="847"/>
      <c r="R17" s="847"/>
      <c r="S17" s="846"/>
      <c r="T17" s="97"/>
    </row>
    <row r="18" spans="1:20" ht="13.5">
      <c r="A18" s="572">
        <v>10</v>
      </c>
      <c r="B18" s="572" t="s">
        <v>627</v>
      </c>
      <c r="C18" s="575" t="s">
        <v>602</v>
      </c>
      <c r="D18" s="579" t="s">
        <v>460</v>
      </c>
      <c r="E18" s="573"/>
      <c r="F18" s="573"/>
      <c r="G18" s="573"/>
      <c r="H18" s="573"/>
      <c r="I18" s="573"/>
      <c r="J18" s="573"/>
      <c r="K18" s="573"/>
      <c r="L18" s="573"/>
      <c r="M18" s="573"/>
      <c r="N18" s="573"/>
      <c r="P18" s="573"/>
      <c r="Q18" s="847"/>
      <c r="R18" s="847"/>
      <c r="S18" s="846"/>
      <c r="T18" s="97"/>
    </row>
    <row r="19" spans="1:20" ht="13.5">
      <c r="A19" s="572">
        <v>11</v>
      </c>
      <c r="B19" s="581" t="s">
        <v>628</v>
      </c>
      <c r="C19" s="575" t="s">
        <v>602</v>
      </c>
      <c r="D19" s="576" t="s">
        <v>1098</v>
      </c>
      <c r="E19" s="577"/>
      <c r="F19" s="577"/>
      <c r="G19" s="577"/>
      <c r="H19" s="577"/>
      <c r="I19" s="577"/>
      <c r="J19" s="577"/>
      <c r="K19" s="573"/>
      <c r="L19" s="573"/>
      <c r="M19" s="573"/>
      <c r="N19" s="573"/>
      <c r="P19" s="573"/>
      <c r="Q19" s="847"/>
      <c r="R19" s="847"/>
      <c r="S19" s="847"/>
      <c r="T19" s="97"/>
    </row>
    <row r="20" spans="1:20" ht="13.5">
      <c r="A20" s="572"/>
      <c r="B20" s="581"/>
      <c r="C20" s="572"/>
      <c r="D20" s="579"/>
      <c r="E20" s="573"/>
      <c r="F20" s="573"/>
      <c r="G20" s="573"/>
      <c r="H20" s="573"/>
      <c r="I20" s="573"/>
      <c r="J20" s="573"/>
      <c r="K20" s="573"/>
      <c r="L20" s="573"/>
      <c r="M20" s="573"/>
      <c r="N20" s="573"/>
      <c r="P20" s="573"/>
      <c r="Q20" s="597"/>
      <c r="R20" s="597"/>
      <c r="S20" s="597"/>
      <c r="T20" s="97"/>
    </row>
    <row r="21" spans="1:20" ht="13.5">
      <c r="A21" s="582"/>
      <c r="B21" s="575"/>
      <c r="C21" s="572"/>
      <c r="D21" s="583"/>
      <c r="E21" s="573"/>
      <c r="F21" s="573"/>
      <c r="G21" s="573"/>
      <c r="H21" s="573"/>
      <c r="I21" s="1734"/>
      <c r="J21" s="573"/>
      <c r="K21" s="573"/>
      <c r="L21" s="573"/>
      <c r="M21" s="573"/>
      <c r="N21" s="573"/>
      <c r="P21" s="573"/>
      <c r="Q21" s="597"/>
      <c r="R21" s="597"/>
      <c r="S21" s="597"/>
      <c r="T21" s="97"/>
    </row>
    <row r="22" spans="1:20" ht="13.5">
      <c r="A22" s="572">
        <v>1</v>
      </c>
      <c r="B22" s="572" t="s">
        <v>626</v>
      </c>
      <c r="C22" s="572" t="s">
        <v>601</v>
      </c>
      <c r="D22" s="573" t="s">
        <v>1099</v>
      </c>
      <c r="E22" s="573"/>
      <c r="F22" s="573"/>
      <c r="G22" s="573"/>
      <c r="H22" s="573"/>
      <c r="I22" s="573"/>
      <c r="J22" s="419"/>
      <c r="K22" s="573"/>
      <c r="L22" s="573"/>
      <c r="M22" s="573"/>
      <c r="N22" s="573"/>
      <c r="Q22" s="97"/>
      <c r="R22" s="97"/>
      <c r="S22" s="97"/>
      <c r="T22" s="97"/>
    </row>
    <row r="23" spans="1:20" ht="13.5">
      <c r="A23" s="572"/>
      <c r="B23" s="572"/>
      <c r="C23" s="572"/>
      <c r="D23" s="584"/>
      <c r="E23" s="573" t="s">
        <v>366</v>
      </c>
      <c r="F23" s="573"/>
      <c r="G23" s="585" t="s">
        <v>1089</v>
      </c>
      <c r="H23" s="573"/>
      <c r="I23" s="573"/>
      <c r="J23" s="573"/>
      <c r="L23" s="573"/>
      <c r="M23" s="573"/>
      <c r="N23" s="573"/>
      <c r="Q23" s="97"/>
      <c r="R23" s="97"/>
      <c r="S23" s="97"/>
      <c r="T23" s="97"/>
    </row>
    <row r="24" spans="1:20" ht="13.5">
      <c r="A24" s="572"/>
      <c r="B24" s="572"/>
      <c r="C24" s="572"/>
      <c r="D24" s="586"/>
      <c r="E24" s="573"/>
      <c r="F24" s="573"/>
      <c r="G24" s="573"/>
      <c r="H24" s="573"/>
      <c r="I24" s="573"/>
      <c r="J24" s="573"/>
      <c r="K24" s="573"/>
      <c r="L24" s="573"/>
      <c r="M24" s="573"/>
      <c r="N24" s="573"/>
      <c r="O24" s="573"/>
    </row>
    <row r="25" spans="1:20" ht="13.5">
      <c r="A25" s="572">
        <v>2</v>
      </c>
      <c r="B25" s="572" t="s">
        <v>626</v>
      </c>
      <c r="C25" s="572" t="s">
        <v>601</v>
      </c>
      <c r="D25" s="579" t="s">
        <v>1093</v>
      </c>
      <c r="E25" s="573"/>
      <c r="F25" s="573"/>
      <c r="G25" s="573"/>
      <c r="H25" s="573"/>
      <c r="I25" s="573"/>
      <c r="J25" s="419"/>
      <c r="K25" s="573"/>
      <c r="L25" s="573"/>
      <c r="M25" s="573"/>
      <c r="N25" s="573"/>
      <c r="O25" s="573"/>
    </row>
    <row r="26" spans="1:20" ht="13.5">
      <c r="A26" s="572"/>
      <c r="C26" s="572"/>
      <c r="D26" s="579"/>
      <c r="E26" s="573"/>
      <c r="F26" s="573"/>
      <c r="G26" s="573"/>
      <c r="H26" s="573"/>
      <c r="I26" s="573"/>
      <c r="J26" s="419"/>
      <c r="K26" s="573"/>
      <c r="L26" s="573"/>
      <c r="M26" s="573"/>
      <c r="N26" s="573"/>
      <c r="O26" s="573"/>
    </row>
    <row r="27" spans="1:20" ht="13.5">
      <c r="A27" s="572"/>
      <c r="B27" s="419"/>
      <c r="C27" s="479" t="s">
        <v>263</v>
      </c>
      <c r="D27" s="479" t="s">
        <v>264</v>
      </c>
      <c r="E27" s="479" t="s">
        <v>356</v>
      </c>
      <c r="F27" s="479" t="s">
        <v>265</v>
      </c>
      <c r="G27" s="479" t="s">
        <v>266</v>
      </c>
      <c r="I27" s="479" t="s">
        <v>262</v>
      </c>
      <c r="J27" s="479" t="s">
        <v>355</v>
      </c>
      <c r="K27" s="479" t="s">
        <v>570</v>
      </c>
      <c r="L27" s="479" t="s">
        <v>571</v>
      </c>
      <c r="M27" s="479" t="s">
        <v>963</v>
      </c>
      <c r="O27" s="575"/>
    </row>
    <row r="28" spans="1:20" ht="13.5">
      <c r="A28" s="572"/>
      <c r="B28" s="419"/>
      <c r="C28" s="572" t="s">
        <v>219</v>
      </c>
      <c r="D28" s="572" t="s">
        <v>219</v>
      </c>
      <c r="E28" s="572" t="s">
        <v>219</v>
      </c>
      <c r="F28" s="572" t="s">
        <v>219</v>
      </c>
      <c r="G28" s="572" t="s">
        <v>219</v>
      </c>
      <c r="H28" s="572"/>
      <c r="I28" s="572" t="s">
        <v>72</v>
      </c>
      <c r="J28" s="572" t="s">
        <v>72</v>
      </c>
      <c r="K28" s="572" t="s">
        <v>72</v>
      </c>
      <c r="L28" s="572" t="s">
        <v>72</v>
      </c>
      <c r="M28" s="572" t="s">
        <v>72</v>
      </c>
      <c r="O28" s="572"/>
    </row>
    <row r="29" spans="1:20" ht="13.5">
      <c r="A29" s="572"/>
      <c r="B29" s="573"/>
      <c r="C29" s="572" t="s">
        <v>68</v>
      </c>
      <c r="D29" s="572" t="s">
        <v>68</v>
      </c>
      <c r="E29" s="572" t="s">
        <v>68</v>
      </c>
      <c r="F29" s="623"/>
      <c r="G29" s="623"/>
      <c r="H29" s="572"/>
      <c r="I29" s="572" t="s">
        <v>73</v>
      </c>
      <c r="J29" s="572" t="s">
        <v>75</v>
      </c>
      <c r="K29" s="572" t="s">
        <v>76</v>
      </c>
      <c r="L29" s="572" t="s">
        <v>77</v>
      </c>
      <c r="M29" s="572" t="s">
        <v>78</v>
      </c>
      <c r="O29" s="572"/>
    </row>
    <row r="30" spans="1:20" ht="13.5">
      <c r="A30" s="572"/>
      <c r="B30" s="573"/>
      <c r="C30" s="572" t="s">
        <v>569</v>
      </c>
      <c r="D30" s="572"/>
      <c r="E30" s="572"/>
      <c r="F30" s="572" t="s">
        <v>69</v>
      </c>
      <c r="G30" s="572" t="s">
        <v>70</v>
      </c>
      <c r="H30" s="572"/>
      <c r="I30" s="572"/>
      <c r="J30" s="572"/>
      <c r="K30" s="572"/>
      <c r="L30" s="572"/>
      <c r="M30" s="572"/>
    </row>
    <row r="31" spans="1:20" ht="13.5">
      <c r="A31" s="572"/>
      <c r="B31" s="573"/>
      <c r="C31" s="572"/>
      <c r="D31" s="587"/>
      <c r="E31" s="587"/>
      <c r="F31" s="572"/>
      <c r="G31" s="572"/>
      <c r="H31" s="622"/>
      <c r="I31" s="572"/>
      <c r="J31" s="588"/>
      <c r="K31" s="572"/>
      <c r="L31" s="572"/>
      <c r="M31" s="583"/>
    </row>
    <row r="32" spans="1:20" ht="13.5">
      <c r="A32" s="572"/>
      <c r="B32" s="573" t="s">
        <v>629</v>
      </c>
      <c r="C32" s="1835"/>
      <c r="D32" s="589"/>
      <c r="E32" s="589"/>
      <c r="F32" s="589"/>
      <c r="G32" s="589"/>
      <c r="H32" s="622"/>
      <c r="I32" s="588">
        <f>C32</f>
        <v>0</v>
      </c>
      <c r="J32" s="588">
        <f>D32</f>
        <v>0</v>
      </c>
      <c r="K32" s="588">
        <f>E32</f>
        <v>0</v>
      </c>
      <c r="L32" s="588">
        <f>F32</f>
        <v>0</v>
      </c>
      <c r="M32" s="588">
        <f>G32</f>
        <v>0</v>
      </c>
      <c r="O32" s="588"/>
    </row>
    <row r="33" spans="1:15" ht="13.5">
      <c r="A33" s="572"/>
      <c r="B33" s="573" t="s">
        <v>630</v>
      </c>
      <c r="C33" s="1835"/>
      <c r="D33" s="589"/>
      <c r="E33" s="589"/>
      <c r="F33" s="589"/>
      <c r="G33" s="589"/>
      <c r="H33" s="622"/>
      <c r="I33" s="588">
        <f t="shared" ref="I33:I43" si="0">I32+C33</f>
        <v>0</v>
      </c>
      <c r="J33" s="588">
        <f t="shared" ref="J33:J43" si="1">J32+D33</f>
        <v>0</v>
      </c>
      <c r="K33" s="588">
        <f t="shared" ref="K33:K43" si="2">K32+E33</f>
        <v>0</v>
      </c>
      <c r="L33" s="588">
        <f t="shared" ref="L33:L43" si="3">L32+F33</f>
        <v>0</v>
      </c>
      <c r="M33" s="588">
        <f t="shared" ref="M33:M43" si="4">M32+G33</f>
        <v>0</v>
      </c>
      <c r="O33" s="588"/>
    </row>
    <row r="34" spans="1:15" ht="13.5">
      <c r="A34" s="572"/>
      <c r="B34" s="573" t="s">
        <v>631</v>
      </c>
      <c r="C34" s="1835"/>
      <c r="D34" s="589"/>
      <c r="E34" s="589"/>
      <c r="F34" s="589"/>
      <c r="G34" s="589"/>
      <c r="H34" s="622"/>
      <c r="I34" s="588">
        <f t="shared" si="0"/>
        <v>0</v>
      </c>
      <c r="J34" s="588">
        <f t="shared" si="1"/>
        <v>0</v>
      </c>
      <c r="K34" s="588">
        <f t="shared" si="2"/>
        <v>0</v>
      </c>
      <c r="L34" s="588">
        <f t="shared" si="3"/>
        <v>0</v>
      </c>
      <c r="M34" s="588">
        <f t="shared" si="4"/>
        <v>0</v>
      </c>
      <c r="O34" s="588"/>
    </row>
    <row r="35" spans="1:15" ht="13.5">
      <c r="A35" s="572"/>
      <c r="B35" s="573" t="s">
        <v>632</v>
      </c>
      <c r="C35" s="1835"/>
      <c r="D35" s="589"/>
      <c r="E35" s="589"/>
      <c r="F35" s="589"/>
      <c r="G35" s="589"/>
      <c r="H35" s="622"/>
      <c r="I35" s="588">
        <f t="shared" si="0"/>
        <v>0</v>
      </c>
      <c r="J35" s="588">
        <f t="shared" si="1"/>
        <v>0</v>
      </c>
      <c r="K35" s="588">
        <f t="shared" si="2"/>
        <v>0</v>
      </c>
      <c r="L35" s="588">
        <f t="shared" si="3"/>
        <v>0</v>
      </c>
      <c r="M35" s="588">
        <f t="shared" si="4"/>
        <v>0</v>
      </c>
      <c r="O35" s="588"/>
    </row>
    <row r="36" spans="1:15" ht="13.5">
      <c r="A36" s="572"/>
      <c r="B36" s="573" t="s">
        <v>627</v>
      </c>
      <c r="C36" s="1835"/>
      <c r="D36" s="589"/>
      <c r="E36" s="589"/>
      <c r="F36" s="589"/>
      <c r="G36" s="589"/>
      <c r="H36" s="622"/>
      <c r="I36" s="588">
        <f t="shared" si="0"/>
        <v>0</v>
      </c>
      <c r="J36" s="588">
        <f t="shared" si="1"/>
        <v>0</v>
      </c>
      <c r="K36" s="588">
        <f t="shared" si="2"/>
        <v>0</v>
      </c>
      <c r="L36" s="588">
        <f t="shared" si="3"/>
        <v>0</v>
      </c>
      <c r="M36" s="588">
        <f t="shared" si="4"/>
        <v>0</v>
      </c>
      <c r="O36" s="588"/>
    </row>
    <row r="37" spans="1:15" ht="13.5">
      <c r="A37" s="572"/>
      <c r="B37" s="573" t="s">
        <v>633</v>
      </c>
      <c r="C37" s="1835"/>
      <c r="D37" s="589"/>
      <c r="E37" s="589"/>
      <c r="F37" s="589"/>
      <c r="G37" s="589"/>
      <c r="H37" s="622"/>
      <c r="I37" s="588">
        <f t="shared" si="0"/>
        <v>0</v>
      </c>
      <c r="J37" s="588">
        <f t="shared" si="1"/>
        <v>0</v>
      </c>
      <c r="K37" s="588">
        <f t="shared" si="2"/>
        <v>0</v>
      </c>
      <c r="L37" s="588">
        <f t="shared" si="3"/>
        <v>0</v>
      </c>
      <c r="M37" s="588">
        <f t="shared" si="4"/>
        <v>0</v>
      </c>
      <c r="O37" s="588"/>
    </row>
    <row r="38" spans="1:15" ht="13.5">
      <c r="A38" s="572"/>
      <c r="B38" s="573" t="s">
        <v>634</v>
      </c>
      <c r="C38" s="1835"/>
      <c r="D38" s="589"/>
      <c r="E38" s="589"/>
      <c r="F38" s="589"/>
      <c r="G38" s="589"/>
      <c r="H38" s="622"/>
      <c r="I38" s="588">
        <f t="shared" si="0"/>
        <v>0</v>
      </c>
      <c r="J38" s="588">
        <f t="shared" si="1"/>
        <v>0</v>
      </c>
      <c r="K38" s="588">
        <f t="shared" si="2"/>
        <v>0</v>
      </c>
      <c r="L38" s="588">
        <f t="shared" si="3"/>
        <v>0</v>
      </c>
      <c r="M38" s="588">
        <f t="shared" si="4"/>
        <v>0</v>
      </c>
      <c r="O38" s="588"/>
    </row>
    <row r="39" spans="1:15" ht="13.5">
      <c r="A39" s="572"/>
      <c r="B39" s="573" t="s">
        <v>635</v>
      </c>
      <c r="C39" s="1835"/>
      <c r="D39" s="589"/>
      <c r="E39" s="589"/>
      <c r="F39" s="589"/>
      <c r="G39" s="589"/>
      <c r="H39" s="622"/>
      <c r="I39" s="588">
        <f t="shared" si="0"/>
        <v>0</v>
      </c>
      <c r="J39" s="588">
        <f t="shared" si="1"/>
        <v>0</v>
      </c>
      <c r="K39" s="588">
        <f t="shared" si="2"/>
        <v>0</v>
      </c>
      <c r="L39" s="588">
        <f t="shared" si="3"/>
        <v>0</v>
      </c>
      <c r="M39" s="588">
        <f t="shared" si="4"/>
        <v>0</v>
      </c>
      <c r="O39" s="588"/>
    </row>
    <row r="40" spans="1:15" ht="13.5">
      <c r="A40" s="572"/>
      <c r="B40" s="573" t="s">
        <v>636</v>
      </c>
      <c r="C40" s="1835"/>
      <c r="D40" s="589"/>
      <c r="E40" s="589"/>
      <c r="F40" s="589"/>
      <c r="G40" s="589"/>
      <c r="H40" s="622"/>
      <c r="I40" s="588">
        <f t="shared" si="0"/>
        <v>0</v>
      </c>
      <c r="J40" s="588">
        <f t="shared" si="1"/>
        <v>0</v>
      </c>
      <c r="K40" s="588">
        <f t="shared" si="2"/>
        <v>0</v>
      </c>
      <c r="L40" s="588">
        <f t="shared" si="3"/>
        <v>0</v>
      </c>
      <c r="M40" s="588">
        <f t="shared" si="4"/>
        <v>0</v>
      </c>
      <c r="O40" s="588"/>
    </row>
    <row r="41" spans="1:15" ht="13.5">
      <c r="A41" s="572"/>
      <c r="B41" s="573" t="s">
        <v>637</v>
      </c>
      <c r="C41" s="1835"/>
      <c r="D41" s="589"/>
      <c r="E41" s="589"/>
      <c r="F41" s="589"/>
      <c r="G41" s="589"/>
      <c r="H41" s="622"/>
      <c r="I41" s="588">
        <f t="shared" si="0"/>
        <v>0</v>
      </c>
      <c r="J41" s="588">
        <f t="shared" si="1"/>
        <v>0</v>
      </c>
      <c r="K41" s="588">
        <f t="shared" si="2"/>
        <v>0</v>
      </c>
      <c r="L41" s="588">
        <f t="shared" si="3"/>
        <v>0</v>
      </c>
      <c r="M41" s="588">
        <f t="shared" si="4"/>
        <v>0</v>
      </c>
      <c r="O41" s="588"/>
    </row>
    <row r="42" spans="1:15" ht="13.5">
      <c r="A42" s="572"/>
      <c r="B42" s="573" t="s">
        <v>638</v>
      </c>
      <c r="C42" s="1835"/>
      <c r="D42" s="589"/>
      <c r="E42" s="589"/>
      <c r="F42" s="589"/>
      <c r="G42" s="589"/>
      <c r="H42" s="622"/>
      <c r="I42" s="588">
        <f t="shared" si="0"/>
        <v>0</v>
      </c>
      <c r="J42" s="588">
        <f t="shared" si="1"/>
        <v>0</v>
      </c>
      <c r="K42" s="588">
        <f t="shared" si="2"/>
        <v>0</v>
      </c>
      <c r="L42" s="588">
        <f t="shared" si="3"/>
        <v>0</v>
      </c>
      <c r="M42" s="588">
        <f t="shared" si="4"/>
        <v>0</v>
      </c>
      <c r="O42" s="588"/>
    </row>
    <row r="43" spans="1:15" ht="13.5">
      <c r="A43" s="572"/>
      <c r="B43" s="573" t="s">
        <v>639</v>
      </c>
      <c r="C43" s="1835"/>
      <c r="D43" s="589"/>
      <c r="E43" s="589"/>
      <c r="F43" s="589"/>
      <c r="G43" s="589"/>
      <c r="H43" s="622"/>
      <c r="I43" s="588">
        <f t="shared" si="0"/>
        <v>0</v>
      </c>
      <c r="J43" s="588">
        <f t="shared" si="1"/>
        <v>0</v>
      </c>
      <c r="K43" s="588">
        <f t="shared" si="2"/>
        <v>0</v>
      </c>
      <c r="L43" s="588">
        <f t="shared" si="3"/>
        <v>0</v>
      </c>
      <c r="M43" s="588">
        <f t="shared" si="4"/>
        <v>0</v>
      </c>
      <c r="O43" s="588"/>
    </row>
    <row r="44" spans="1:15" ht="13.5">
      <c r="A44" s="572"/>
      <c r="B44" s="573" t="s">
        <v>851</v>
      </c>
      <c r="C44" s="588">
        <f>SUM(C32:C43)</f>
        <v>0</v>
      </c>
      <c r="D44" s="588">
        <v>0</v>
      </c>
      <c r="E44" s="588">
        <v>0</v>
      </c>
      <c r="F44" s="588">
        <v>0</v>
      </c>
      <c r="G44" s="588">
        <v>0</v>
      </c>
      <c r="H44" s="588" t="s">
        <v>79</v>
      </c>
      <c r="I44" s="588">
        <f>AVERAGE(I32:I43)</f>
        <v>0</v>
      </c>
      <c r="J44" s="588">
        <f>AVERAGE(J32:J43)</f>
        <v>0</v>
      </c>
      <c r="K44" s="588">
        <f>AVERAGE(K32:K43)</f>
        <v>0</v>
      </c>
      <c r="L44" s="588">
        <f>AVERAGE(L32:L43)</f>
        <v>0</v>
      </c>
      <c r="M44" s="588">
        <f>AVERAGE(M32:M43)</f>
        <v>0</v>
      </c>
      <c r="O44" s="588"/>
    </row>
    <row r="45" spans="1:15" ht="13.5">
      <c r="A45" s="572"/>
      <c r="C45" s="573"/>
      <c r="D45" s="419"/>
      <c r="E45" s="419"/>
      <c r="F45" s="419"/>
      <c r="G45" s="419"/>
      <c r="H45" s="419"/>
      <c r="I45" s="419"/>
      <c r="J45" s="419"/>
      <c r="K45" s="590"/>
      <c r="L45" s="573"/>
      <c r="M45" s="573"/>
      <c r="N45" s="573"/>
    </row>
    <row r="46" spans="1:15" ht="13.5">
      <c r="A46" s="572"/>
      <c r="B46" s="573" t="s">
        <v>81</v>
      </c>
      <c r="C46" s="573"/>
      <c r="D46" s="419"/>
      <c r="E46" s="419"/>
      <c r="F46" s="419"/>
      <c r="G46" s="419"/>
      <c r="H46" s="419"/>
      <c r="I46" s="419"/>
      <c r="K46" s="1385" t="s">
        <v>80</v>
      </c>
      <c r="L46" s="588">
        <f>SUM(I44:M44)</f>
        <v>0</v>
      </c>
      <c r="M46" s="588"/>
      <c r="N46" s="588"/>
    </row>
    <row r="47" spans="1:15" ht="13.5">
      <c r="A47" s="1728"/>
      <c r="B47" s="573"/>
      <c r="C47" s="573"/>
      <c r="D47" s="419"/>
      <c r="E47" s="419"/>
      <c r="F47" s="419"/>
      <c r="G47" s="419"/>
      <c r="H47" s="419"/>
      <c r="I47" s="419"/>
      <c r="J47" s="573"/>
      <c r="K47" s="573"/>
      <c r="L47" s="419"/>
      <c r="M47" s="588"/>
      <c r="N47" s="573"/>
      <c r="O47" s="588"/>
    </row>
    <row r="48" spans="1:15" ht="13.5">
      <c r="A48" s="572"/>
      <c r="B48" s="572"/>
      <c r="C48" s="572"/>
      <c r="D48" s="573"/>
      <c r="E48" s="573"/>
      <c r="F48" s="419"/>
      <c r="G48" s="419"/>
      <c r="H48" s="419"/>
      <c r="I48" s="419"/>
      <c r="J48" s="573"/>
      <c r="L48" s="419"/>
      <c r="M48" s="591"/>
      <c r="N48" s="591"/>
      <c r="O48" s="592"/>
    </row>
    <row r="49" spans="1:15" ht="13.5">
      <c r="A49" s="572">
        <v>3</v>
      </c>
      <c r="B49" s="572" t="s">
        <v>626</v>
      </c>
      <c r="C49" s="572" t="s">
        <v>601</v>
      </c>
      <c r="D49" s="579" t="s">
        <v>1094</v>
      </c>
      <c r="E49" s="573"/>
      <c r="F49" s="573"/>
      <c r="G49" s="573"/>
      <c r="H49" s="573"/>
      <c r="I49" s="573"/>
      <c r="J49" s="573"/>
      <c r="K49" s="573"/>
      <c r="L49" s="588"/>
      <c r="M49" s="573"/>
      <c r="N49" s="573"/>
      <c r="O49" s="573"/>
    </row>
    <row r="50" spans="1:15" ht="13.5">
      <c r="A50" s="572"/>
      <c r="B50" s="572"/>
      <c r="C50" s="572"/>
      <c r="D50" s="593"/>
      <c r="E50" s="586"/>
      <c r="F50" s="588"/>
      <c r="G50" s="585" t="s">
        <v>1088</v>
      </c>
      <c r="H50" s="588"/>
      <c r="I50" s="573"/>
      <c r="J50" s="573"/>
      <c r="L50" s="588"/>
      <c r="M50" s="1734"/>
      <c r="N50" s="577"/>
      <c r="O50" s="591"/>
    </row>
    <row r="51" spans="1:15" ht="13.5">
      <c r="A51" s="572"/>
      <c r="B51" s="572"/>
      <c r="C51" s="572"/>
      <c r="D51" s="594"/>
      <c r="E51" s="572"/>
      <c r="F51" s="588"/>
      <c r="G51" s="1524"/>
      <c r="H51" s="588"/>
      <c r="I51" s="573"/>
      <c r="J51" s="573"/>
      <c r="K51" s="573"/>
      <c r="L51" s="573"/>
      <c r="M51" s="573"/>
      <c r="N51" s="573"/>
      <c r="O51" s="573"/>
    </row>
    <row r="52" spans="1:15" ht="13.5">
      <c r="A52" s="572">
        <v>4</v>
      </c>
      <c r="B52" s="572" t="s">
        <v>627</v>
      </c>
      <c r="C52" s="572" t="s">
        <v>601</v>
      </c>
      <c r="D52" s="573" t="s">
        <v>962</v>
      </c>
      <c r="E52" s="573"/>
      <c r="F52" s="573"/>
      <c r="G52" s="1525"/>
      <c r="H52" s="573"/>
      <c r="I52" s="573"/>
      <c r="J52" s="573"/>
      <c r="K52" s="573"/>
      <c r="L52" s="573"/>
      <c r="M52" s="573"/>
      <c r="N52" s="573"/>
      <c r="O52" s="573"/>
    </row>
    <row r="53" spans="1:15" ht="13.5">
      <c r="A53" s="572"/>
      <c r="B53" s="572"/>
      <c r="C53" s="572"/>
      <c r="D53" s="584"/>
      <c r="E53" s="419"/>
      <c r="F53" s="594"/>
      <c r="G53" s="585" t="s">
        <v>1088</v>
      </c>
      <c r="H53" s="573"/>
      <c r="I53" s="573"/>
      <c r="J53" s="573"/>
      <c r="K53" s="573"/>
      <c r="L53" s="573"/>
      <c r="M53" s="573"/>
      <c r="N53" s="573"/>
      <c r="O53" s="573"/>
    </row>
    <row r="54" spans="1:15" ht="13.5">
      <c r="A54" s="572"/>
      <c r="B54" s="572"/>
      <c r="C54" s="572"/>
      <c r="D54" s="595"/>
      <c r="E54" s="573"/>
      <c r="F54" s="573"/>
      <c r="G54" s="573"/>
      <c r="H54" s="573"/>
      <c r="I54" s="573"/>
      <c r="J54" s="573"/>
      <c r="K54" s="573"/>
      <c r="L54" s="573"/>
      <c r="M54" s="573"/>
      <c r="N54" s="573"/>
      <c r="O54" s="573"/>
    </row>
    <row r="55" spans="1:15" ht="13.5">
      <c r="A55" s="572">
        <v>5</v>
      </c>
      <c r="B55" s="572" t="s">
        <v>628</v>
      </c>
      <c r="C55" s="572" t="s">
        <v>601</v>
      </c>
      <c r="D55" s="579" t="s">
        <v>1095</v>
      </c>
      <c r="E55" s="573"/>
      <c r="F55" s="573"/>
      <c r="G55" s="573"/>
      <c r="H55" s="573"/>
      <c r="I55" s="573"/>
      <c r="J55" s="573"/>
      <c r="K55" s="573"/>
      <c r="L55" s="573"/>
      <c r="M55" s="573"/>
      <c r="N55" s="573"/>
      <c r="O55" s="573"/>
    </row>
    <row r="56" spans="1:15" ht="13.5">
      <c r="A56" s="572"/>
      <c r="B56" s="572"/>
      <c r="C56" s="572"/>
      <c r="D56" s="593"/>
      <c r="E56" s="573"/>
      <c r="F56" s="573"/>
      <c r="G56" s="573"/>
      <c r="H56" s="573"/>
      <c r="I56" s="573"/>
      <c r="J56" s="573"/>
      <c r="K56" s="573"/>
      <c r="L56" s="573"/>
      <c r="M56" s="573"/>
      <c r="N56" s="573"/>
      <c r="O56" s="573"/>
    </row>
    <row r="57" spans="1:15" ht="13.5">
      <c r="A57" s="596"/>
      <c r="B57" s="596"/>
      <c r="C57" s="596"/>
      <c r="D57" s="597"/>
      <c r="E57" s="597"/>
      <c r="F57" s="597"/>
      <c r="G57" s="597"/>
      <c r="H57" s="597"/>
      <c r="I57" s="597"/>
      <c r="J57" s="597"/>
      <c r="K57" s="597"/>
      <c r="L57" s="573"/>
      <c r="M57" s="573"/>
      <c r="N57" s="573"/>
      <c r="O57" s="573"/>
    </row>
    <row r="58" spans="1:15" ht="15.75">
      <c r="A58" s="596"/>
      <c r="B58" s="596"/>
      <c r="C58" s="596"/>
      <c r="D58" s="597"/>
      <c r="E58" s="597"/>
      <c r="F58" s="597"/>
      <c r="G58" s="597"/>
      <c r="H58" s="597"/>
      <c r="I58" s="597"/>
      <c r="J58" s="598"/>
      <c r="K58" s="597"/>
      <c r="L58" s="573"/>
      <c r="M58" s="573"/>
      <c r="N58" s="573"/>
      <c r="O58" s="573"/>
    </row>
    <row r="59" spans="1:15" ht="15.75">
      <c r="A59" s="596"/>
      <c r="B59" s="596"/>
      <c r="C59" s="596"/>
      <c r="D59" s="597"/>
      <c r="E59" s="597"/>
      <c r="F59" s="597"/>
      <c r="G59" s="597"/>
      <c r="H59" s="597"/>
      <c r="I59" s="597"/>
      <c r="J59" s="598"/>
      <c r="K59" s="597"/>
      <c r="L59" s="573"/>
      <c r="M59" s="577"/>
      <c r="N59" s="573"/>
      <c r="O59" s="573"/>
    </row>
    <row r="60" spans="1:15" ht="13.5">
      <c r="A60" s="572">
        <v>6</v>
      </c>
      <c r="B60" s="572" t="s">
        <v>626</v>
      </c>
      <c r="C60" s="572" t="s">
        <v>602</v>
      </c>
      <c r="D60" s="579" t="s">
        <v>1096</v>
      </c>
      <c r="E60" s="573"/>
      <c r="F60" s="573"/>
      <c r="G60" s="573"/>
      <c r="H60" s="573"/>
      <c r="I60" s="573"/>
      <c r="J60" s="573"/>
      <c r="K60" s="573"/>
      <c r="L60" s="573"/>
      <c r="M60" s="577"/>
      <c r="N60" s="573"/>
      <c r="O60" s="573"/>
    </row>
    <row r="61" spans="1:15" ht="13.5">
      <c r="A61" s="572"/>
      <c r="B61" s="572"/>
      <c r="C61" s="572"/>
      <c r="D61" s="599"/>
      <c r="E61" s="573" t="s">
        <v>657</v>
      </c>
      <c r="F61" s="573"/>
      <c r="G61" s="585" t="s">
        <v>1090</v>
      </c>
      <c r="H61" s="573"/>
      <c r="I61" s="573"/>
      <c r="J61" s="419"/>
      <c r="K61" s="573"/>
      <c r="L61" s="573"/>
      <c r="M61" s="577"/>
      <c r="N61" s="573"/>
      <c r="O61" s="573"/>
    </row>
    <row r="62" spans="1:15" ht="13.5">
      <c r="A62" s="572"/>
      <c r="B62" s="572"/>
      <c r="C62" s="572"/>
      <c r="D62" s="600"/>
      <c r="E62" s="626"/>
      <c r="F62" s="625"/>
      <c r="G62" s="626"/>
      <c r="H62" s="626"/>
      <c r="J62" s="573"/>
      <c r="K62" s="573"/>
      <c r="L62" s="573"/>
      <c r="M62" s="1734"/>
      <c r="N62" s="573"/>
      <c r="O62" s="573"/>
    </row>
    <row r="63" spans="1:15" ht="13.5">
      <c r="A63" s="572"/>
      <c r="B63" s="572"/>
      <c r="C63" s="572"/>
      <c r="D63" s="601"/>
      <c r="E63" s="573"/>
      <c r="F63" s="573"/>
      <c r="G63" s="573"/>
      <c r="H63" s="573"/>
      <c r="I63" s="573"/>
      <c r="J63" s="573"/>
      <c r="K63" s="573"/>
      <c r="L63" s="573"/>
      <c r="M63" s="577"/>
      <c r="N63" s="573"/>
      <c r="O63" s="573"/>
    </row>
    <row r="64" spans="1:15" ht="13.5">
      <c r="A64" s="572"/>
      <c r="B64" s="572"/>
      <c r="C64" s="572"/>
      <c r="D64" s="1786"/>
      <c r="E64" s="573"/>
      <c r="F64" s="573"/>
      <c r="G64" s="573"/>
      <c r="H64" s="588"/>
      <c r="I64" s="573"/>
      <c r="J64" s="573"/>
      <c r="K64" s="573"/>
      <c r="L64" s="573"/>
      <c r="M64" s="577"/>
      <c r="N64" s="626"/>
      <c r="O64" s="626"/>
    </row>
    <row r="65" spans="1:15" ht="13.5">
      <c r="A65" s="572">
        <v>7</v>
      </c>
      <c r="B65" s="572" t="s">
        <v>626</v>
      </c>
      <c r="C65" s="572" t="s">
        <v>602</v>
      </c>
      <c r="D65" s="579" t="s">
        <v>995</v>
      </c>
      <c r="E65" s="580"/>
      <c r="F65" s="580"/>
      <c r="G65" s="580"/>
      <c r="H65" s="580"/>
      <c r="I65" s="580"/>
      <c r="J65" s="580"/>
      <c r="K65" s="573"/>
      <c r="L65" s="573"/>
      <c r="M65" s="577"/>
      <c r="N65" s="626"/>
      <c r="O65" s="626"/>
    </row>
    <row r="66" spans="1:15" ht="13.5">
      <c r="A66" s="572"/>
      <c r="B66" s="572"/>
      <c r="C66" s="572"/>
      <c r="D66" s="602"/>
      <c r="E66" s="603"/>
      <c r="F66" s="603"/>
      <c r="G66" s="603"/>
      <c r="H66" s="580"/>
      <c r="I66" s="580"/>
      <c r="J66" s="580"/>
      <c r="K66" s="573"/>
      <c r="L66" s="573"/>
      <c r="M66" s="577"/>
      <c r="N66" s="626"/>
      <c r="O66" s="626"/>
    </row>
    <row r="67" spans="1:15" ht="13.5">
      <c r="A67" s="572"/>
      <c r="B67" s="572"/>
      <c r="C67" s="572"/>
      <c r="D67" s="604"/>
      <c r="E67" s="604"/>
      <c r="F67" s="604"/>
      <c r="G67" s="604"/>
      <c r="H67" s="604"/>
      <c r="I67" s="604"/>
      <c r="J67" s="604"/>
      <c r="K67" s="573"/>
      <c r="L67" s="594"/>
      <c r="M67" s="577"/>
      <c r="N67" s="626"/>
      <c r="O67" s="626"/>
    </row>
    <row r="68" spans="1:15" ht="13.5">
      <c r="A68" s="572"/>
      <c r="B68" s="573"/>
      <c r="C68" s="573"/>
      <c r="D68" s="419"/>
      <c r="E68" s="419"/>
      <c r="F68" s="419"/>
      <c r="G68" s="419"/>
      <c r="H68" s="419"/>
      <c r="I68" s="419"/>
      <c r="J68" s="573"/>
      <c r="K68" s="573"/>
      <c r="L68" s="588"/>
      <c r="M68" s="577"/>
      <c r="N68" s="1662"/>
      <c r="O68" s="626"/>
    </row>
    <row r="69" spans="1:15" ht="15.75">
      <c r="A69" s="572"/>
      <c r="B69" s="572"/>
      <c r="C69" s="572"/>
      <c r="D69" s="1933">
        <v>74610540</v>
      </c>
      <c r="E69" s="605" t="s">
        <v>980</v>
      </c>
      <c r="F69" s="573"/>
      <c r="G69" s="585" t="s">
        <v>1091</v>
      </c>
      <c r="H69" s="573"/>
      <c r="I69" s="573"/>
      <c r="J69" s="573"/>
      <c r="K69" s="573"/>
      <c r="L69" s="588"/>
      <c r="M69" s="577"/>
      <c r="N69" s="1662"/>
      <c r="O69" s="1663"/>
    </row>
    <row r="70" spans="1:15" ht="15.75">
      <c r="A70" s="420"/>
      <c r="B70" s="572"/>
      <c r="C70" s="572"/>
      <c r="D70" s="1934"/>
      <c r="E70" s="573" t="s">
        <v>1000</v>
      </c>
      <c r="F70" s="573"/>
      <c r="G70" s="577"/>
      <c r="H70" s="609"/>
      <c r="I70" s="577"/>
      <c r="J70" s="573"/>
      <c r="K70" s="573"/>
      <c r="L70" s="573"/>
      <c r="M70" s="577"/>
      <c r="N70" s="573"/>
      <c r="O70" s="573"/>
    </row>
    <row r="71" spans="1:15" ht="15.75">
      <c r="A71" s="572"/>
      <c r="B71" s="572"/>
      <c r="C71" s="572"/>
      <c r="D71" s="1935"/>
      <c r="E71" s="573"/>
      <c r="F71" s="573"/>
      <c r="G71" s="577"/>
      <c r="H71" s="609"/>
      <c r="I71" s="577"/>
      <c r="J71" s="573"/>
      <c r="K71" s="573"/>
      <c r="L71" s="573"/>
      <c r="M71" s="1734"/>
      <c r="N71" s="626"/>
      <c r="O71" s="626"/>
    </row>
    <row r="72" spans="1:15" ht="15.75">
      <c r="A72" s="420"/>
      <c r="B72" s="572"/>
      <c r="C72" s="572"/>
      <c r="D72" s="1933">
        <v>6189793</v>
      </c>
      <c r="E72" s="573" t="s">
        <v>421</v>
      </c>
      <c r="F72" s="573"/>
      <c r="G72" s="577"/>
      <c r="H72" s="609"/>
      <c r="I72" s="577"/>
      <c r="J72" s="573"/>
      <c r="K72" s="573"/>
      <c r="L72" s="573"/>
      <c r="M72" s="577"/>
      <c r="N72" s="626"/>
      <c r="O72" s="626"/>
    </row>
    <row r="73" spans="1:15" ht="13.5">
      <c r="A73" s="420"/>
      <c r="B73" s="572"/>
      <c r="C73" s="572"/>
      <c r="D73" s="419"/>
      <c r="E73" s="665"/>
      <c r="F73" s="573"/>
      <c r="G73" s="577"/>
      <c r="H73" s="609"/>
      <c r="I73" s="577"/>
      <c r="J73" s="573"/>
      <c r="K73" s="573"/>
      <c r="L73" s="573"/>
      <c r="M73" s="573"/>
      <c r="N73" s="588"/>
      <c r="O73" s="573"/>
    </row>
    <row r="74" spans="1:15" ht="13.5">
      <c r="A74" s="572"/>
      <c r="B74" s="572"/>
      <c r="C74" s="572"/>
      <c r="D74" s="605"/>
      <c r="E74" s="573"/>
      <c r="F74" s="573"/>
      <c r="G74" s="577"/>
      <c r="H74" s="609"/>
      <c r="I74" s="577"/>
      <c r="J74" s="573"/>
      <c r="K74" s="573"/>
      <c r="L74" s="573"/>
      <c r="M74" s="573"/>
      <c r="N74" s="573"/>
      <c r="O74" s="573"/>
    </row>
    <row r="75" spans="1:15" ht="13.5">
      <c r="A75" s="572">
        <v>8</v>
      </c>
      <c r="B75" s="572" t="s">
        <v>626</v>
      </c>
      <c r="C75" s="572" t="s">
        <v>602</v>
      </c>
      <c r="D75" s="579" t="s">
        <v>981</v>
      </c>
      <c r="E75" s="573"/>
      <c r="F75" s="573"/>
      <c r="G75" s="573"/>
      <c r="H75" s="573"/>
      <c r="I75" s="573"/>
      <c r="J75" s="1734"/>
      <c r="K75" s="573"/>
      <c r="L75" s="573"/>
      <c r="M75" s="1738"/>
      <c r="N75" s="573"/>
      <c r="O75" s="573"/>
    </row>
    <row r="76" spans="1:15" ht="13.5">
      <c r="A76" s="572"/>
      <c r="B76" s="572"/>
      <c r="C76" s="572"/>
      <c r="D76" s="579"/>
      <c r="E76" s="573"/>
      <c r="F76" s="573"/>
      <c r="G76" s="573"/>
      <c r="H76" s="573"/>
      <c r="I76" s="573"/>
      <c r="J76" s="573"/>
      <c r="K76" s="573"/>
      <c r="L76" s="573"/>
      <c r="M76" s="573"/>
      <c r="N76" s="573"/>
      <c r="O76" s="573"/>
    </row>
    <row r="77" spans="1:15" ht="13.5">
      <c r="A77" s="575"/>
      <c r="B77" s="575"/>
      <c r="C77" s="572"/>
      <c r="D77" s="418" t="s">
        <v>944</v>
      </c>
      <c r="E77" s="419"/>
      <c r="F77" s="419"/>
      <c r="G77" s="419"/>
      <c r="H77" s="419"/>
      <c r="I77" s="419"/>
      <c r="K77" s="419"/>
      <c r="L77" s="573"/>
      <c r="M77" s="573"/>
      <c r="N77" s="573"/>
      <c r="O77" s="573"/>
    </row>
    <row r="78" spans="1:15" ht="13.5">
      <c r="A78" s="575"/>
      <c r="B78" s="575"/>
      <c r="C78" s="572"/>
      <c r="D78" s="419"/>
      <c r="E78" s="573" t="s">
        <v>1001</v>
      </c>
      <c r="F78" s="573"/>
      <c r="G78" s="573"/>
      <c r="H78" s="573"/>
      <c r="I78" s="573"/>
      <c r="J78" s="573"/>
      <c r="K78" s="419"/>
      <c r="L78" s="573"/>
      <c r="M78" s="573"/>
      <c r="N78" s="573"/>
      <c r="O78" s="573"/>
    </row>
    <row r="79" spans="1:15" ht="27">
      <c r="A79" s="575"/>
      <c r="B79" s="575"/>
      <c r="C79" s="572"/>
      <c r="D79" s="419"/>
      <c r="E79" s="827" t="s">
        <v>622</v>
      </c>
      <c r="F79" s="827" t="s">
        <v>1002</v>
      </c>
      <c r="G79" s="827" t="s">
        <v>1003</v>
      </c>
      <c r="H79" s="827" t="s">
        <v>1004</v>
      </c>
      <c r="I79" s="827" t="s">
        <v>1005</v>
      </c>
      <c r="J79" s="827" t="s">
        <v>1006</v>
      </c>
      <c r="K79" s="604"/>
      <c r="L79" s="573"/>
      <c r="M79" s="1756" t="s">
        <v>1100</v>
      </c>
      <c r="N79" s="625"/>
      <c r="O79" s="573"/>
    </row>
    <row r="80" spans="1:15" ht="13.5">
      <c r="A80" s="1739"/>
      <c r="B80" s="575"/>
      <c r="C80" s="572"/>
      <c r="D80" s="419"/>
      <c r="E80" s="573" t="s">
        <v>629</v>
      </c>
      <c r="F80" s="842">
        <v>2.2180177286045519</v>
      </c>
      <c r="G80" s="1347">
        <f>'WKSHT4 - Monthly Tx System Peak'!C9</f>
        <v>5150.7940253164597</v>
      </c>
      <c r="H80" s="626">
        <f>+F80*G80*1000</f>
        <v>11424552.464542311</v>
      </c>
      <c r="I80" s="1347">
        <f t="shared" ref="I80:I84" si="5">3747793/12</f>
        <v>312316.08333333331</v>
      </c>
      <c r="J80" s="626">
        <f>+H80-I80</f>
        <v>11112236.381208977</v>
      </c>
      <c r="K80" s="419"/>
      <c r="L80" s="573"/>
      <c r="M80" s="1347"/>
      <c r="N80" s="611"/>
      <c r="O80" s="573"/>
    </row>
    <row r="81" spans="1:16" ht="13.5">
      <c r="A81" s="575"/>
      <c r="B81" s="575"/>
      <c r="C81" s="572"/>
      <c r="D81" s="419"/>
      <c r="E81" s="573" t="s">
        <v>630</v>
      </c>
      <c r="F81" s="842">
        <v>2.2180177286045519</v>
      </c>
      <c r="G81" s="1347">
        <f>'WKSHT4 - Monthly Tx System Peak'!C10</f>
        <v>5133.45753846154</v>
      </c>
      <c r="H81" s="626">
        <f t="shared" ref="H81:H91" si="6">+F81*G81*1000</f>
        <v>11386099.829346379</v>
      </c>
      <c r="I81" s="1347">
        <f t="shared" si="5"/>
        <v>312316.08333333331</v>
      </c>
      <c r="J81" s="626">
        <f t="shared" ref="J81:J91" si="7">+H81-I81</f>
        <v>11073783.746013045</v>
      </c>
      <c r="K81" s="419"/>
      <c r="L81" s="573"/>
      <c r="M81" s="1347"/>
      <c r="N81" s="2014"/>
      <c r="O81" s="573"/>
    </row>
    <row r="82" spans="1:16" ht="13.5">
      <c r="A82" s="575"/>
      <c r="B82" s="575"/>
      <c r="C82" s="572"/>
      <c r="D82" s="419"/>
      <c r="E82" s="573" t="s">
        <v>631</v>
      </c>
      <c r="F82" s="842">
        <v>2.2180177286045519</v>
      </c>
      <c r="G82" s="1347">
        <f>'WKSHT4 - Monthly Tx System Peak'!C11</f>
        <v>4737.2120555014599</v>
      </c>
      <c r="H82" s="626">
        <f t="shared" si="6"/>
        <v>10507220.323261449</v>
      </c>
      <c r="I82" s="1347">
        <f t="shared" si="5"/>
        <v>312316.08333333331</v>
      </c>
      <c r="J82" s="626">
        <f t="shared" si="7"/>
        <v>10194904.239928115</v>
      </c>
      <c r="K82" s="419"/>
      <c r="L82" s="573"/>
      <c r="M82" s="611"/>
      <c r="N82" s="2014"/>
      <c r="O82" s="573"/>
    </row>
    <row r="83" spans="1:16" ht="13.5">
      <c r="A83" s="575"/>
      <c r="B83" s="575"/>
      <c r="C83" s="572"/>
      <c r="D83" s="419"/>
      <c r="E83" s="573" t="s">
        <v>632</v>
      </c>
      <c r="F83" s="842">
        <v>2.2180177286045519</v>
      </c>
      <c r="G83" s="1347">
        <f>'WKSHT4 - Monthly Tx System Peak'!C13</f>
        <v>4241</v>
      </c>
      <c r="H83" s="626">
        <f t="shared" si="6"/>
        <v>9406613.187011905</v>
      </c>
      <c r="I83" s="1347">
        <f t="shared" si="5"/>
        <v>312316.08333333331</v>
      </c>
      <c r="J83" s="626">
        <f t="shared" si="7"/>
        <v>9094297.1036785711</v>
      </c>
      <c r="K83" s="419"/>
      <c r="L83" s="573"/>
      <c r="M83" s="1347"/>
      <c r="N83" s="611"/>
      <c r="O83" s="573"/>
    </row>
    <row r="84" spans="1:16" ht="13.5">
      <c r="A84" s="575"/>
      <c r="B84" s="575"/>
      <c r="C84" s="572"/>
      <c r="D84" s="419"/>
      <c r="E84" s="573" t="s">
        <v>627</v>
      </c>
      <c r="F84" s="842">
        <v>2.2180177286045519</v>
      </c>
      <c r="G84" s="1347">
        <f>'WKSHT4 - Monthly Tx System Peak'!C14</f>
        <v>4064</v>
      </c>
      <c r="H84" s="626">
        <f>+F84*G84*1000</f>
        <v>9014024.0490488987</v>
      </c>
      <c r="I84" s="1347">
        <f t="shared" si="5"/>
        <v>312316.08333333331</v>
      </c>
      <c r="J84" s="626">
        <f t="shared" si="7"/>
        <v>8701707.9657155648</v>
      </c>
      <c r="K84" s="419"/>
      <c r="L84" s="573"/>
      <c r="M84" s="611"/>
      <c r="N84" s="611"/>
      <c r="O84" s="573"/>
      <c r="P84" s="428"/>
    </row>
    <row r="85" spans="1:16" ht="15.75">
      <c r="A85" s="575"/>
      <c r="B85" s="575"/>
      <c r="C85" s="572"/>
      <c r="D85" s="419"/>
      <c r="E85" s="573" t="s">
        <v>633</v>
      </c>
      <c r="F85" s="842">
        <v>1.6802594882625745</v>
      </c>
      <c r="G85" s="1347">
        <f>'WKSHT4 - Monthly Tx System Peak'!C15</f>
        <v>3914</v>
      </c>
      <c r="H85" s="626">
        <f t="shared" si="6"/>
        <v>6576535.6370597165</v>
      </c>
      <c r="I85" s="1347">
        <f>-14291821.479001/12</f>
        <v>-1190985.1232500833</v>
      </c>
      <c r="J85" s="626">
        <f t="shared" si="7"/>
        <v>7767520.7603097996</v>
      </c>
      <c r="K85" s="419"/>
      <c r="L85" s="573"/>
      <c r="M85" s="1757">
        <f>SUM(M80:M84)</f>
        <v>0</v>
      </c>
      <c r="N85" s="577" t="s">
        <v>1101</v>
      </c>
      <c r="O85" s="573"/>
    </row>
    <row r="86" spans="1:16" ht="13.5">
      <c r="A86" s="575"/>
      <c r="B86" s="575"/>
      <c r="C86" s="572"/>
      <c r="D86" s="419"/>
      <c r="E86" s="573" t="s">
        <v>634</v>
      </c>
      <c r="F86" s="842">
        <v>1.6802594882625745</v>
      </c>
      <c r="G86" s="1347">
        <f>'WKSHT4 - Monthly Tx System Peak'!C17</f>
        <v>4191</v>
      </c>
      <c r="H86" s="626">
        <f t="shared" si="6"/>
        <v>7041967.51530845</v>
      </c>
      <c r="I86" s="1347">
        <f t="shared" ref="I86:I91" si="8">-14291821.479001/12</f>
        <v>-1190985.1232500833</v>
      </c>
      <c r="J86" s="626">
        <f t="shared" si="7"/>
        <v>8232952.638558533</v>
      </c>
      <c r="K86" s="419"/>
      <c r="L86" s="573"/>
      <c r="M86" s="626"/>
      <c r="N86" s="573"/>
      <c r="O86" s="573"/>
      <c r="P86" s="1847"/>
    </row>
    <row r="87" spans="1:16" ht="13.5">
      <c r="A87" s="575"/>
      <c r="B87" s="575"/>
      <c r="C87" s="572"/>
      <c r="D87" s="419"/>
      <c r="E87" s="573" t="s">
        <v>635</v>
      </c>
      <c r="F87" s="842">
        <v>1.6802594882625745</v>
      </c>
      <c r="G87" s="1347">
        <f>'WKSHT4 - Monthly Tx System Peak'!C18</f>
        <v>4660</v>
      </c>
      <c r="H87" s="626">
        <f t="shared" si="6"/>
        <v>7830009.215303598</v>
      </c>
      <c r="I87" s="1347">
        <f t="shared" si="8"/>
        <v>-1190985.1232500833</v>
      </c>
      <c r="J87" s="626">
        <f t="shared" si="7"/>
        <v>9020994.338553682</v>
      </c>
      <c r="K87" s="419"/>
      <c r="L87" s="573"/>
      <c r="M87" s="626"/>
      <c r="N87" s="573"/>
      <c r="O87" s="573"/>
    </row>
    <row r="88" spans="1:16" ht="13.5">
      <c r="A88" s="1739"/>
      <c r="B88" s="575"/>
      <c r="C88" s="572"/>
      <c r="D88" s="419"/>
      <c r="E88" s="573" t="s">
        <v>636</v>
      </c>
      <c r="F88" s="842">
        <v>1.6802594882625745</v>
      </c>
      <c r="G88" s="1347">
        <f>'WKSHT4 - Monthly Tx System Peak'!C19</f>
        <v>3652</v>
      </c>
      <c r="H88" s="626">
        <f t="shared" si="6"/>
        <v>6136307.6511349222</v>
      </c>
      <c r="I88" s="1347">
        <f t="shared" si="8"/>
        <v>-1190985.1232500833</v>
      </c>
      <c r="J88" s="626">
        <f t="shared" si="7"/>
        <v>7327292.7743850052</v>
      </c>
      <c r="K88" s="419"/>
      <c r="L88" s="573"/>
      <c r="M88" s="626"/>
      <c r="N88" s="573"/>
      <c r="O88" s="573"/>
    </row>
    <row r="89" spans="1:16" ht="13.5">
      <c r="A89" s="575"/>
      <c r="B89" s="575"/>
      <c r="C89" s="572"/>
      <c r="D89" s="419"/>
      <c r="E89" s="573" t="s">
        <v>637</v>
      </c>
      <c r="F89" s="842">
        <v>1.6802594882625745</v>
      </c>
      <c r="G89" s="1347">
        <f>'WKSHT4 - Monthly Tx System Peak'!C21</f>
        <v>4404</v>
      </c>
      <c r="H89" s="626">
        <f t="shared" si="6"/>
        <v>7399862.786308378</v>
      </c>
      <c r="I89" s="1347">
        <f t="shared" si="8"/>
        <v>-1190985.1232500833</v>
      </c>
      <c r="J89" s="626">
        <f t="shared" si="7"/>
        <v>8590847.909558462</v>
      </c>
      <c r="K89" s="419"/>
      <c r="L89" s="573"/>
      <c r="M89" s="626"/>
      <c r="N89" s="573"/>
      <c r="O89" s="573"/>
    </row>
    <row r="90" spans="1:16" ht="13.5">
      <c r="A90" s="575"/>
      <c r="B90" s="575"/>
      <c r="C90" s="572"/>
      <c r="D90" s="419"/>
      <c r="E90" s="573" t="s">
        <v>638</v>
      </c>
      <c r="F90" s="842">
        <v>1.6802594882625745</v>
      </c>
      <c r="G90" s="1347">
        <f>'WKSHT4 - Monthly Tx System Peak'!C22</f>
        <v>4790</v>
      </c>
      <c r="H90" s="626">
        <f t="shared" si="6"/>
        <v>8048442.9487777324</v>
      </c>
      <c r="I90" s="1347">
        <f t="shared" si="8"/>
        <v>-1190985.1232500833</v>
      </c>
      <c r="J90" s="626">
        <f t="shared" si="7"/>
        <v>9239428.0720278155</v>
      </c>
      <c r="K90" s="419"/>
      <c r="L90" s="573"/>
      <c r="M90" s="626"/>
      <c r="N90" s="573"/>
      <c r="O90" s="573"/>
    </row>
    <row r="91" spans="1:16" ht="13.5">
      <c r="A91" s="575"/>
      <c r="B91" s="575"/>
      <c r="C91" s="572"/>
      <c r="D91" s="419"/>
      <c r="E91" s="573" t="s">
        <v>639</v>
      </c>
      <c r="F91" s="842">
        <v>1.6802594882625745</v>
      </c>
      <c r="G91" s="1347">
        <f>'WKSHT4 - Monthly Tx System Peak'!C23</f>
        <v>4501</v>
      </c>
      <c r="H91" s="626">
        <f t="shared" si="6"/>
        <v>7562847.9566698475</v>
      </c>
      <c r="I91" s="1347">
        <f t="shared" si="8"/>
        <v>-1190985.1232500833</v>
      </c>
      <c r="J91" s="626">
        <f t="shared" si="7"/>
        <v>8753833.0799199305</v>
      </c>
      <c r="K91" s="1740"/>
      <c r="L91" s="573"/>
      <c r="N91" s="573"/>
      <c r="O91" s="573"/>
    </row>
    <row r="92" spans="1:16" ht="13.5">
      <c r="A92" s="575"/>
      <c r="B92" s="575"/>
      <c r="C92" s="572"/>
      <c r="D92" s="573"/>
      <c r="E92" s="573" t="s">
        <v>1007</v>
      </c>
      <c r="F92" s="612"/>
      <c r="G92" s="612"/>
      <c r="H92" s="612"/>
      <c r="I92" s="612"/>
      <c r="J92" s="626">
        <f>SUM(J80:J91)</f>
        <v>109109799.00985751</v>
      </c>
      <c r="K92" s="419"/>
      <c r="L92" s="573"/>
      <c r="N92" s="573"/>
      <c r="O92" s="573"/>
    </row>
    <row r="93" spans="1:16" ht="13.5">
      <c r="A93" s="575"/>
      <c r="B93" s="575"/>
      <c r="C93" s="572"/>
      <c r="D93" s="573"/>
      <c r="E93" s="612"/>
      <c r="F93" s="612"/>
      <c r="G93" s="612"/>
      <c r="H93" s="612"/>
      <c r="I93" s="612"/>
      <c r="J93" s="1777"/>
      <c r="K93" s="419"/>
      <c r="L93" s="573"/>
      <c r="N93" s="573"/>
      <c r="O93" s="573"/>
    </row>
    <row r="94" spans="1:16" ht="13.5">
      <c r="A94" s="575"/>
      <c r="B94" s="575"/>
      <c r="C94" s="572"/>
      <c r="D94" s="573" t="s">
        <v>371</v>
      </c>
      <c r="E94" s="612"/>
      <c r="F94" s="612"/>
      <c r="G94" s="612"/>
      <c r="H94" s="612"/>
      <c r="I94" s="612"/>
      <c r="J94" s="419"/>
      <c r="K94" s="419"/>
      <c r="L94" s="573"/>
      <c r="M94" s="626"/>
      <c r="N94" s="626"/>
      <c r="O94" s="573"/>
    </row>
    <row r="95" spans="1:16" ht="13.5">
      <c r="A95" s="575"/>
      <c r="B95" s="575"/>
      <c r="C95" s="572"/>
      <c r="D95" s="573"/>
      <c r="E95" s="573" t="s">
        <v>1001</v>
      </c>
      <c r="F95" s="573"/>
      <c r="G95" s="573"/>
      <c r="H95" s="573"/>
      <c r="I95" s="573"/>
      <c r="J95" s="573"/>
      <c r="K95" s="419"/>
      <c r="L95" s="573"/>
      <c r="M95" s="573"/>
      <c r="N95" s="573"/>
      <c r="O95" s="573"/>
    </row>
    <row r="96" spans="1:16" ht="27">
      <c r="A96" s="575"/>
      <c r="B96" s="575"/>
      <c r="C96" s="572"/>
      <c r="D96" s="573"/>
      <c r="E96" s="827" t="s">
        <v>622</v>
      </c>
      <c r="F96" s="827" t="s">
        <v>1002</v>
      </c>
      <c r="G96" s="827" t="s">
        <v>1003</v>
      </c>
      <c r="H96" s="827" t="s">
        <v>1004</v>
      </c>
      <c r="I96" s="827" t="s">
        <v>1005</v>
      </c>
      <c r="J96" s="827" t="s">
        <v>1006</v>
      </c>
      <c r="K96" s="604"/>
      <c r="L96" s="573"/>
      <c r="M96" s="573"/>
      <c r="N96" s="573"/>
      <c r="O96" s="573"/>
    </row>
    <row r="97" spans="1:16" ht="13.5">
      <c r="A97" s="575"/>
      <c r="B97" s="575"/>
      <c r="C97" s="572"/>
      <c r="D97" s="573"/>
      <c r="E97" s="573" t="s">
        <v>629</v>
      </c>
      <c r="F97" s="842">
        <v>9.4780474540803614E-2</v>
      </c>
      <c r="G97" s="1347">
        <f>G80</f>
        <v>5150.7940253164597</v>
      </c>
      <c r="H97" s="626">
        <f>+F97*G97*1000</f>
        <v>488194.70198143006</v>
      </c>
      <c r="I97" s="1347">
        <f t="shared" ref="I97:I101" si="9">-611047/12</f>
        <v>-50920.583333333336</v>
      </c>
      <c r="J97" s="626">
        <f>+H97-I97</f>
        <v>539115.28531476343</v>
      </c>
      <c r="K97" s="419"/>
      <c r="L97" s="573"/>
      <c r="M97" s="573"/>
      <c r="N97" s="573"/>
      <c r="O97" s="573"/>
    </row>
    <row r="98" spans="1:16" ht="13.5">
      <c r="A98" s="575"/>
      <c r="B98" s="575"/>
      <c r="C98" s="572"/>
      <c r="D98" s="573"/>
      <c r="E98" s="573" t="s">
        <v>630</v>
      </c>
      <c r="F98" s="842">
        <v>9.4780474540803614E-2</v>
      </c>
      <c r="G98" s="1347">
        <f t="shared" ref="G98:G108" si="10">G81</f>
        <v>5133.45753846154</v>
      </c>
      <c r="H98" s="626">
        <f t="shared" ref="H98:H108" si="11">+F98*G98*1000</f>
        <v>486551.5415304504</v>
      </c>
      <c r="I98" s="1347">
        <f t="shared" si="9"/>
        <v>-50920.583333333336</v>
      </c>
      <c r="J98" s="626">
        <f t="shared" ref="J98:J108" si="12">+H98-I98</f>
        <v>537472.12486378371</v>
      </c>
      <c r="K98" s="419"/>
      <c r="L98" s="573"/>
      <c r="M98" s="573"/>
      <c r="N98" s="573"/>
      <c r="O98" s="573"/>
    </row>
    <row r="99" spans="1:16" ht="13.5">
      <c r="A99" s="1739"/>
      <c r="B99" s="575"/>
      <c r="C99" s="572"/>
      <c r="D99" s="573"/>
      <c r="E99" s="573" t="s">
        <v>631</v>
      </c>
      <c r="F99" s="842">
        <v>9.4780474540803614E-2</v>
      </c>
      <c r="G99" s="1347">
        <f t="shared" si="10"/>
        <v>4737.2120555014599</v>
      </c>
      <c r="H99" s="626">
        <f t="shared" si="11"/>
        <v>448995.20662084408</v>
      </c>
      <c r="I99" s="1347">
        <f t="shared" si="9"/>
        <v>-50920.583333333336</v>
      </c>
      <c r="J99" s="626">
        <f t="shared" si="12"/>
        <v>499915.78995417739</v>
      </c>
      <c r="K99" s="419"/>
      <c r="L99" s="573"/>
      <c r="M99" s="573"/>
      <c r="N99" s="573"/>
      <c r="O99" s="573"/>
    </row>
    <row r="100" spans="1:16" ht="13.5">
      <c r="A100" s="575"/>
      <c r="B100" s="575"/>
      <c r="C100" s="572"/>
      <c r="D100" s="573"/>
      <c r="E100" s="573" t="s">
        <v>632</v>
      </c>
      <c r="F100" s="842">
        <v>9.4780474540803614E-2</v>
      </c>
      <c r="G100" s="1347">
        <f t="shared" si="10"/>
        <v>4241</v>
      </c>
      <c r="H100" s="626">
        <f t="shared" si="11"/>
        <v>401963.99252754811</v>
      </c>
      <c r="I100" s="1347">
        <f t="shared" si="9"/>
        <v>-50920.583333333336</v>
      </c>
      <c r="J100" s="626">
        <f t="shared" si="12"/>
        <v>452884.57586088142</v>
      </c>
      <c r="K100" s="419"/>
      <c r="L100" s="573"/>
      <c r="M100" s="573"/>
      <c r="N100" s="573"/>
      <c r="O100" s="573"/>
    </row>
    <row r="101" spans="1:16" ht="13.5">
      <c r="A101" s="575"/>
      <c r="B101" s="575"/>
      <c r="C101" s="572"/>
      <c r="D101" s="573"/>
      <c r="E101" s="573" t="s">
        <v>627</v>
      </c>
      <c r="F101" s="842">
        <v>9.4780474540803614E-2</v>
      </c>
      <c r="G101" s="1347">
        <f t="shared" si="10"/>
        <v>4064</v>
      </c>
      <c r="H101" s="626">
        <f t="shared" si="11"/>
        <v>385187.84853382589</v>
      </c>
      <c r="I101" s="1347">
        <f t="shared" si="9"/>
        <v>-50920.583333333336</v>
      </c>
      <c r="J101" s="626">
        <f t="shared" si="12"/>
        <v>436108.4318671592</v>
      </c>
      <c r="K101" s="419"/>
      <c r="L101" s="573"/>
      <c r="M101" s="573"/>
      <c r="N101" s="573"/>
      <c r="O101" s="573"/>
    </row>
    <row r="102" spans="1:16" ht="13.5">
      <c r="A102" s="575"/>
      <c r="B102" s="575"/>
      <c r="C102" s="572"/>
      <c r="D102" s="573"/>
      <c r="E102" s="573" t="s">
        <v>633</v>
      </c>
      <c r="F102" s="842">
        <v>9.0585316714883055E-2</v>
      </c>
      <c r="G102" s="1347">
        <f t="shared" si="10"/>
        <v>3914</v>
      </c>
      <c r="H102" s="626">
        <f t="shared" si="11"/>
        <v>354550.92962205224</v>
      </c>
      <c r="I102" s="1347">
        <f>-992738.373222738/12</f>
        <v>-82728.197768561498</v>
      </c>
      <c r="J102" s="626">
        <f t="shared" si="12"/>
        <v>437279.12739061372</v>
      </c>
      <c r="K102" s="419"/>
      <c r="L102" s="573"/>
      <c r="M102" s="573"/>
      <c r="N102" s="573"/>
      <c r="O102" s="573"/>
    </row>
    <row r="103" spans="1:16" ht="13.5">
      <c r="A103" s="575"/>
      <c r="B103" s="575"/>
      <c r="C103" s="572"/>
      <c r="D103" s="573"/>
      <c r="E103" s="573" t="s">
        <v>634</v>
      </c>
      <c r="F103" s="842">
        <v>9.0585316714883055E-2</v>
      </c>
      <c r="G103" s="1347">
        <f t="shared" si="10"/>
        <v>4191</v>
      </c>
      <c r="H103" s="626">
        <f t="shared" si="11"/>
        <v>379643.06235207489</v>
      </c>
      <c r="I103" s="1347">
        <f t="shared" ref="I103:I108" si="13">-992738.373222738/12</f>
        <v>-82728.197768561498</v>
      </c>
      <c r="J103" s="626">
        <f t="shared" si="12"/>
        <v>462371.26012063638</v>
      </c>
      <c r="K103" s="419"/>
      <c r="L103" s="573"/>
      <c r="M103" s="573"/>
      <c r="N103" s="573"/>
      <c r="O103" s="573"/>
    </row>
    <row r="104" spans="1:16" ht="13.5">
      <c r="A104" s="575"/>
      <c r="B104" s="575"/>
      <c r="C104" s="572"/>
      <c r="D104" s="573"/>
      <c r="E104" s="573" t="s">
        <v>635</v>
      </c>
      <c r="F104" s="842">
        <v>9.0585316714883055E-2</v>
      </c>
      <c r="G104" s="1347">
        <f t="shared" si="10"/>
        <v>4660</v>
      </c>
      <c r="H104" s="626">
        <f t="shared" si="11"/>
        <v>422127.57589135505</v>
      </c>
      <c r="I104" s="1347">
        <f t="shared" si="13"/>
        <v>-82728.197768561498</v>
      </c>
      <c r="J104" s="626">
        <f t="shared" si="12"/>
        <v>504855.77365991654</v>
      </c>
      <c r="K104" s="419"/>
      <c r="L104" s="573"/>
      <c r="M104" s="573"/>
      <c r="N104" s="573"/>
      <c r="O104" s="573"/>
    </row>
    <row r="105" spans="1:16" ht="13.5">
      <c r="A105" s="1739"/>
      <c r="B105" s="575"/>
      <c r="C105" s="572"/>
      <c r="D105" s="573"/>
      <c r="E105" s="573" t="s">
        <v>636</v>
      </c>
      <c r="F105" s="842">
        <v>9.0585316714883055E-2</v>
      </c>
      <c r="G105" s="1347">
        <f t="shared" si="10"/>
        <v>3652</v>
      </c>
      <c r="H105" s="626">
        <f t="shared" si="11"/>
        <v>330817.57664275292</v>
      </c>
      <c r="I105" s="1347">
        <f t="shared" si="13"/>
        <v>-82728.197768561498</v>
      </c>
      <c r="J105" s="626">
        <f t="shared" si="12"/>
        <v>413545.7744113144</v>
      </c>
      <c r="K105" s="419"/>
      <c r="L105" s="573"/>
      <c r="M105" s="573"/>
      <c r="N105" s="573"/>
    </row>
    <row r="106" spans="1:16" ht="13.5">
      <c r="A106" s="575"/>
      <c r="B106" s="575"/>
      <c r="C106" s="572"/>
      <c r="D106" s="573"/>
      <c r="E106" s="573" t="s">
        <v>637</v>
      </c>
      <c r="F106" s="842">
        <v>9.0585316714883055E-2</v>
      </c>
      <c r="G106" s="1347">
        <f t="shared" si="10"/>
        <v>4404</v>
      </c>
      <c r="H106" s="626">
        <f t="shared" si="11"/>
        <v>398937.73481234495</v>
      </c>
      <c r="I106" s="1347">
        <f t="shared" si="13"/>
        <v>-82728.197768561498</v>
      </c>
      <c r="J106" s="626">
        <f t="shared" si="12"/>
        <v>481665.93258090643</v>
      </c>
      <c r="K106" s="419"/>
      <c r="L106" s="573"/>
      <c r="M106" s="573"/>
      <c r="N106" s="573"/>
      <c r="O106" s="573"/>
    </row>
    <row r="107" spans="1:16" ht="13.5">
      <c r="A107" s="575"/>
      <c r="B107" s="575"/>
      <c r="C107" s="572"/>
      <c r="D107" s="573"/>
      <c r="E107" s="573" t="s">
        <v>638</v>
      </c>
      <c r="F107" s="842">
        <v>9.0585316714883055E-2</v>
      </c>
      <c r="G107" s="1347">
        <f t="shared" si="10"/>
        <v>4790</v>
      </c>
      <c r="H107" s="626">
        <f t="shared" si="11"/>
        <v>433903.66706428985</v>
      </c>
      <c r="I107" s="1347">
        <f t="shared" si="13"/>
        <v>-82728.197768561498</v>
      </c>
      <c r="J107" s="626">
        <f t="shared" si="12"/>
        <v>516631.86483285134</v>
      </c>
      <c r="K107" s="419"/>
      <c r="L107" s="573"/>
      <c r="M107" s="573"/>
      <c r="N107" s="573"/>
      <c r="O107" s="573"/>
      <c r="P107" s="428"/>
    </row>
    <row r="108" spans="1:16" ht="13.5">
      <c r="A108" s="575"/>
      <c r="B108" s="575"/>
      <c r="C108" s="572"/>
      <c r="D108" s="573"/>
      <c r="E108" s="573" t="s">
        <v>639</v>
      </c>
      <c r="F108" s="842">
        <v>9.0585316714883055E-2</v>
      </c>
      <c r="G108" s="1347">
        <f t="shared" si="10"/>
        <v>4501</v>
      </c>
      <c r="H108" s="626">
        <f t="shared" si="11"/>
        <v>407724.51053368859</v>
      </c>
      <c r="I108" s="1347">
        <f t="shared" si="13"/>
        <v>-82728.197768561498</v>
      </c>
      <c r="J108" s="626">
        <f t="shared" si="12"/>
        <v>490452.70830225007</v>
      </c>
      <c r="K108" s="419"/>
      <c r="L108" s="573"/>
      <c r="M108" s="573"/>
      <c r="N108" s="573"/>
      <c r="O108" s="573"/>
    </row>
    <row r="109" spans="1:16" ht="13.5">
      <c r="A109" s="575"/>
      <c r="B109" s="575"/>
      <c r="C109" s="572"/>
      <c r="D109" s="573"/>
      <c r="E109" s="573" t="s">
        <v>1007</v>
      </c>
      <c r="F109" s="612"/>
      <c r="G109" s="612"/>
      <c r="H109" s="612"/>
      <c r="I109" s="612"/>
      <c r="J109" s="626">
        <f>SUM(J97:J108)</f>
        <v>5772298.6491592536</v>
      </c>
      <c r="K109" s="419"/>
      <c r="L109" s="573"/>
      <c r="M109" s="573"/>
      <c r="N109" s="573"/>
      <c r="O109" s="573"/>
    </row>
    <row r="110" spans="1:16" ht="13.5">
      <c r="A110" s="575"/>
      <c r="B110" s="575"/>
      <c r="C110" s="572"/>
      <c r="D110" s="573"/>
      <c r="E110" s="612"/>
      <c r="F110" s="612"/>
      <c r="G110" s="612"/>
      <c r="H110" s="612"/>
      <c r="I110" s="612"/>
      <c r="J110" s="419"/>
      <c r="K110" s="419"/>
      <c r="L110" s="573"/>
      <c r="M110" s="573"/>
      <c r="N110" s="573"/>
      <c r="O110" s="573"/>
    </row>
    <row r="111" spans="1:16" ht="13.5">
      <c r="A111" s="575"/>
      <c r="B111" s="575"/>
      <c r="C111" s="572"/>
      <c r="D111" s="579"/>
      <c r="E111" s="573"/>
      <c r="F111" s="419"/>
      <c r="G111" s="573"/>
      <c r="H111" s="573"/>
      <c r="I111" s="573"/>
      <c r="J111" s="573"/>
      <c r="K111" s="573"/>
      <c r="L111" s="573"/>
      <c r="M111" s="573"/>
      <c r="N111" s="573"/>
      <c r="O111" s="573"/>
      <c r="P111" s="486"/>
    </row>
    <row r="112" spans="1:16" ht="31.5">
      <c r="A112" s="575"/>
      <c r="B112" s="575"/>
      <c r="C112" s="572"/>
      <c r="D112" s="574" t="s">
        <v>1008</v>
      </c>
      <c r="E112" s="1759"/>
      <c r="F112" s="1759" t="s">
        <v>983</v>
      </c>
      <c r="G112" s="573"/>
      <c r="H112" s="1760" t="s">
        <v>1102</v>
      </c>
      <c r="I112" s="573"/>
      <c r="J112" s="1761" t="s">
        <v>1103</v>
      </c>
      <c r="K112" s="185"/>
      <c r="L112" s="1762" t="s">
        <v>1104</v>
      </c>
      <c r="M112" s="573"/>
      <c r="N112" s="573"/>
      <c r="O112" s="573"/>
    </row>
    <row r="113" spans="1:15" ht="15.75">
      <c r="A113" s="575"/>
      <c r="B113" s="575"/>
      <c r="C113" s="1758" t="s">
        <v>1009</v>
      </c>
      <c r="D113" s="609">
        <f>+D69</f>
        <v>74610540</v>
      </c>
      <c r="E113" s="572" t="s">
        <v>422</v>
      </c>
      <c r="F113" s="609">
        <f>+J92</f>
        <v>109109799.00985751</v>
      </c>
      <c r="G113" s="572" t="s">
        <v>423</v>
      </c>
      <c r="H113" s="1738">
        <f>+D113-F113</f>
        <v>-34499259.009857506</v>
      </c>
      <c r="I113" s="1763" t="s">
        <v>422</v>
      </c>
      <c r="J113" s="1738">
        <f>M85</f>
        <v>0</v>
      </c>
      <c r="K113" s="1763" t="s">
        <v>423</v>
      </c>
      <c r="L113" s="609">
        <f>H113-J113</f>
        <v>-34499259.009857506</v>
      </c>
      <c r="M113" s="609"/>
      <c r="N113" s="609"/>
      <c r="O113" s="1764"/>
    </row>
    <row r="114" spans="1:15" ht="15.75">
      <c r="A114" s="575"/>
      <c r="B114" s="575"/>
      <c r="C114" s="1758" t="s">
        <v>371</v>
      </c>
      <c r="D114" s="613">
        <f>+D72</f>
        <v>6189793</v>
      </c>
      <c r="E114" s="572" t="s">
        <v>422</v>
      </c>
      <c r="F114" s="1738">
        <f>+J109</f>
        <v>5772298.6491592536</v>
      </c>
      <c r="G114" s="572" t="s">
        <v>423</v>
      </c>
      <c r="H114" s="1738">
        <f>+D114-F114</f>
        <v>417494.35084074643</v>
      </c>
      <c r="I114" s="1763" t="s">
        <v>422</v>
      </c>
      <c r="J114" s="1738">
        <v>0</v>
      </c>
      <c r="K114" s="1763" t="s">
        <v>423</v>
      </c>
      <c r="L114" s="609">
        <f>H114-J114</f>
        <v>417494.35084074643</v>
      </c>
      <c r="M114" s="609"/>
      <c r="N114" s="609"/>
      <c r="O114" s="577"/>
    </row>
    <row r="115" spans="1:15" ht="15.75">
      <c r="A115" s="575"/>
      <c r="B115" s="575"/>
      <c r="C115" s="1758" t="s">
        <v>851</v>
      </c>
      <c r="D115" s="613">
        <f>+D113+D114</f>
        <v>80800333</v>
      </c>
      <c r="E115" s="572" t="s">
        <v>422</v>
      </c>
      <c r="F115" s="1738">
        <f>+F113+F114</f>
        <v>114882097.65901676</v>
      </c>
      <c r="G115" s="572" t="s">
        <v>423</v>
      </c>
      <c r="H115" s="1738">
        <f>+H113+H114</f>
        <v>-34081764.659016758</v>
      </c>
      <c r="I115" s="1763" t="s">
        <v>422</v>
      </c>
      <c r="J115" s="1738">
        <f>+J113+J114</f>
        <v>0</v>
      </c>
      <c r="K115" s="1763" t="s">
        <v>423</v>
      </c>
      <c r="L115" s="609">
        <f>H115-J115</f>
        <v>-34081764.659016758</v>
      </c>
      <c r="M115" s="609"/>
      <c r="N115" s="609"/>
      <c r="O115" s="577"/>
    </row>
    <row r="116" spans="1:15" ht="15.75">
      <c r="A116" s="572"/>
      <c r="B116" s="572"/>
      <c r="C116" s="572"/>
      <c r="D116" s="613"/>
      <c r="E116" s="572"/>
      <c r="F116" s="1738"/>
      <c r="G116" s="572"/>
      <c r="H116" s="1738"/>
      <c r="I116" s="573"/>
      <c r="J116" s="176"/>
      <c r="K116" s="15"/>
      <c r="L116" s="15"/>
      <c r="M116" s="176"/>
      <c r="N116" s="577"/>
      <c r="O116" s="577"/>
    </row>
    <row r="117" spans="1:15" ht="15.75">
      <c r="A117" s="572"/>
      <c r="B117" s="572"/>
      <c r="C117" s="572"/>
      <c r="D117" s="613"/>
      <c r="E117" s="572"/>
      <c r="F117" s="1738"/>
      <c r="G117" s="572"/>
      <c r="H117" s="1738"/>
      <c r="I117" s="573"/>
      <c r="J117" s="176"/>
      <c r="K117" s="12"/>
      <c r="L117" s="12"/>
      <c r="M117" s="183"/>
      <c r="N117" s="573"/>
      <c r="O117" s="573"/>
    </row>
    <row r="118" spans="1:15" ht="15.75">
      <c r="A118" s="572"/>
      <c r="B118" s="572"/>
      <c r="C118" s="572"/>
      <c r="D118" s="1320" t="s">
        <v>640</v>
      </c>
      <c r="E118" s="575"/>
      <c r="F118" s="609"/>
      <c r="G118" s="572"/>
      <c r="H118" s="1738"/>
      <c r="I118" s="573"/>
      <c r="J118" s="176"/>
      <c r="K118" s="12"/>
      <c r="L118" s="12"/>
      <c r="M118" s="183"/>
      <c r="N118" s="573"/>
      <c r="O118" s="573"/>
    </row>
    <row r="119" spans="1:15" ht="15.75">
      <c r="A119" s="1727"/>
      <c r="B119" s="575"/>
      <c r="C119" s="572"/>
      <c r="D119" s="2012" t="s">
        <v>1010</v>
      </c>
      <c r="E119" s="2012"/>
      <c r="F119" s="1730">
        <v>7.1000000000000004E-3</v>
      </c>
      <c r="G119" s="572"/>
      <c r="H119" s="1738"/>
      <c r="I119" s="573"/>
      <c r="J119" s="176"/>
      <c r="K119" s="12"/>
      <c r="L119" s="12"/>
      <c r="M119" s="183"/>
      <c r="N119" s="573"/>
      <c r="O119" s="573"/>
    </row>
    <row r="120" spans="1:15" ht="13.5">
      <c r="A120" s="572"/>
      <c r="B120" s="572"/>
      <c r="C120" s="572"/>
      <c r="D120" s="606" t="s">
        <v>622</v>
      </c>
      <c r="E120" s="572" t="s">
        <v>641</v>
      </c>
      <c r="G120" s="606" t="s">
        <v>1012</v>
      </c>
      <c r="H120" s="572"/>
      <c r="I120" s="606" t="s">
        <v>642</v>
      </c>
      <c r="J120" s="576" t="s">
        <v>1013</v>
      </c>
      <c r="K120" s="573"/>
      <c r="L120" s="573"/>
      <c r="M120" s="573"/>
      <c r="N120" s="573"/>
      <c r="O120" s="573"/>
    </row>
    <row r="121" spans="1:15" ht="13.5">
      <c r="A121" s="572"/>
      <c r="B121" s="572"/>
      <c r="C121" s="572"/>
      <c r="D121" s="572"/>
      <c r="E121" s="572"/>
      <c r="F121" s="572" t="s">
        <v>1014</v>
      </c>
      <c r="G121" s="572" t="s">
        <v>1015</v>
      </c>
      <c r="H121" s="572" t="s">
        <v>643</v>
      </c>
      <c r="I121" s="572"/>
      <c r="J121" s="572"/>
      <c r="K121" s="573" t="s">
        <v>1016</v>
      </c>
      <c r="L121" s="573"/>
      <c r="M121" s="573"/>
      <c r="N121" s="573"/>
      <c r="O121" s="573"/>
    </row>
    <row r="122" spans="1:15" ht="13.5">
      <c r="A122" s="572"/>
      <c r="B122" s="572"/>
      <c r="C122" s="572"/>
      <c r="D122" s="573" t="s">
        <v>629</v>
      </c>
      <c r="E122" s="573" t="s">
        <v>367</v>
      </c>
      <c r="F122" s="583">
        <f>+L115/12</f>
        <v>-2840147.0549180633</v>
      </c>
      <c r="G122" s="1731">
        <f>F119</f>
        <v>7.1000000000000004E-3</v>
      </c>
      <c r="H122" s="577">
        <v>12</v>
      </c>
      <c r="I122" s="583">
        <f>+F122*G122*H122</f>
        <v>-241980.529079019</v>
      </c>
      <c r="J122" s="583">
        <f>+F122+I122</f>
        <v>-3082127.5839970824</v>
      </c>
      <c r="K122" s="573" t="s">
        <v>1017</v>
      </c>
      <c r="L122" s="573"/>
      <c r="M122" s="573"/>
      <c r="N122" s="573"/>
      <c r="O122" s="573"/>
    </row>
    <row r="123" spans="1:15" ht="13.5">
      <c r="A123" s="572"/>
      <c r="B123" s="572"/>
      <c r="C123" s="572"/>
      <c r="D123" s="573" t="s">
        <v>630</v>
      </c>
      <c r="E123" s="573" t="s">
        <v>367</v>
      </c>
      <c r="F123" s="1738">
        <f t="shared" ref="F123:F133" si="14">+F122</f>
        <v>-2840147.0549180633</v>
      </c>
      <c r="G123" s="1732">
        <f>G122</f>
        <v>7.1000000000000004E-3</v>
      </c>
      <c r="H123" s="577">
        <v>11</v>
      </c>
      <c r="I123" s="583">
        <f t="shared" ref="I123:I133" si="15">+F123*G123*H123</f>
        <v>-221815.48498910075</v>
      </c>
      <c r="J123" s="583">
        <f t="shared" ref="J123:J133" si="16">+F123+I123</f>
        <v>-3061962.5399071639</v>
      </c>
      <c r="K123" s="573" t="s">
        <v>1018</v>
      </c>
      <c r="L123" s="573"/>
      <c r="M123" s="573"/>
      <c r="N123" s="573"/>
      <c r="O123" s="573"/>
    </row>
    <row r="124" spans="1:15" ht="13.5">
      <c r="A124" s="572"/>
      <c r="B124" s="572"/>
      <c r="C124" s="572"/>
      <c r="D124" s="573" t="s">
        <v>631</v>
      </c>
      <c r="E124" s="573" t="s">
        <v>367</v>
      </c>
      <c r="F124" s="1738">
        <f t="shared" si="14"/>
        <v>-2840147.0549180633</v>
      </c>
      <c r="G124" s="1732">
        <f t="shared" ref="G124:G133" si="17">G123</f>
        <v>7.1000000000000004E-3</v>
      </c>
      <c r="H124" s="577">
        <v>10</v>
      </c>
      <c r="I124" s="583">
        <f t="shared" si="15"/>
        <v>-201650.44089918252</v>
      </c>
      <c r="J124" s="583">
        <f t="shared" si="16"/>
        <v>-3041797.4958172459</v>
      </c>
      <c r="K124" s="573"/>
      <c r="L124" s="573"/>
      <c r="M124" s="573"/>
      <c r="N124" s="573"/>
      <c r="O124" s="573"/>
    </row>
    <row r="125" spans="1:15" ht="13.5">
      <c r="A125" s="572"/>
      <c r="B125" s="572"/>
      <c r="C125" s="572"/>
      <c r="D125" s="573" t="s">
        <v>632</v>
      </c>
      <c r="E125" s="573" t="s">
        <v>367</v>
      </c>
      <c r="F125" s="1738">
        <f t="shared" si="14"/>
        <v>-2840147.0549180633</v>
      </c>
      <c r="G125" s="1732">
        <f t="shared" si="17"/>
        <v>7.1000000000000004E-3</v>
      </c>
      <c r="H125" s="577">
        <v>9</v>
      </c>
      <c r="I125" s="583">
        <f t="shared" si="15"/>
        <v>-181485.39680926426</v>
      </c>
      <c r="J125" s="583">
        <f t="shared" si="16"/>
        <v>-3021632.4517273274</v>
      </c>
      <c r="K125" s="573"/>
      <c r="L125" s="573"/>
      <c r="M125" s="573"/>
      <c r="N125" s="573"/>
      <c r="O125" s="573"/>
    </row>
    <row r="126" spans="1:15" ht="13.5">
      <c r="A126" s="572"/>
      <c r="B126" s="572"/>
      <c r="C126" s="572"/>
      <c r="D126" s="573" t="s">
        <v>627</v>
      </c>
      <c r="E126" s="573" t="s">
        <v>367</v>
      </c>
      <c r="F126" s="1738">
        <f t="shared" si="14"/>
        <v>-2840147.0549180633</v>
      </c>
      <c r="G126" s="1732">
        <f t="shared" si="17"/>
        <v>7.1000000000000004E-3</v>
      </c>
      <c r="H126" s="577">
        <v>8</v>
      </c>
      <c r="I126" s="583">
        <f t="shared" si="15"/>
        <v>-161320.352719346</v>
      </c>
      <c r="J126" s="583">
        <f t="shared" si="16"/>
        <v>-3001467.4076374094</v>
      </c>
      <c r="K126" s="573"/>
      <c r="L126" s="573"/>
      <c r="M126" s="573"/>
      <c r="N126" s="573"/>
      <c r="O126" s="573"/>
    </row>
    <row r="127" spans="1:15" ht="13.5">
      <c r="A127" s="572"/>
      <c r="B127" s="572"/>
      <c r="C127" s="572"/>
      <c r="D127" s="573" t="s">
        <v>633</v>
      </c>
      <c r="E127" s="573" t="s">
        <v>367</v>
      </c>
      <c r="F127" s="588">
        <f t="shared" si="14"/>
        <v>-2840147.0549180633</v>
      </c>
      <c r="G127" s="1732">
        <f t="shared" si="17"/>
        <v>7.1000000000000004E-3</v>
      </c>
      <c r="H127" s="577">
        <v>7</v>
      </c>
      <c r="I127" s="583">
        <f t="shared" si="15"/>
        <v>-141155.30862942775</v>
      </c>
      <c r="J127" s="583">
        <f t="shared" si="16"/>
        <v>-2981302.3635474909</v>
      </c>
      <c r="K127" s="573"/>
      <c r="L127" s="573"/>
      <c r="M127" s="573"/>
      <c r="N127" s="573"/>
      <c r="O127" s="573"/>
    </row>
    <row r="128" spans="1:15" ht="13.5">
      <c r="A128" s="572"/>
      <c r="B128" s="572"/>
      <c r="C128" s="572"/>
      <c r="D128" s="573" t="s">
        <v>634</v>
      </c>
      <c r="E128" s="573" t="s">
        <v>367</v>
      </c>
      <c r="F128" s="588">
        <f t="shared" si="14"/>
        <v>-2840147.0549180633</v>
      </c>
      <c r="G128" s="1732">
        <f t="shared" si="17"/>
        <v>7.1000000000000004E-3</v>
      </c>
      <c r="H128" s="577">
        <v>6</v>
      </c>
      <c r="I128" s="583">
        <f t="shared" si="15"/>
        <v>-120990.2645395095</v>
      </c>
      <c r="J128" s="583">
        <f t="shared" si="16"/>
        <v>-2961137.3194575729</v>
      </c>
      <c r="K128" s="573"/>
      <c r="L128" s="573"/>
      <c r="M128" s="573"/>
      <c r="N128" s="573"/>
      <c r="O128" s="573"/>
    </row>
    <row r="129" spans="1:15" ht="13.5">
      <c r="A129" s="572"/>
      <c r="B129" s="572"/>
      <c r="C129" s="572"/>
      <c r="D129" s="573" t="s">
        <v>635</v>
      </c>
      <c r="E129" s="573" t="s">
        <v>601</v>
      </c>
      <c r="F129" s="588">
        <f t="shared" si="14"/>
        <v>-2840147.0549180633</v>
      </c>
      <c r="G129" s="1732">
        <f t="shared" si="17"/>
        <v>7.1000000000000004E-3</v>
      </c>
      <c r="H129" s="577">
        <v>5</v>
      </c>
      <c r="I129" s="583">
        <f t="shared" si="15"/>
        <v>-100825.22044959126</v>
      </c>
      <c r="J129" s="583">
        <f t="shared" si="16"/>
        <v>-2940972.2753676544</v>
      </c>
      <c r="K129" s="573"/>
      <c r="L129" s="573"/>
      <c r="M129" s="573"/>
      <c r="N129" s="573"/>
      <c r="O129" s="573"/>
    </row>
    <row r="130" spans="1:15" ht="13.5">
      <c r="A130" s="572"/>
      <c r="B130" s="572"/>
      <c r="C130" s="572"/>
      <c r="D130" s="573" t="s">
        <v>636</v>
      </c>
      <c r="E130" s="573" t="s">
        <v>601</v>
      </c>
      <c r="F130" s="588">
        <f t="shared" si="14"/>
        <v>-2840147.0549180633</v>
      </c>
      <c r="G130" s="1732">
        <f t="shared" si="17"/>
        <v>7.1000000000000004E-3</v>
      </c>
      <c r="H130" s="577">
        <v>4</v>
      </c>
      <c r="I130" s="583">
        <f t="shared" si="15"/>
        <v>-80660.176359673002</v>
      </c>
      <c r="J130" s="583">
        <f t="shared" si="16"/>
        <v>-2920807.2312777364</v>
      </c>
      <c r="K130" s="573"/>
      <c r="L130" s="573"/>
      <c r="M130" s="573"/>
      <c r="N130" s="573"/>
      <c r="O130" s="573"/>
    </row>
    <row r="131" spans="1:15" ht="13.5">
      <c r="A131" s="572"/>
      <c r="B131" s="572"/>
      <c r="C131" s="572"/>
      <c r="D131" s="573" t="s">
        <v>637</v>
      </c>
      <c r="E131" s="573" t="s">
        <v>601</v>
      </c>
      <c r="F131" s="588">
        <f t="shared" si="14"/>
        <v>-2840147.0549180633</v>
      </c>
      <c r="G131" s="1732">
        <f t="shared" si="17"/>
        <v>7.1000000000000004E-3</v>
      </c>
      <c r="H131" s="577">
        <v>3</v>
      </c>
      <c r="I131" s="583">
        <f t="shared" si="15"/>
        <v>-60495.132269754751</v>
      </c>
      <c r="J131" s="583">
        <f t="shared" si="16"/>
        <v>-2900642.1871878179</v>
      </c>
      <c r="K131" s="573"/>
      <c r="L131" s="573"/>
      <c r="M131" s="573"/>
      <c r="N131" s="573"/>
      <c r="O131" s="573"/>
    </row>
    <row r="132" spans="1:15" ht="13.5">
      <c r="A132" s="572"/>
      <c r="B132" s="572"/>
      <c r="C132" s="572"/>
      <c r="D132" s="573" t="s">
        <v>638</v>
      </c>
      <c r="E132" s="573" t="s">
        <v>601</v>
      </c>
      <c r="F132" s="588">
        <f t="shared" si="14"/>
        <v>-2840147.0549180633</v>
      </c>
      <c r="G132" s="1732">
        <f t="shared" si="17"/>
        <v>7.1000000000000004E-3</v>
      </c>
      <c r="H132" s="577">
        <v>2</v>
      </c>
      <c r="I132" s="583">
        <f t="shared" si="15"/>
        <v>-40330.088179836501</v>
      </c>
      <c r="J132" s="583">
        <f t="shared" si="16"/>
        <v>-2880477.1430978999</v>
      </c>
      <c r="K132" s="573"/>
      <c r="L132" s="573"/>
      <c r="M132" s="573"/>
      <c r="N132" s="573"/>
      <c r="O132" s="573"/>
    </row>
    <row r="133" spans="1:15" ht="13.5">
      <c r="A133" s="572"/>
      <c r="B133" s="572"/>
      <c r="C133" s="572"/>
      <c r="D133" s="573" t="s">
        <v>639</v>
      </c>
      <c r="E133" s="573" t="s">
        <v>601</v>
      </c>
      <c r="F133" s="588">
        <f t="shared" si="14"/>
        <v>-2840147.0549180633</v>
      </c>
      <c r="G133" s="1732">
        <f t="shared" si="17"/>
        <v>7.1000000000000004E-3</v>
      </c>
      <c r="H133" s="577">
        <v>1</v>
      </c>
      <c r="I133" s="583">
        <f t="shared" si="15"/>
        <v>-20165.04408991825</v>
      </c>
      <c r="J133" s="583">
        <f t="shared" si="16"/>
        <v>-2860312.0990079814</v>
      </c>
      <c r="K133" s="573"/>
      <c r="L133" s="573"/>
      <c r="M133" s="573"/>
      <c r="N133" s="573"/>
      <c r="O133" s="573"/>
    </row>
    <row r="134" spans="1:15" ht="13.5">
      <c r="A134" s="572"/>
      <c r="B134" s="572"/>
      <c r="C134" s="572"/>
      <c r="D134" s="573" t="s">
        <v>851</v>
      </c>
      <c r="E134" s="573"/>
      <c r="F134" s="588">
        <v>0</v>
      </c>
      <c r="G134" s="577"/>
      <c r="H134" s="577"/>
      <c r="I134" s="573"/>
      <c r="J134" s="583">
        <f>SUM(J122:J133)</f>
        <v>-35654638.098030381</v>
      </c>
      <c r="K134" s="573"/>
      <c r="L134" s="573"/>
      <c r="M134" s="573"/>
      <c r="N134" s="573"/>
      <c r="O134" s="573"/>
    </row>
    <row r="135" spans="1:15" ht="27">
      <c r="A135" s="572"/>
      <c r="B135" s="572"/>
      <c r="C135" s="572"/>
      <c r="D135" s="573"/>
      <c r="E135" s="573"/>
      <c r="F135" s="606" t="s">
        <v>644</v>
      </c>
      <c r="G135" s="1733" t="s">
        <v>1019</v>
      </c>
      <c r="H135" s="1733" t="s">
        <v>1020</v>
      </c>
      <c r="I135" s="606" t="s">
        <v>642</v>
      </c>
      <c r="J135" s="583" t="str">
        <f>+J120</f>
        <v>Surcharge (Refund) Owed</v>
      </c>
      <c r="K135" s="573"/>
      <c r="L135" s="573"/>
      <c r="M135" s="573"/>
      <c r="N135" s="573"/>
      <c r="O135" s="573"/>
    </row>
    <row r="136" spans="1:15" ht="13.5">
      <c r="A136" s="572"/>
      <c r="B136" s="572"/>
      <c r="C136" s="572"/>
      <c r="D136" s="573" t="s">
        <v>629</v>
      </c>
      <c r="E136" s="573" t="s">
        <v>601</v>
      </c>
      <c r="F136" s="588">
        <f>+J134</f>
        <v>-35654638.098030381</v>
      </c>
      <c r="G136" s="1732">
        <f>+G133</f>
        <v>7.1000000000000004E-3</v>
      </c>
      <c r="H136" s="590">
        <v>0</v>
      </c>
      <c r="I136" s="583">
        <f t="shared" ref="I136:I141" si="18">+F136*G136</f>
        <v>-253147.93049601573</v>
      </c>
      <c r="J136" s="583">
        <f>+F136+I136-H136</f>
        <v>-35907786.028526396</v>
      </c>
      <c r="K136" s="573"/>
      <c r="L136" s="573"/>
      <c r="M136" s="1734"/>
      <c r="N136" s="573"/>
      <c r="O136" s="573"/>
    </row>
    <row r="137" spans="1:15" ht="13.5">
      <c r="A137" s="572"/>
      <c r="B137" s="572"/>
      <c r="C137" s="572"/>
      <c r="D137" s="573" t="s">
        <v>630</v>
      </c>
      <c r="E137" s="573" t="s">
        <v>601</v>
      </c>
      <c r="F137" s="588">
        <f>+J136</f>
        <v>-35907786.028526396</v>
      </c>
      <c r="G137" s="1732">
        <f>+G136</f>
        <v>7.1000000000000004E-3</v>
      </c>
      <c r="H137" s="609">
        <v>0</v>
      </c>
      <c r="I137" s="583">
        <f t="shared" si="18"/>
        <v>-254945.28080253743</v>
      </c>
      <c r="J137" s="583">
        <f t="shared" ref="J137:J151" si="19">+F137+I137-H137</f>
        <v>-36162731.309328936</v>
      </c>
      <c r="K137" s="573"/>
      <c r="L137" s="573"/>
      <c r="M137" s="577"/>
      <c r="N137" s="577"/>
      <c r="O137" s="577"/>
    </row>
    <row r="138" spans="1:15" ht="13.5">
      <c r="A138" s="572"/>
      <c r="B138" s="572"/>
      <c r="C138" s="572"/>
      <c r="D138" s="573" t="s">
        <v>631</v>
      </c>
      <c r="E138" s="573" t="s">
        <v>601</v>
      </c>
      <c r="F138" s="588">
        <f t="shared" ref="F138:F152" si="20">+J137</f>
        <v>-36162731.309328936</v>
      </c>
      <c r="G138" s="1732">
        <f t="shared" ref="G138:G152" si="21">+G137</f>
        <v>7.1000000000000004E-3</v>
      </c>
      <c r="H138" s="609">
        <v>0</v>
      </c>
      <c r="I138" s="583">
        <f t="shared" si="18"/>
        <v>-256755.39229623546</v>
      </c>
      <c r="J138" s="583">
        <f t="shared" si="19"/>
        <v>-36419486.701625168</v>
      </c>
      <c r="K138" s="573"/>
      <c r="L138" s="573"/>
      <c r="M138" s="573"/>
      <c r="N138" s="573"/>
      <c r="O138" s="573"/>
    </row>
    <row r="139" spans="1:15" ht="13.5">
      <c r="A139" s="572"/>
      <c r="B139" s="572"/>
      <c r="C139" s="572"/>
      <c r="D139" s="573" t="s">
        <v>632</v>
      </c>
      <c r="E139" s="573" t="s">
        <v>601</v>
      </c>
      <c r="F139" s="588">
        <f t="shared" si="20"/>
        <v>-36419486.701625168</v>
      </c>
      <c r="G139" s="1732">
        <f t="shared" si="21"/>
        <v>7.1000000000000004E-3</v>
      </c>
      <c r="H139" s="609">
        <v>0</v>
      </c>
      <c r="I139" s="583">
        <f t="shared" si="18"/>
        <v>-258578.35558153872</v>
      </c>
      <c r="J139" s="583">
        <f t="shared" si="19"/>
        <v>-36678065.057206705</v>
      </c>
      <c r="K139" s="616"/>
      <c r="L139" s="573"/>
      <c r="M139" s="573"/>
      <c r="N139" s="573"/>
      <c r="O139" s="573"/>
    </row>
    <row r="140" spans="1:15" ht="13.5">
      <c r="A140" s="572"/>
      <c r="B140" s="572"/>
      <c r="C140" s="572"/>
      <c r="D140" s="573" t="s">
        <v>627</v>
      </c>
      <c r="E140" s="573" t="s">
        <v>601</v>
      </c>
      <c r="F140" s="588">
        <f t="shared" si="20"/>
        <v>-36678065.057206705</v>
      </c>
      <c r="G140" s="1732">
        <f t="shared" si="21"/>
        <v>7.1000000000000004E-3</v>
      </c>
      <c r="H140" s="609">
        <v>0</v>
      </c>
      <c r="I140" s="583">
        <f t="shared" si="18"/>
        <v>-260414.26190616761</v>
      </c>
      <c r="J140" s="583">
        <f t="shared" si="19"/>
        <v>-36938479.319112875</v>
      </c>
      <c r="K140" s="615"/>
      <c r="L140" s="573"/>
      <c r="M140" s="573"/>
      <c r="N140" s="573"/>
      <c r="O140" s="573"/>
    </row>
    <row r="141" spans="1:15" ht="13.5">
      <c r="A141" s="572"/>
      <c r="B141" s="572"/>
      <c r="C141" s="572"/>
      <c r="D141" s="573" t="s">
        <v>633</v>
      </c>
      <c r="E141" s="573" t="s">
        <v>601</v>
      </c>
      <c r="F141" s="588">
        <f t="shared" si="20"/>
        <v>-36938479.319112875</v>
      </c>
      <c r="G141" s="1732">
        <f t="shared" si="21"/>
        <v>7.1000000000000004E-3</v>
      </c>
      <c r="H141" s="590">
        <f>-PMT(G141,12,J140)</f>
        <v>-3222108.2262999751</v>
      </c>
      <c r="I141" s="583">
        <f t="shared" si="18"/>
        <v>-262263.20316570142</v>
      </c>
      <c r="J141" s="583">
        <f>+F141+I141-H141</f>
        <v>-33978634.295978606</v>
      </c>
      <c r="K141" s="573"/>
      <c r="L141" s="573"/>
      <c r="M141" s="573"/>
      <c r="N141" s="573"/>
      <c r="O141" s="573"/>
    </row>
    <row r="142" spans="1:15" ht="13.5">
      <c r="A142" s="572"/>
      <c r="B142" s="572"/>
      <c r="C142" s="572"/>
      <c r="D142" s="573" t="s">
        <v>634</v>
      </c>
      <c r="E142" s="573" t="s">
        <v>601</v>
      </c>
      <c r="F142" s="588">
        <f t="shared" si="20"/>
        <v>-33978634.295978606</v>
      </c>
      <c r="G142" s="1732">
        <f t="shared" si="21"/>
        <v>7.1000000000000004E-3</v>
      </c>
      <c r="H142" s="609">
        <f t="shared" ref="H142:H152" si="22">H141</f>
        <v>-3222108.2262999751</v>
      </c>
      <c r="I142" s="583">
        <f t="shared" ref="I142:I152" si="23">+F142*G142</f>
        <v>-241248.30350144813</v>
      </c>
      <c r="J142" s="583">
        <f t="shared" si="19"/>
        <v>-30997774.37318008</v>
      </c>
      <c r="K142" s="573"/>
      <c r="L142" s="573"/>
      <c r="M142" s="573"/>
      <c r="N142" s="573"/>
      <c r="O142" s="573"/>
    </row>
    <row r="143" spans="1:15" ht="13.5">
      <c r="A143" s="572"/>
      <c r="B143" s="572"/>
      <c r="C143" s="572"/>
      <c r="D143" s="573" t="s">
        <v>635</v>
      </c>
      <c r="E143" s="573" t="s">
        <v>601</v>
      </c>
      <c r="F143" s="588">
        <f t="shared" si="20"/>
        <v>-30997774.37318008</v>
      </c>
      <c r="G143" s="1732">
        <f t="shared" si="21"/>
        <v>7.1000000000000004E-3</v>
      </c>
      <c r="H143" s="609">
        <f t="shared" si="22"/>
        <v>-3222108.2262999751</v>
      </c>
      <c r="I143" s="583">
        <f t="shared" si="23"/>
        <v>-220084.19804957858</v>
      </c>
      <c r="J143" s="583">
        <f t="shared" si="19"/>
        <v>-27995750.344929684</v>
      </c>
      <c r="K143" s="573"/>
      <c r="L143" s="573"/>
      <c r="M143" s="573"/>
      <c r="N143" s="573"/>
      <c r="O143" s="573"/>
    </row>
    <row r="144" spans="1:15" ht="13.5">
      <c r="A144" s="572"/>
      <c r="B144" s="572"/>
      <c r="C144" s="572"/>
      <c r="D144" s="573" t="s">
        <v>636</v>
      </c>
      <c r="E144" s="573" t="s">
        <v>601</v>
      </c>
      <c r="F144" s="588">
        <f t="shared" si="20"/>
        <v>-27995750.344929684</v>
      </c>
      <c r="G144" s="1732">
        <f t="shared" si="21"/>
        <v>7.1000000000000004E-3</v>
      </c>
      <c r="H144" s="609">
        <f t="shared" si="22"/>
        <v>-3222108.2262999751</v>
      </c>
      <c r="I144" s="583">
        <f t="shared" si="23"/>
        <v>-198769.82744900076</v>
      </c>
      <c r="J144" s="583">
        <f t="shared" si="19"/>
        <v>-24972411.94607871</v>
      </c>
      <c r="K144" s="573"/>
      <c r="L144" s="573"/>
      <c r="M144" s="573"/>
      <c r="N144" s="573"/>
      <c r="O144" s="573"/>
    </row>
    <row r="145" spans="1:15" ht="13.5">
      <c r="A145" s="572"/>
      <c r="B145" s="572"/>
      <c r="C145" s="572"/>
      <c r="D145" s="573" t="s">
        <v>637</v>
      </c>
      <c r="E145" s="573" t="s">
        <v>601</v>
      </c>
      <c r="F145" s="588">
        <f t="shared" si="20"/>
        <v>-24972411.94607871</v>
      </c>
      <c r="G145" s="1732">
        <f t="shared" si="21"/>
        <v>7.1000000000000004E-3</v>
      </c>
      <c r="H145" s="609">
        <f t="shared" si="22"/>
        <v>-3222108.2262999751</v>
      </c>
      <c r="I145" s="583">
        <f t="shared" si="23"/>
        <v>-177304.12481715885</v>
      </c>
      <c r="J145" s="583">
        <f>+F145+I145-H145</f>
        <v>-21927607.844595894</v>
      </c>
      <c r="K145" s="573"/>
      <c r="L145" s="573"/>
      <c r="M145" s="573"/>
      <c r="N145" s="573"/>
      <c r="O145" s="573"/>
    </row>
    <row r="146" spans="1:15" ht="13.5">
      <c r="A146" s="572"/>
      <c r="B146" s="572"/>
      <c r="C146" s="572"/>
      <c r="D146" s="573" t="s">
        <v>638</v>
      </c>
      <c r="E146" s="573" t="s">
        <v>601</v>
      </c>
      <c r="F146" s="588">
        <f t="shared" si="20"/>
        <v>-21927607.844595894</v>
      </c>
      <c r="G146" s="1732">
        <f t="shared" si="21"/>
        <v>7.1000000000000004E-3</v>
      </c>
      <c r="H146" s="609">
        <f t="shared" si="22"/>
        <v>-3222108.2262999751</v>
      </c>
      <c r="I146" s="583">
        <f t="shared" si="23"/>
        <v>-155686.01569663087</v>
      </c>
      <c r="J146" s="583">
        <f t="shared" si="19"/>
        <v>-18861185.633992549</v>
      </c>
      <c r="K146" s="573"/>
      <c r="L146" s="573"/>
      <c r="M146" s="573"/>
      <c r="N146" s="573"/>
      <c r="O146" s="573"/>
    </row>
    <row r="147" spans="1:15" ht="13.5">
      <c r="A147" s="572"/>
      <c r="B147" s="572"/>
      <c r="C147" s="572"/>
      <c r="D147" s="573" t="s">
        <v>639</v>
      </c>
      <c r="E147" s="573" t="s">
        <v>601</v>
      </c>
      <c r="F147" s="588">
        <f t="shared" si="20"/>
        <v>-18861185.633992549</v>
      </c>
      <c r="G147" s="1732">
        <f t="shared" si="21"/>
        <v>7.1000000000000004E-3</v>
      </c>
      <c r="H147" s="609">
        <f t="shared" si="22"/>
        <v>-3222108.2262999751</v>
      </c>
      <c r="I147" s="583">
        <f t="shared" si="23"/>
        <v>-133914.41800134711</v>
      </c>
      <c r="J147" s="583">
        <f t="shared" si="19"/>
        <v>-15772991.82569392</v>
      </c>
      <c r="K147" s="573"/>
      <c r="L147" s="573"/>
      <c r="M147" s="573"/>
      <c r="N147" s="573"/>
      <c r="O147" s="573"/>
    </row>
    <row r="148" spans="1:15" ht="13.5">
      <c r="A148" s="572"/>
      <c r="B148" s="572"/>
      <c r="C148" s="572"/>
      <c r="D148" s="573" t="s">
        <v>629</v>
      </c>
      <c r="E148" s="573" t="s">
        <v>602</v>
      </c>
      <c r="F148" s="588">
        <f t="shared" si="20"/>
        <v>-15772991.82569392</v>
      </c>
      <c r="G148" s="1732">
        <f t="shared" si="21"/>
        <v>7.1000000000000004E-3</v>
      </c>
      <c r="H148" s="609">
        <f t="shared" si="22"/>
        <v>-3222108.2262999751</v>
      </c>
      <c r="I148" s="583">
        <f t="shared" si="23"/>
        <v>-111988.24196242684</v>
      </c>
      <c r="J148" s="583">
        <f t="shared" si="19"/>
        <v>-12662871.841356372</v>
      </c>
      <c r="K148" s="573"/>
      <c r="L148" s="573"/>
      <c r="M148" s="573"/>
      <c r="N148" s="573"/>
      <c r="O148" s="573"/>
    </row>
    <row r="149" spans="1:15" ht="13.5">
      <c r="A149" s="572"/>
      <c r="B149" s="572"/>
      <c r="C149" s="572"/>
      <c r="D149" s="573" t="s">
        <v>630</v>
      </c>
      <c r="E149" s="573" t="s">
        <v>602</v>
      </c>
      <c r="F149" s="588">
        <f t="shared" si="20"/>
        <v>-12662871.841356372</v>
      </c>
      <c r="G149" s="1732">
        <f t="shared" si="21"/>
        <v>7.1000000000000004E-3</v>
      </c>
      <c r="H149" s="609">
        <f t="shared" si="22"/>
        <v>-3222108.2262999751</v>
      </c>
      <c r="I149" s="583">
        <f t="shared" si="23"/>
        <v>-89906.390073630246</v>
      </c>
      <c r="J149" s="583">
        <f t="shared" si="19"/>
        <v>-9530670.0051300284</v>
      </c>
      <c r="K149" s="573"/>
      <c r="L149" s="573"/>
      <c r="M149" s="573"/>
      <c r="N149" s="573"/>
      <c r="O149" s="573"/>
    </row>
    <row r="150" spans="1:15" ht="13.5">
      <c r="A150" s="572"/>
      <c r="B150" s="572"/>
      <c r="C150" s="572"/>
      <c r="D150" s="573" t="s">
        <v>631</v>
      </c>
      <c r="E150" s="573" t="s">
        <v>602</v>
      </c>
      <c r="F150" s="588">
        <f t="shared" si="20"/>
        <v>-9530670.0051300284</v>
      </c>
      <c r="G150" s="1732">
        <f t="shared" si="21"/>
        <v>7.1000000000000004E-3</v>
      </c>
      <c r="H150" s="609">
        <f t="shared" si="22"/>
        <v>-3222108.2262999751</v>
      </c>
      <c r="I150" s="583">
        <f>+F150*G150</f>
        <v>-67667.757036423209</v>
      </c>
      <c r="J150" s="583">
        <f t="shared" si="19"/>
        <v>-6376229.5358664766</v>
      </c>
      <c r="K150" s="573"/>
      <c r="L150" s="573"/>
      <c r="M150" s="573"/>
      <c r="N150" s="573"/>
      <c r="O150" s="573"/>
    </row>
    <row r="151" spans="1:15" ht="13.5">
      <c r="A151" s="572"/>
      <c r="B151" s="572"/>
      <c r="C151" s="572"/>
      <c r="D151" s="573" t="s">
        <v>632</v>
      </c>
      <c r="E151" s="573" t="s">
        <v>602</v>
      </c>
      <c r="F151" s="588">
        <f t="shared" si="20"/>
        <v>-6376229.5358664766</v>
      </c>
      <c r="G151" s="1732">
        <f t="shared" si="21"/>
        <v>7.1000000000000004E-3</v>
      </c>
      <c r="H151" s="609">
        <f t="shared" si="22"/>
        <v>-3222108.2262999751</v>
      </c>
      <c r="I151" s="583">
        <f t="shared" si="23"/>
        <v>-45271.229704651989</v>
      </c>
      <c r="J151" s="583">
        <f t="shared" si="19"/>
        <v>-3199392.5392711535</v>
      </c>
      <c r="K151" s="573"/>
      <c r="L151" s="573"/>
      <c r="M151" s="573"/>
      <c r="N151" s="573"/>
      <c r="O151" s="573"/>
    </row>
    <row r="152" spans="1:15" ht="13.5">
      <c r="A152" s="572"/>
      <c r="B152" s="572"/>
      <c r="C152" s="572"/>
      <c r="D152" s="573" t="s">
        <v>627</v>
      </c>
      <c r="E152" s="573" t="s">
        <v>602</v>
      </c>
      <c r="F152" s="588">
        <f t="shared" si="20"/>
        <v>-3199392.5392711535</v>
      </c>
      <c r="G152" s="1732">
        <f t="shared" si="21"/>
        <v>7.1000000000000004E-3</v>
      </c>
      <c r="H152" s="609">
        <f t="shared" si="22"/>
        <v>-3222108.2262999751</v>
      </c>
      <c r="I152" s="583">
        <f t="shared" si="23"/>
        <v>-22715.687028825192</v>
      </c>
      <c r="J152" s="583">
        <f>+F152-H152+I152</f>
        <v>-3.6343408282846212E-9</v>
      </c>
      <c r="K152" s="573"/>
      <c r="L152" s="573"/>
      <c r="N152" s="573"/>
      <c r="O152" s="573"/>
    </row>
    <row r="153" spans="1:15" ht="13.5">
      <c r="A153" s="572"/>
      <c r="B153" s="572"/>
      <c r="C153" s="572"/>
      <c r="D153" s="573" t="s">
        <v>658</v>
      </c>
      <c r="E153" s="573"/>
      <c r="F153" s="573"/>
      <c r="G153" s="573"/>
      <c r="H153" s="588">
        <f>SUM(H136:H152)</f>
        <v>-38665298.715599701</v>
      </c>
      <c r="I153" s="573"/>
      <c r="J153" s="573"/>
      <c r="K153" s="573"/>
      <c r="L153" s="573"/>
      <c r="M153" s="573"/>
      <c r="N153" s="573"/>
      <c r="O153" s="573"/>
    </row>
    <row r="154" spans="1:15" ht="13.5">
      <c r="B154" s="572"/>
      <c r="C154" s="572"/>
      <c r="D154" s="573"/>
      <c r="E154" s="573"/>
      <c r="F154" s="573"/>
      <c r="G154" s="573"/>
      <c r="H154" s="573"/>
      <c r="I154" s="573"/>
      <c r="J154" s="573"/>
      <c r="K154" s="573"/>
      <c r="L154" s="573"/>
      <c r="M154" s="573"/>
      <c r="N154" s="573"/>
      <c r="O154" s="573"/>
    </row>
    <row r="155" spans="1:15" ht="13.5">
      <c r="A155" s="420"/>
      <c r="B155" s="572"/>
      <c r="C155" s="572"/>
      <c r="D155" s="614" t="s">
        <v>982</v>
      </c>
      <c r="E155" s="572"/>
      <c r="F155" s="419"/>
      <c r="G155" s="572"/>
      <c r="H155" s="588">
        <f>+H153</f>
        <v>-38665298.715599701</v>
      </c>
      <c r="I155" s="1891">
        <f>H155*L113/L115</f>
        <v>-39138940.381424129</v>
      </c>
      <c r="J155" s="1891">
        <f>H155*L114/L115</f>
        <v>473641.66582442884</v>
      </c>
      <c r="K155" s="588"/>
      <c r="L155" s="573"/>
      <c r="M155" s="573"/>
      <c r="N155" s="573"/>
      <c r="O155" s="573"/>
    </row>
    <row r="156" spans="1:15" ht="13.5">
      <c r="A156" s="420"/>
      <c r="B156" s="572"/>
      <c r="C156" s="572"/>
      <c r="D156" s="614" t="s">
        <v>66</v>
      </c>
      <c r="E156" s="572"/>
      <c r="F156" s="419"/>
      <c r="G156" s="572"/>
      <c r="I156" s="617">
        <f>'ATT H-1 '!J286</f>
        <v>80816281.198322475</v>
      </c>
      <c r="J156" s="1530">
        <f>'Sch 1'!E16</f>
        <v>6189793</v>
      </c>
      <c r="K156" s="573"/>
      <c r="L156" s="573"/>
      <c r="M156" s="1728"/>
      <c r="N156" s="577"/>
      <c r="O156" s="573"/>
    </row>
    <row r="157" spans="1:15" ht="13.5">
      <c r="A157" s="420"/>
      <c r="B157" s="572"/>
      <c r="C157" s="572"/>
      <c r="D157" s="614" t="s">
        <v>67</v>
      </c>
      <c r="E157" s="572"/>
      <c r="F157" s="419"/>
      <c r="G157" s="572"/>
      <c r="I157" s="588">
        <f>+I155+I156</f>
        <v>41677340.816898346</v>
      </c>
      <c r="J157" s="1530">
        <f>SUM(J155:J156)</f>
        <v>6663434.6658244291</v>
      </c>
      <c r="K157" s="573"/>
      <c r="L157" s="573"/>
      <c r="M157" s="573"/>
      <c r="N157" s="573"/>
      <c r="O157" s="573"/>
    </row>
    <row r="158" spans="1:15" ht="13.5">
      <c r="A158" s="572"/>
      <c r="B158" s="572"/>
      <c r="C158" s="572"/>
      <c r="D158" s="605"/>
      <c r="E158" s="573"/>
      <c r="F158" s="573"/>
      <c r="G158" s="577"/>
      <c r="H158" s="609"/>
      <c r="I158" s="577"/>
      <c r="J158" s="573"/>
      <c r="K158" s="573"/>
      <c r="L158" s="573"/>
      <c r="M158" s="573"/>
      <c r="N158" s="573"/>
      <c r="O158" s="573"/>
    </row>
    <row r="159" spans="1:15" ht="13.5">
      <c r="A159" s="572">
        <v>9</v>
      </c>
      <c r="B159" s="572" t="s">
        <v>626</v>
      </c>
      <c r="C159" s="572" t="s">
        <v>602</v>
      </c>
      <c r="D159" s="579" t="s">
        <v>1108</v>
      </c>
      <c r="E159" s="573"/>
      <c r="F159" s="573"/>
      <c r="G159" s="573"/>
      <c r="H159" s="573"/>
      <c r="I159" s="573"/>
      <c r="J159" s="419"/>
      <c r="K159" s="573"/>
      <c r="L159" s="573"/>
      <c r="M159" s="573"/>
      <c r="N159" s="573"/>
      <c r="O159" s="573"/>
    </row>
    <row r="160" spans="1:15" ht="13.5">
      <c r="A160" s="572"/>
      <c r="B160" s="572"/>
      <c r="C160" s="572"/>
      <c r="D160" s="579"/>
      <c r="E160" s="573"/>
      <c r="F160" s="573"/>
      <c r="G160" s="573"/>
      <c r="H160" s="573"/>
      <c r="I160" s="573"/>
      <c r="J160" s="419"/>
      <c r="K160" s="573"/>
      <c r="L160" s="573"/>
      <c r="M160" s="573"/>
      <c r="N160" s="573"/>
      <c r="O160" s="573"/>
    </row>
    <row r="161" spans="1:15" ht="13.5">
      <c r="A161" s="572"/>
      <c r="B161" s="419"/>
      <c r="C161" s="479" t="s">
        <v>263</v>
      </c>
      <c r="D161" s="479" t="s">
        <v>264</v>
      </c>
      <c r="E161" s="479" t="s">
        <v>356</v>
      </c>
      <c r="F161" s="479" t="s">
        <v>265</v>
      </c>
      <c r="G161" s="479" t="s">
        <v>266</v>
      </c>
      <c r="H161" s="479" t="s">
        <v>262</v>
      </c>
      <c r="I161" s="479"/>
      <c r="J161" s="479" t="s">
        <v>570</v>
      </c>
      <c r="K161" s="479" t="s">
        <v>571</v>
      </c>
      <c r="L161" s="479" t="s">
        <v>963</v>
      </c>
      <c r="M161" s="575" t="s">
        <v>964</v>
      </c>
      <c r="N161" s="572" t="s">
        <v>965</v>
      </c>
      <c r="O161" s="572" t="s">
        <v>966</v>
      </c>
    </row>
    <row r="162" spans="1:15" ht="13.5">
      <c r="A162" s="572"/>
      <c r="B162" s="419"/>
      <c r="C162" s="572" t="s">
        <v>219</v>
      </c>
      <c r="D162" s="572" t="s">
        <v>219</v>
      </c>
      <c r="E162" s="572" t="s">
        <v>219</v>
      </c>
      <c r="F162" s="572" t="s">
        <v>219</v>
      </c>
      <c r="G162" s="572" t="s">
        <v>219</v>
      </c>
      <c r="H162" s="572" t="s">
        <v>219</v>
      </c>
      <c r="I162" s="572"/>
      <c r="J162" s="572" t="s">
        <v>72</v>
      </c>
      <c r="K162" s="572" t="s">
        <v>72</v>
      </c>
      <c r="L162" s="572" t="s">
        <v>72</v>
      </c>
      <c r="M162" s="572" t="s">
        <v>72</v>
      </c>
      <c r="N162" s="572" t="s">
        <v>72</v>
      </c>
      <c r="O162" s="572" t="s">
        <v>72</v>
      </c>
    </row>
    <row r="163" spans="1:15" ht="13.5">
      <c r="A163" s="572"/>
      <c r="B163" s="573"/>
      <c r="C163" s="572" t="s">
        <v>68</v>
      </c>
      <c r="D163" s="572" t="s">
        <v>68</v>
      </c>
      <c r="E163" s="572" t="s">
        <v>68</v>
      </c>
      <c r="F163" s="623"/>
      <c r="G163" s="623"/>
      <c r="H163" s="623"/>
      <c r="I163" s="572"/>
      <c r="J163" s="572" t="s">
        <v>73</v>
      </c>
      <c r="K163" s="572" t="s">
        <v>74</v>
      </c>
      <c r="L163" s="572" t="s">
        <v>75</v>
      </c>
      <c r="M163" s="572" t="s">
        <v>76</v>
      </c>
      <c r="N163" s="572" t="s">
        <v>77</v>
      </c>
      <c r="O163" s="572" t="s">
        <v>78</v>
      </c>
    </row>
    <row r="164" spans="1:15" ht="13.5">
      <c r="A164" s="2013"/>
      <c r="B164" s="573"/>
      <c r="C164" s="572" t="s">
        <v>569</v>
      </c>
      <c r="D164" s="572"/>
      <c r="E164" s="572"/>
      <c r="F164" s="572" t="s">
        <v>69</v>
      </c>
      <c r="G164" s="572" t="s">
        <v>70</v>
      </c>
      <c r="H164" s="572" t="s">
        <v>71</v>
      </c>
      <c r="I164" s="572"/>
      <c r="J164" s="572"/>
      <c r="K164" s="572"/>
      <c r="L164" s="572"/>
      <c r="M164" s="572"/>
      <c r="N164" s="572"/>
      <c r="O164" s="572"/>
    </row>
    <row r="165" spans="1:15" ht="13.5">
      <c r="A165" s="2013"/>
      <c r="B165" s="573"/>
      <c r="C165" s="572"/>
      <c r="D165" s="587"/>
      <c r="E165" s="587"/>
      <c r="F165" s="587"/>
      <c r="G165" s="572"/>
      <c r="H165" s="572"/>
      <c r="I165" s="622"/>
      <c r="J165" s="572"/>
      <c r="K165" s="572"/>
      <c r="L165" s="588"/>
      <c r="M165" s="572"/>
      <c r="N165" s="572"/>
      <c r="O165" s="583"/>
    </row>
    <row r="166" spans="1:15" ht="13.5">
      <c r="A166" s="2013"/>
      <c r="B166" s="573" t="s">
        <v>629</v>
      </c>
      <c r="C166" s="589">
        <v>0</v>
      </c>
      <c r="D166" s="589"/>
      <c r="E166" s="589"/>
      <c r="F166" s="589"/>
      <c r="G166" s="589"/>
      <c r="H166" s="589"/>
      <c r="I166" s="622"/>
      <c r="J166" s="588">
        <f>C166</f>
        <v>0</v>
      </c>
      <c r="K166" s="588">
        <f>E166</f>
        <v>0</v>
      </c>
      <c r="L166" s="588">
        <f>F166</f>
        <v>0</v>
      </c>
      <c r="M166" s="588">
        <f>G166</f>
        <v>0</v>
      </c>
      <c r="N166" s="588">
        <f>H166</f>
        <v>0</v>
      </c>
      <c r="O166" s="588">
        <f>I166</f>
        <v>0</v>
      </c>
    </row>
    <row r="167" spans="1:15" ht="13.5">
      <c r="A167" s="2013"/>
      <c r="B167" s="573" t="s">
        <v>630</v>
      </c>
      <c r="C167" s="589">
        <v>4139069</v>
      </c>
      <c r="D167" s="589"/>
      <c r="E167" s="589"/>
      <c r="F167" s="589"/>
      <c r="G167" s="589"/>
      <c r="H167" s="589"/>
      <c r="I167" s="622"/>
      <c r="J167" s="588">
        <f>J166+C167</f>
        <v>4139069</v>
      </c>
      <c r="K167" s="588">
        <f t="shared" ref="K167:K177" si="24">K166+E167</f>
        <v>0</v>
      </c>
      <c r="L167" s="588">
        <f t="shared" ref="L167:L177" si="25">L166+F167</f>
        <v>0</v>
      </c>
      <c r="M167" s="588">
        <f t="shared" ref="M167:M177" si="26">M166+G167</f>
        <v>0</v>
      </c>
      <c r="N167" s="588">
        <f t="shared" ref="N167:N177" si="27">N166+H167</f>
        <v>0</v>
      </c>
      <c r="O167" s="588">
        <f t="shared" ref="O167:O177" si="28">O166+I167</f>
        <v>0</v>
      </c>
    </row>
    <row r="168" spans="1:15" ht="13.5">
      <c r="A168" s="2013"/>
      <c r="B168" s="573" t="s">
        <v>631</v>
      </c>
      <c r="C168" s="589">
        <v>4678530</v>
      </c>
      <c r="D168" s="589"/>
      <c r="E168" s="589"/>
      <c r="F168" s="589"/>
      <c r="G168" s="589"/>
      <c r="H168" s="589"/>
      <c r="I168" s="622"/>
      <c r="J168" s="588">
        <f t="shared" ref="J168:J177" si="29">J167+C168</f>
        <v>8817599</v>
      </c>
      <c r="K168" s="588">
        <f t="shared" si="24"/>
        <v>0</v>
      </c>
      <c r="L168" s="588">
        <f t="shared" si="25"/>
        <v>0</v>
      </c>
      <c r="M168" s="588">
        <f t="shared" si="26"/>
        <v>0</v>
      </c>
      <c r="N168" s="588">
        <f t="shared" si="27"/>
        <v>0</v>
      </c>
      <c r="O168" s="588">
        <f t="shared" si="28"/>
        <v>0</v>
      </c>
    </row>
    <row r="169" spans="1:15" ht="13.5">
      <c r="A169" s="2013"/>
      <c r="B169" s="573" t="s">
        <v>632</v>
      </c>
      <c r="C169" s="589">
        <v>3616319</v>
      </c>
      <c r="D169" s="589"/>
      <c r="E169" s="589"/>
      <c r="F169" s="589"/>
      <c r="G169" s="589"/>
      <c r="H169" s="589"/>
      <c r="I169" s="622"/>
      <c r="J169" s="588">
        <f t="shared" si="29"/>
        <v>12433918</v>
      </c>
      <c r="K169" s="588">
        <f t="shared" si="24"/>
        <v>0</v>
      </c>
      <c r="L169" s="588">
        <f t="shared" si="25"/>
        <v>0</v>
      </c>
      <c r="M169" s="588">
        <f t="shared" si="26"/>
        <v>0</v>
      </c>
      <c r="N169" s="588">
        <f t="shared" si="27"/>
        <v>0</v>
      </c>
      <c r="O169" s="588">
        <f t="shared" si="28"/>
        <v>0</v>
      </c>
    </row>
    <row r="170" spans="1:15" ht="13.5">
      <c r="A170" s="2013"/>
      <c r="B170" s="573" t="s">
        <v>627</v>
      </c>
      <c r="C170" s="589">
        <v>2170206</v>
      </c>
      <c r="D170" s="589"/>
      <c r="E170" s="589"/>
      <c r="F170" s="589"/>
      <c r="G170" s="589"/>
      <c r="H170" s="589"/>
      <c r="I170" s="622"/>
      <c r="J170" s="588">
        <f t="shared" si="29"/>
        <v>14604124</v>
      </c>
      <c r="K170" s="588">
        <f t="shared" si="24"/>
        <v>0</v>
      </c>
      <c r="L170" s="588">
        <f t="shared" si="25"/>
        <v>0</v>
      </c>
      <c r="M170" s="588">
        <f t="shared" si="26"/>
        <v>0</v>
      </c>
      <c r="N170" s="588">
        <f t="shared" si="27"/>
        <v>0</v>
      </c>
      <c r="O170" s="588">
        <f t="shared" si="28"/>
        <v>0</v>
      </c>
    </row>
    <row r="171" spans="1:15" ht="13.5">
      <c r="A171" s="2013"/>
      <c r="B171" s="573" t="s">
        <v>633</v>
      </c>
      <c r="C171" s="589">
        <v>2967571</v>
      </c>
      <c r="D171" s="589"/>
      <c r="E171" s="589"/>
      <c r="F171" s="589"/>
      <c r="G171" s="589"/>
      <c r="H171" s="589"/>
      <c r="I171" s="622"/>
      <c r="J171" s="588">
        <f t="shared" si="29"/>
        <v>17571695</v>
      </c>
      <c r="K171" s="588">
        <f t="shared" si="24"/>
        <v>0</v>
      </c>
      <c r="L171" s="588">
        <f t="shared" si="25"/>
        <v>0</v>
      </c>
      <c r="M171" s="588">
        <f t="shared" si="26"/>
        <v>0</v>
      </c>
      <c r="N171" s="588">
        <f t="shared" si="27"/>
        <v>0</v>
      </c>
      <c r="O171" s="588">
        <f t="shared" si="28"/>
        <v>0</v>
      </c>
    </row>
    <row r="172" spans="1:15" ht="13.5">
      <c r="A172" s="2013"/>
      <c r="B172" s="573" t="s">
        <v>634</v>
      </c>
      <c r="C172" s="589">
        <v>2748996</v>
      </c>
      <c r="D172" s="589"/>
      <c r="E172" s="589"/>
      <c r="F172" s="589"/>
      <c r="G172" s="589"/>
      <c r="H172" s="589"/>
      <c r="I172" s="622"/>
      <c r="J172" s="588">
        <f t="shared" si="29"/>
        <v>20320691</v>
      </c>
      <c r="K172" s="588">
        <f t="shared" si="24"/>
        <v>0</v>
      </c>
      <c r="L172" s="588">
        <f t="shared" si="25"/>
        <v>0</v>
      </c>
      <c r="M172" s="588">
        <f t="shared" si="26"/>
        <v>0</v>
      </c>
      <c r="N172" s="588">
        <f t="shared" si="27"/>
        <v>0</v>
      </c>
      <c r="O172" s="588">
        <f t="shared" si="28"/>
        <v>0</v>
      </c>
    </row>
    <row r="173" spans="1:15" ht="13.5">
      <c r="A173" s="2013"/>
      <c r="B173" s="573" t="s">
        <v>635</v>
      </c>
      <c r="C173" s="589">
        <v>2593790</v>
      </c>
      <c r="D173" s="589"/>
      <c r="E173" s="589"/>
      <c r="F173" s="589"/>
      <c r="G173" s="589"/>
      <c r="H173" s="589"/>
      <c r="I173" s="622"/>
      <c r="J173" s="588">
        <f t="shared" si="29"/>
        <v>22914481</v>
      </c>
      <c r="K173" s="588">
        <f t="shared" si="24"/>
        <v>0</v>
      </c>
      <c r="L173" s="588">
        <f t="shared" si="25"/>
        <v>0</v>
      </c>
      <c r="M173" s="588">
        <f t="shared" si="26"/>
        <v>0</v>
      </c>
      <c r="N173" s="588">
        <f t="shared" si="27"/>
        <v>0</v>
      </c>
      <c r="O173" s="588">
        <f t="shared" si="28"/>
        <v>0</v>
      </c>
    </row>
    <row r="174" spans="1:15" ht="13.5">
      <c r="A174" s="2013"/>
      <c r="B174" s="573" t="s">
        <v>636</v>
      </c>
      <c r="C174" s="589">
        <v>3246654</v>
      </c>
      <c r="D174" s="589"/>
      <c r="E174" s="589"/>
      <c r="F174" s="589"/>
      <c r="G174" s="589"/>
      <c r="H174" s="589"/>
      <c r="I174" s="622"/>
      <c r="J174" s="588">
        <f t="shared" si="29"/>
        <v>26161135</v>
      </c>
      <c r="K174" s="588">
        <f t="shared" si="24"/>
        <v>0</v>
      </c>
      <c r="L174" s="588">
        <f t="shared" si="25"/>
        <v>0</v>
      </c>
      <c r="M174" s="588">
        <f t="shared" si="26"/>
        <v>0</v>
      </c>
      <c r="N174" s="588">
        <f t="shared" si="27"/>
        <v>0</v>
      </c>
      <c r="O174" s="588">
        <f t="shared" si="28"/>
        <v>0</v>
      </c>
    </row>
    <row r="175" spans="1:15" ht="13.5">
      <c r="A175" s="2013"/>
      <c r="B175" s="573" t="s">
        <v>637</v>
      </c>
      <c r="C175" s="589">
        <v>231073785</v>
      </c>
      <c r="D175" s="589"/>
      <c r="E175" s="589"/>
      <c r="F175" s="589"/>
      <c r="G175" s="589"/>
      <c r="H175" s="589"/>
      <c r="I175" s="622"/>
      <c r="J175" s="588">
        <f t="shared" si="29"/>
        <v>257234920</v>
      </c>
      <c r="K175" s="588">
        <f t="shared" si="24"/>
        <v>0</v>
      </c>
      <c r="L175" s="588">
        <f t="shared" si="25"/>
        <v>0</v>
      </c>
      <c r="M175" s="588">
        <f t="shared" si="26"/>
        <v>0</v>
      </c>
      <c r="N175" s="588">
        <f t="shared" si="27"/>
        <v>0</v>
      </c>
      <c r="O175" s="588">
        <f t="shared" si="28"/>
        <v>0</v>
      </c>
    </row>
    <row r="176" spans="1:15" ht="13.5">
      <c r="A176" s="2013"/>
      <c r="B176" s="573" t="s">
        <v>638</v>
      </c>
      <c r="C176" s="589">
        <v>9607212</v>
      </c>
      <c r="D176" s="589"/>
      <c r="E176" s="589"/>
      <c r="F176" s="589"/>
      <c r="G176" s="589"/>
      <c r="H176" s="589"/>
      <c r="I176" s="622"/>
      <c r="J176" s="588">
        <f t="shared" si="29"/>
        <v>266842132</v>
      </c>
      <c r="K176" s="588">
        <f t="shared" si="24"/>
        <v>0</v>
      </c>
      <c r="L176" s="588">
        <f t="shared" si="25"/>
        <v>0</v>
      </c>
      <c r="M176" s="588">
        <f t="shared" si="26"/>
        <v>0</v>
      </c>
      <c r="N176" s="588">
        <f t="shared" si="27"/>
        <v>0</v>
      </c>
      <c r="O176" s="588">
        <f t="shared" si="28"/>
        <v>0</v>
      </c>
    </row>
    <row r="177" spans="1:15" ht="13.5">
      <c r="A177" s="572"/>
      <c r="B177" s="573" t="s">
        <v>639</v>
      </c>
      <c r="C177" s="589">
        <v>43469310</v>
      </c>
      <c r="D177" s="589"/>
      <c r="E177" s="589"/>
      <c r="F177" s="589"/>
      <c r="G177" s="589"/>
      <c r="H177" s="589"/>
      <c r="I177" s="622"/>
      <c r="J177" s="588">
        <f t="shared" si="29"/>
        <v>310311442</v>
      </c>
      <c r="K177" s="588">
        <f t="shared" si="24"/>
        <v>0</v>
      </c>
      <c r="L177" s="588">
        <f t="shared" si="25"/>
        <v>0</v>
      </c>
      <c r="M177" s="588">
        <f t="shared" si="26"/>
        <v>0</v>
      </c>
      <c r="N177" s="588">
        <f t="shared" si="27"/>
        <v>0</v>
      </c>
      <c r="O177" s="588">
        <f t="shared" si="28"/>
        <v>0</v>
      </c>
    </row>
    <row r="178" spans="1:15" ht="13.5">
      <c r="A178" s="572"/>
      <c r="B178" s="573" t="s">
        <v>851</v>
      </c>
      <c r="C178" s="588">
        <f t="shared" ref="C178:H178" si="30">SUM(C166:C177)</f>
        <v>310311442</v>
      </c>
      <c r="D178" s="588">
        <f t="shared" si="30"/>
        <v>0</v>
      </c>
      <c r="E178" s="588">
        <f t="shared" si="30"/>
        <v>0</v>
      </c>
      <c r="F178" s="588">
        <f t="shared" si="30"/>
        <v>0</v>
      </c>
      <c r="G178" s="588">
        <f t="shared" si="30"/>
        <v>0</v>
      </c>
      <c r="H178" s="588">
        <f t="shared" si="30"/>
        <v>0</v>
      </c>
      <c r="I178" s="588" t="s">
        <v>79</v>
      </c>
      <c r="J178" s="588">
        <f t="shared" ref="J178:O178" si="31">AVERAGE(J166:J177)</f>
        <v>80112600.5</v>
      </c>
      <c r="K178" s="588">
        <f t="shared" si="31"/>
        <v>0</v>
      </c>
      <c r="L178" s="588">
        <f t="shared" si="31"/>
        <v>0</v>
      </c>
      <c r="M178" s="588">
        <f t="shared" si="31"/>
        <v>0</v>
      </c>
      <c r="N178" s="588">
        <f t="shared" si="31"/>
        <v>0</v>
      </c>
      <c r="O178" s="588">
        <f t="shared" si="31"/>
        <v>0</v>
      </c>
    </row>
    <row r="179" spans="1:15" ht="13.5">
      <c r="A179" s="572"/>
      <c r="C179" s="573"/>
      <c r="D179" s="419"/>
      <c r="E179" s="419"/>
      <c r="F179" s="419"/>
      <c r="G179" s="419"/>
      <c r="H179" s="419"/>
      <c r="I179" s="419"/>
      <c r="J179" s="419"/>
      <c r="K179" s="419"/>
      <c r="L179" s="590"/>
      <c r="M179" s="573"/>
      <c r="N179" s="573"/>
      <c r="O179" s="573"/>
    </row>
    <row r="180" spans="1:15" ht="15.75">
      <c r="A180" s="572" t="s">
        <v>760</v>
      </c>
      <c r="B180" s="573" t="s">
        <v>81</v>
      </c>
      <c r="C180" s="573"/>
      <c r="D180" s="419"/>
      <c r="E180" s="419"/>
      <c r="F180" s="419"/>
      <c r="G180" s="419"/>
      <c r="H180" s="419"/>
      <c r="I180" s="419"/>
      <c r="J180" s="573"/>
      <c r="K180" s="624" t="s">
        <v>80</v>
      </c>
      <c r="L180" s="419"/>
      <c r="M180" s="588">
        <f>SUM(J178:O178)</f>
        <v>80112600.5</v>
      </c>
      <c r="N180" s="1768" t="s">
        <v>1109</v>
      </c>
      <c r="O180" s="609"/>
    </row>
    <row r="181" spans="1:15" ht="13.5">
      <c r="A181" s="572"/>
      <c r="B181" s="573"/>
      <c r="C181" s="573"/>
      <c r="D181" s="419"/>
      <c r="E181" s="419"/>
      <c r="F181" s="419"/>
      <c r="G181" s="419"/>
      <c r="H181" s="419"/>
      <c r="I181" s="419"/>
      <c r="J181" s="573"/>
      <c r="K181" s="573"/>
      <c r="L181" s="588"/>
      <c r="M181" s="573"/>
      <c r="N181" s="419"/>
      <c r="O181" s="573"/>
    </row>
    <row r="182" spans="1:15" ht="13.5">
      <c r="A182" s="572"/>
      <c r="B182" s="572"/>
      <c r="C182" s="572"/>
      <c r="D182" s="573"/>
      <c r="E182" s="573"/>
      <c r="F182" s="419"/>
      <c r="G182" s="573"/>
      <c r="H182" s="573"/>
      <c r="I182" s="588"/>
      <c r="J182" s="573"/>
      <c r="K182" s="419"/>
      <c r="L182" s="573"/>
      <c r="M182" s="573"/>
      <c r="N182" s="591"/>
      <c r="O182" s="591"/>
    </row>
    <row r="183" spans="1:15" ht="13.5">
      <c r="A183" s="572"/>
      <c r="B183" s="572"/>
      <c r="C183" s="572"/>
      <c r="D183" s="594"/>
      <c r="E183" s="572"/>
      <c r="F183" s="588"/>
      <c r="G183" s="572"/>
      <c r="H183" s="588"/>
      <c r="I183" s="576"/>
      <c r="J183" s="609"/>
      <c r="K183" s="573"/>
      <c r="L183" s="573"/>
      <c r="M183" s="573"/>
      <c r="N183" s="573"/>
      <c r="O183" s="573"/>
    </row>
    <row r="184" spans="1:15" ht="13.5">
      <c r="A184" s="572">
        <v>10</v>
      </c>
      <c r="B184" s="572" t="s">
        <v>627</v>
      </c>
      <c r="C184" s="572" t="s">
        <v>602</v>
      </c>
      <c r="D184" s="579" t="s">
        <v>460</v>
      </c>
      <c r="E184" s="573"/>
      <c r="F184" s="573"/>
      <c r="G184" s="573"/>
      <c r="H184" s="573"/>
      <c r="I184" s="576"/>
      <c r="J184" s="577"/>
      <c r="K184" s="573"/>
      <c r="L184" s="573"/>
      <c r="M184" s="573"/>
      <c r="N184" s="573"/>
      <c r="O184" s="573"/>
    </row>
    <row r="185" spans="1:15" ht="13.5">
      <c r="A185" s="572"/>
      <c r="B185" s="572"/>
      <c r="C185" s="1547">
        <f>I157</f>
        <v>41677340.816898346</v>
      </c>
      <c r="D185" s="595"/>
      <c r="E185" s="573" t="s">
        <v>962</v>
      </c>
      <c r="F185" s="573"/>
      <c r="G185" s="573"/>
      <c r="H185" s="573"/>
      <c r="I185" s="577"/>
      <c r="J185" s="577"/>
      <c r="K185" s="573"/>
      <c r="L185" s="573"/>
      <c r="M185" s="573"/>
      <c r="N185" s="573"/>
      <c r="O185" s="573"/>
    </row>
    <row r="186" spans="1:15" ht="13.5">
      <c r="A186" s="572"/>
      <c r="B186" s="572"/>
      <c r="C186" s="572"/>
      <c r="D186" s="601"/>
      <c r="E186" s="594"/>
      <c r="F186" s="573"/>
      <c r="G186" s="573"/>
      <c r="H186" s="573"/>
      <c r="I186" s="577"/>
      <c r="J186" s="577"/>
      <c r="K186" s="573"/>
      <c r="L186" s="573"/>
      <c r="M186" s="573"/>
      <c r="N186" s="573"/>
      <c r="O186" s="573"/>
    </row>
    <row r="187" spans="1:15" ht="13.5">
      <c r="A187" s="572"/>
      <c r="B187" s="572"/>
      <c r="C187" s="572"/>
      <c r="D187" s="595"/>
      <c r="E187" s="573"/>
      <c r="F187" s="573"/>
      <c r="G187" s="573"/>
      <c r="H187" s="573"/>
      <c r="I187" s="577"/>
      <c r="J187" s="577"/>
      <c r="K187" s="573"/>
      <c r="L187" s="573"/>
      <c r="M187" s="573"/>
      <c r="N187" s="573"/>
      <c r="O187" s="573"/>
    </row>
    <row r="188" spans="1:15" ht="13.5">
      <c r="A188" s="572">
        <v>11</v>
      </c>
      <c r="B188" s="572" t="s">
        <v>628</v>
      </c>
      <c r="C188" s="572" t="s">
        <v>602</v>
      </c>
      <c r="D188" s="602" t="s">
        <v>1098</v>
      </c>
      <c r="E188" s="577"/>
      <c r="F188" s="577"/>
      <c r="G188" s="577"/>
      <c r="H188" s="577"/>
      <c r="I188" s="577"/>
      <c r="J188" s="577"/>
      <c r="K188" s="577"/>
      <c r="L188" s="577"/>
      <c r="M188" s="573"/>
      <c r="N188" s="573"/>
      <c r="O188" s="573"/>
    </row>
    <row r="189" spans="1:15" ht="13.5">
      <c r="A189" s="572"/>
      <c r="B189" s="572"/>
      <c r="C189" s="572"/>
      <c r="D189" s="1548">
        <f>C185</f>
        <v>41677340.816898346</v>
      </c>
      <c r="E189" s="573"/>
      <c r="F189" s="573"/>
      <c r="G189" s="573"/>
      <c r="H189" s="573"/>
      <c r="I189" s="573"/>
      <c r="J189" s="573"/>
      <c r="K189" s="573"/>
      <c r="L189" s="573"/>
      <c r="M189" s="573"/>
      <c r="N189" s="573"/>
      <c r="O189" s="573"/>
    </row>
    <row r="190" spans="1:15" ht="13.5">
      <c r="A190" s="572"/>
      <c r="B190" s="572"/>
      <c r="C190" s="572"/>
      <c r="D190" s="573"/>
      <c r="E190" s="573"/>
      <c r="F190" s="573"/>
      <c r="G190" s="573"/>
      <c r="H190" s="573"/>
      <c r="I190" s="573"/>
      <c r="J190" s="573"/>
      <c r="K190" s="573"/>
      <c r="L190" s="573"/>
      <c r="M190" s="573"/>
      <c r="N190" s="573"/>
      <c r="O190" s="573"/>
    </row>
    <row r="191" spans="1:15" ht="13.5">
      <c r="A191" s="572"/>
      <c r="B191" s="573"/>
      <c r="C191" s="572"/>
      <c r="D191" s="594"/>
      <c r="E191" s="573"/>
      <c r="F191" s="573"/>
      <c r="G191" s="573"/>
      <c r="H191" s="573"/>
      <c r="I191" s="573"/>
      <c r="J191" s="573"/>
      <c r="K191" s="573"/>
      <c r="L191" s="573"/>
      <c r="M191" s="573"/>
      <c r="N191" s="573"/>
      <c r="O191" s="573"/>
    </row>
    <row r="192" spans="1:15" ht="13.5">
      <c r="A192" s="572"/>
      <c r="B192" s="572"/>
      <c r="C192" s="572"/>
      <c r="D192" s="573"/>
      <c r="E192" s="573"/>
      <c r="F192" s="573"/>
      <c r="G192" s="573"/>
      <c r="H192" s="573"/>
      <c r="I192" s="573"/>
      <c r="J192" s="573"/>
      <c r="K192" s="573"/>
      <c r="L192" s="573"/>
      <c r="M192" s="573"/>
      <c r="N192" s="573"/>
      <c r="O192" s="573"/>
    </row>
    <row r="193" spans="1:15" ht="13.5">
      <c r="A193" s="572"/>
      <c r="B193" s="572"/>
      <c r="C193" s="572"/>
      <c r="D193" s="573"/>
      <c r="E193" s="573"/>
      <c r="F193" s="573"/>
      <c r="G193" s="573"/>
      <c r="H193" s="573"/>
      <c r="I193" s="573"/>
      <c r="J193" s="573"/>
      <c r="K193" s="573"/>
      <c r="L193" s="573"/>
      <c r="M193" s="573"/>
      <c r="N193" s="573"/>
      <c r="O193" s="573"/>
    </row>
    <row r="194" spans="1:15" ht="13.5">
      <c r="A194" s="572"/>
      <c r="B194" s="572"/>
      <c r="C194" s="572"/>
      <c r="D194" s="573"/>
      <c r="E194" s="573"/>
      <c r="F194" s="573"/>
      <c r="G194" s="573"/>
      <c r="H194" s="573"/>
      <c r="I194" s="573"/>
      <c r="J194" s="573"/>
      <c r="K194" s="573"/>
      <c r="L194" s="573"/>
      <c r="M194" s="573"/>
      <c r="N194" s="573"/>
      <c r="O194" s="573"/>
    </row>
    <row r="195" spans="1:15" ht="13.5">
      <c r="A195" s="572"/>
      <c r="B195" s="572"/>
      <c r="C195" s="572"/>
      <c r="D195" s="573"/>
      <c r="E195" s="573"/>
      <c r="F195" s="573"/>
      <c r="G195" s="573"/>
      <c r="H195" s="573"/>
      <c r="I195" s="573"/>
      <c r="J195" s="573"/>
      <c r="K195" s="573"/>
      <c r="L195" s="573"/>
      <c r="M195" s="573"/>
      <c r="N195" s="573"/>
      <c r="O195" s="573"/>
    </row>
    <row r="196" spans="1:15" ht="13.5">
      <c r="A196" s="572"/>
      <c r="B196" s="572"/>
      <c r="C196" s="572"/>
      <c r="D196" s="573"/>
      <c r="E196" s="573"/>
      <c r="F196" s="573"/>
      <c r="G196" s="573"/>
      <c r="H196" s="573"/>
      <c r="I196" s="573"/>
      <c r="J196" s="573"/>
      <c r="K196" s="573"/>
      <c r="L196" s="573"/>
      <c r="M196" s="573"/>
      <c r="N196" s="573"/>
      <c r="O196" s="573"/>
    </row>
    <row r="197" spans="1:15" ht="13.5">
      <c r="A197" s="572"/>
      <c r="B197" s="572"/>
      <c r="C197" s="572"/>
      <c r="D197" s="573"/>
      <c r="E197" s="573"/>
      <c r="F197" s="573"/>
      <c r="G197" s="573"/>
      <c r="H197" s="573"/>
      <c r="I197" s="573"/>
      <c r="J197" s="573"/>
      <c r="K197" s="573"/>
      <c r="L197" s="573"/>
      <c r="M197" s="573"/>
      <c r="N197" s="573"/>
      <c r="O197" s="573"/>
    </row>
    <row r="198" spans="1:15" ht="13.5">
      <c r="A198" s="572"/>
      <c r="B198" s="572"/>
      <c r="C198" s="572"/>
      <c r="D198" s="573"/>
      <c r="E198" s="573"/>
      <c r="F198" s="573"/>
      <c r="G198" s="573"/>
      <c r="H198" s="573"/>
      <c r="I198" s="573"/>
      <c r="J198" s="573"/>
      <c r="K198" s="573"/>
      <c r="L198" s="573"/>
      <c r="M198" s="573"/>
      <c r="N198" s="573"/>
      <c r="O198" s="573"/>
    </row>
    <row r="199" spans="1:15" ht="13.5">
      <c r="A199" s="572"/>
      <c r="B199" s="572"/>
      <c r="C199" s="572"/>
      <c r="D199" s="573"/>
      <c r="E199" s="573"/>
      <c r="F199" s="573"/>
      <c r="G199" s="573"/>
      <c r="H199" s="573"/>
      <c r="I199" s="573"/>
      <c r="J199" s="573"/>
      <c r="K199" s="573"/>
      <c r="L199" s="573"/>
      <c r="M199" s="573"/>
      <c r="N199" s="573"/>
      <c r="O199" s="573"/>
    </row>
    <row r="200" spans="1:15" ht="13.5">
      <c r="A200" s="572"/>
      <c r="B200" s="572"/>
      <c r="C200" s="572"/>
      <c r="D200" s="573"/>
      <c r="E200" s="573"/>
      <c r="F200" s="573"/>
      <c r="G200" s="573"/>
      <c r="H200" s="573"/>
      <c r="I200" s="573"/>
      <c r="J200" s="573"/>
      <c r="K200" s="573"/>
      <c r="L200" s="573"/>
      <c r="M200" s="573"/>
      <c r="N200" s="573"/>
      <c r="O200" s="573"/>
    </row>
    <row r="201" spans="1:15" ht="13.5">
      <c r="A201" s="572"/>
      <c r="B201" s="572"/>
      <c r="C201" s="572"/>
      <c r="D201" s="573"/>
      <c r="E201" s="573"/>
      <c r="F201" s="573"/>
      <c r="G201" s="573"/>
      <c r="H201" s="573"/>
      <c r="I201" s="573"/>
      <c r="J201" s="573"/>
      <c r="K201" s="573"/>
      <c r="L201" s="573"/>
      <c r="M201" s="573"/>
      <c r="N201" s="573"/>
      <c r="O201" s="573"/>
    </row>
    <row r="202" spans="1:15" ht="13.5">
      <c r="A202" s="572"/>
      <c r="B202" s="572"/>
      <c r="C202" s="572"/>
      <c r="D202" s="573"/>
      <c r="E202" s="573"/>
      <c r="F202" s="573"/>
      <c r="G202" s="573"/>
      <c r="H202" s="573"/>
      <c r="I202" s="573"/>
      <c r="J202" s="573"/>
      <c r="K202" s="573"/>
      <c r="L202" s="573"/>
      <c r="M202" s="573"/>
      <c r="N202" s="573"/>
      <c r="O202" s="573"/>
    </row>
    <row r="203" spans="1:15" ht="13.5">
      <c r="A203" s="572"/>
      <c r="B203" s="572"/>
      <c r="C203" s="572"/>
      <c r="D203" s="573"/>
      <c r="E203" s="573"/>
      <c r="F203" s="573"/>
      <c r="G203" s="573"/>
      <c r="H203" s="573"/>
      <c r="I203" s="573"/>
      <c r="J203" s="573"/>
      <c r="K203" s="573"/>
      <c r="L203" s="573"/>
      <c r="M203" s="573"/>
      <c r="N203" s="573"/>
      <c r="O203" s="573"/>
    </row>
    <row r="204" spans="1:15" ht="13.5">
      <c r="A204" s="572"/>
      <c r="B204" s="572"/>
      <c r="C204" s="572"/>
      <c r="D204" s="573"/>
      <c r="E204" s="573"/>
      <c r="F204" s="573"/>
      <c r="G204" s="573"/>
      <c r="H204" s="573"/>
      <c r="I204" s="573"/>
      <c r="J204" s="573"/>
      <c r="K204" s="573"/>
      <c r="L204" s="573"/>
      <c r="M204" s="573"/>
      <c r="N204" s="573"/>
      <c r="O204" s="573"/>
    </row>
    <row r="205" spans="1:15" ht="13.5">
      <c r="A205" s="572"/>
      <c r="B205" s="572"/>
      <c r="C205" s="572"/>
      <c r="D205" s="573"/>
      <c r="E205" s="573"/>
      <c r="F205" s="573"/>
      <c r="G205" s="573"/>
      <c r="H205" s="573"/>
      <c r="I205" s="573"/>
      <c r="J205" s="573"/>
      <c r="K205" s="573"/>
      <c r="L205" s="573"/>
      <c r="M205" s="573"/>
      <c r="N205" s="573"/>
      <c r="O205" s="573"/>
    </row>
    <row r="206" spans="1:15" ht="13.5">
      <c r="A206" s="572"/>
      <c r="B206" s="572"/>
      <c r="C206" s="572"/>
      <c r="D206" s="573"/>
      <c r="E206" s="573"/>
      <c r="F206" s="573"/>
      <c r="G206" s="573"/>
      <c r="H206" s="573"/>
      <c r="I206" s="573"/>
      <c r="J206" s="573"/>
      <c r="K206" s="573"/>
      <c r="L206" s="573"/>
      <c r="M206" s="573"/>
      <c r="N206" s="573"/>
      <c r="O206" s="573"/>
    </row>
    <row r="207" spans="1:15" ht="15.75">
      <c r="A207" s="620"/>
      <c r="B207" s="572"/>
      <c r="C207" s="572"/>
      <c r="D207" s="573"/>
      <c r="E207" s="573"/>
      <c r="F207" s="573"/>
      <c r="G207" s="573"/>
      <c r="H207" s="573"/>
      <c r="I207" s="573"/>
      <c r="J207" s="573"/>
      <c r="K207" s="573"/>
      <c r="L207" s="573"/>
      <c r="M207" s="573"/>
      <c r="N207" s="573"/>
      <c r="O207" s="573"/>
    </row>
    <row r="208" spans="1:15" ht="15.75">
      <c r="A208" s="620"/>
      <c r="B208" s="572"/>
      <c r="C208" s="572"/>
      <c r="D208" s="573"/>
      <c r="E208" s="573"/>
      <c r="F208" s="573"/>
      <c r="G208" s="573"/>
      <c r="H208" s="573"/>
      <c r="I208" s="573"/>
      <c r="J208" s="573"/>
      <c r="K208" s="573"/>
      <c r="L208" s="573"/>
      <c r="M208" s="573"/>
      <c r="N208" s="573"/>
      <c r="O208" s="573"/>
    </row>
    <row r="209" spans="1:15" ht="15.75">
      <c r="A209" s="620"/>
      <c r="B209" s="620"/>
      <c r="C209" s="620"/>
      <c r="D209" s="621"/>
      <c r="E209" s="621"/>
      <c r="F209" s="621"/>
      <c r="G209" s="621"/>
      <c r="H209" s="621"/>
      <c r="I209" s="621"/>
      <c r="J209" s="621"/>
      <c r="K209" s="621"/>
      <c r="L209" s="621"/>
      <c r="M209" s="621"/>
      <c r="N209" s="621"/>
      <c r="O209" s="621"/>
    </row>
    <row r="210" spans="1:15" ht="15.75">
      <c r="A210" s="620"/>
      <c r="B210" s="620"/>
      <c r="C210" s="620"/>
      <c r="D210" s="621"/>
      <c r="E210" s="621"/>
      <c r="F210" s="621"/>
      <c r="G210" s="621"/>
      <c r="H210" s="621"/>
      <c r="I210" s="621"/>
      <c r="J210" s="621"/>
      <c r="K210" s="621"/>
      <c r="L210" s="621"/>
      <c r="M210" s="621"/>
      <c r="N210" s="621"/>
      <c r="O210" s="621"/>
    </row>
    <row r="211" spans="1:15" ht="13.5">
      <c r="J211" s="573"/>
      <c r="K211" s="573"/>
    </row>
    <row r="212" spans="1:15" ht="13.5">
      <c r="J212" s="573"/>
      <c r="K212" s="573"/>
    </row>
    <row r="213" spans="1:15" ht="13.5">
      <c r="J213" s="573"/>
      <c r="K213" s="573"/>
    </row>
    <row r="214" spans="1:15" ht="13.5">
      <c r="J214" s="573"/>
      <c r="K214" s="573"/>
    </row>
    <row r="215" spans="1:15" ht="13.5">
      <c r="J215" s="573"/>
      <c r="K215" s="573"/>
    </row>
    <row r="216" spans="1:15" ht="13.5">
      <c r="J216" s="573"/>
      <c r="K216" s="573"/>
    </row>
    <row r="217" spans="1:15" ht="13.5">
      <c r="J217" s="573"/>
      <c r="K217" s="573"/>
    </row>
    <row r="218" spans="1:15" ht="13.5">
      <c r="J218" s="573"/>
      <c r="K218" s="573"/>
    </row>
    <row r="219" spans="1:15" ht="13.5">
      <c r="J219" s="573"/>
      <c r="K219" s="573"/>
    </row>
    <row r="220" spans="1:15" ht="13.5">
      <c r="J220" s="573"/>
      <c r="K220" s="573"/>
    </row>
    <row r="221" spans="1:15" ht="13.5">
      <c r="J221" s="573"/>
      <c r="K221" s="573"/>
    </row>
  </sheetData>
  <mergeCells count="3">
    <mergeCell ref="D119:E119"/>
    <mergeCell ref="A164:A176"/>
    <mergeCell ref="N81:N82"/>
  </mergeCells>
  <phoneticPr fontId="73" type="noConversion"/>
  <printOptions gridLines="1"/>
  <pageMargins left="0.78" right="0.7" top="0.32" bottom="0.5" header="0.3" footer="0.3"/>
  <pageSetup scale="47" fitToHeight="0" orientation="landscape" r:id="rId1"/>
  <rowBreaks count="2" manualBreakCount="2">
    <brk id="74" max="15" man="1"/>
    <brk id="15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89"/>
  <sheetViews>
    <sheetView topLeftCell="A40" zoomScale="75" zoomScaleNormal="75" workbookViewId="0">
      <selection activeCell="D69" sqref="D69"/>
    </sheetView>
  </sheetViews>
  <sheetFormatPr defaultRowHeight="12.75"/>
  <cols>
    <col min="3" max="3" width="17.5703125" customWidth="1"/>
    <col min="4" max="4" width="17.140625" customWidth="1"/>
    <col min="5" max="5" width="30.7109375" customWidth="1"/>
    <col min="6" max="6" width="16.5703125" customWidth="1"/>
    <col min="7" max="7" width="19" customWidth="1"/>
    <col min="8" max="8" width="17.140625" customWidth="1"/>
    <col min="9" max="9" width="11" customWidth="1"/>
    <col min="10" max="10" width="15.140625" customWidth="1"/>
    <col min="12" max="12" width="14.140625" customWidth="1"/>
    <col min="13" max="13" width="15.42578125" customWidth="1"/>
    <col min="14" max="14" width="17.85546875" customWidth="1"/>
    <col min="17" max="17" width="15.28515625" customWidth="1"/>
  </cols>
  <sheetData>
    <row r="2" spans="1:29" ht="15">
      <c r="A2" s="1981" t="s">
        <v>447</v>
      </c>
      <c r="B2" s="1981"/>
      <c r="C2" s="1981"/>
      <c r="D2" s="1981"/>
      <c r="E2" s="1981"/>
      <c r="F2" s="1981"/>
      <c r="G2" s="1981"/>
      <c r="H2" s="1981"/>
      <c r="I2" s="1981"/>
      <c r="J2" s="1981"/>
      <c r="K2" s="1981"/>
      <c r="L2" s="1981"/>
      <c r="M2" s="1981"/>
      <c r="N2" s="1981"/>
      <c r="O2" s="1981"/>
      <c r="P2" s="1981"/>
      <c r="Q2" s="1981"/>
    </row>
    <row r="3" spans="1:29" ht="18">
      <c r="A3" s="2015" t="s">
        <v>418</v>
      </c>
      <c r="B3" s="2015"/>
      <c r="C3" s="2015"/>
      <c r="D3" s="2015"/>
      <c r="E3" s="2015"/>
      <c r="F3" s="2015"/>
      <c r="G3" s="2015"/>
      <c r="H3" s="2015"/>
      <c r="I3" s="2015"/>
      <c r="J3" s="2015"/>
      <c r="K3" s="2015"/>
      <c r="L3" s="2015"/>
      <c r="M3" s="2015"/>
      <c r="N3" s="2015"/>
      <c r="O3" s="2015"/>
      <c r="P3" s="2015"/>
      <c r="Q3" s="2015"/>
      <c r="R3" s="421"/>
      <c r="S3" s="421"/>
    </row>
    <row r="4" spans="1:29">
      <c r="A4" s="421"/>
      <c r="B4" s="421"/>
      <c r="C4" s="421"/>
      <c r="D4" s="421"/>
      <c r="E4" s="1765" t="s">
        <v>1105</v>
      </c>
      <c r="F4" s="1766">
        <v>2021</v>
      </c>
      <c r="G4" s="421"/>
      <c r="H4" s="421"/>
      <c r="I4" s="421"/>
      <c r="J4" s="421"/>
      <c r="K4" s="421"/>
      <c r="L4" s="421"/>
      <c r="M4" s="421"/>
      <c r="N4" s="421"/>
      <c r="O4" s="421"/>
      <c r="P4" s="421"/>
      <c r="Q4" s="421"/>
      <c r="R4" s="421"/>
      <c r="S4" s="421"/>
    </row>
    <row r="5" spans="1:29" ht="16.5">
      <c r="A5" s="420"/>
      <c r="B5" s="420"/>
      <c r="C5" s="420"/>
      <c r="D5" s="419"/>
      <c r="E5" s="1765" t="s">
        <v>1106</v>
      </c>
      <c r="F5" s="1767">
        <v>2022</v>
      </c>
      <c r="G5" s="419"/>
      <c r="H5" s="419"/>
      <c r="I5" s="419"/>
      <c r="J5" s="571"/>
      <c r="K5" s="419"/>
      <c r="L5" s="419"/>
      <c r="M5" s="419"/>
      <c r="N5" s="419"/>
      <c r="O5" s="419"/>
      <c r="P5" s="419"/>
      <c r="Q5" s="419"/>
      <c r="R5" s="419"/>
      <c r="S5" s="419"/>
      <c r="Y5" s="97"/>
      <c r="Z5" s="97"/>
      <c r="AA5" s="97"/>
      <c r="AB5" s="97"/>
      <c r="AC5" s="97"/>
    </row>
    <row r="6" spans="1:29" ht="13.5">
      <c r="A6" s="572" t="s">
        <v>621</v>
      </c>
      <c r="B6" s="572" t="s">
        <v>622</v>
      </c>
      <c r="C6" s="572" t="s">
        <v>623</v>
      </c>
      <c r="D6" s="572" t="s">
        <v>624</v>
      </c>
      <c r="E6" s="1765" t="s">
        <v>1107</v>
      </c>
      <c r="F6" s="1767">
        <v>2023</v>
      </c>
      <c r="G6" s="573"/>
      <c r="H6" s="573"/>
      <c r="I6" s="573"/>
      <c r="J6" s="573"/>
      <c r="K6" s="573"/>
      <c r="L6" s="573"/>
      <c r="M6" s="573"/>
      <c r="N6" s="573"/>
      <c r="O6" s="573"/>
      <c r="P6" s="573"/>
      <c r="Q6" s="573"/>
      <c r="R6" s="573"/>
      <c r="S6" s="573"/>
      <c r="Y6" s="597"/>
      <c r="Z6" s="597"/>
      <c r="AA6" s="597"/>
      <c r="AB6" s="597"/>
      <c r="AC6" s="97"/>
    </row>
    <row r="7" spans="1:29" ht="13.5">
      <c r="A7" s="420"/>
      <c r="B7" s="572"/>
      <c r="C7" s="572"/>
      <c r="D7" s="573"/>
      <c r="E7" s="573"/>
      <c r="F7" s="573"/>
      <c r="G7" s="573"/>
      <c r="H7" s="573"/>
      <c r="I7" s="573"/>
      <c r="J7" s="573"/>
      <c r="K7" s="573"/>
      <c r="L7" s="573"/>
      <c r="M7" s="573"/>
      <c r="N7" s="573"/>
      <c r="O7" s="573"/>
      <c r="P7" s="573"/>
      <c r="Q7" s="573"/>
      <c r="R7" s="573"/>
      <c r="S7" s="573"/>
      <c r="Y7" s="844"/>
      <c r="Z7" s="844"/>
      <c r="AA7" s="844"/>
      <c r="AB7" s="844"/>
      <c r="AC7" s="97"/>
    </row>
    <row r="8" spans="1:29" ht="13.5">
      <c r="A8" s="574" t="s">
        <v>625</v>
      </c>
      <c r="B8" s="572"/>
      <c r="C8" s="572"/>
      <c r="D8" s="573"/>
      <c r="E8" s="573"/>
      <c r="F8" s="573"/>
      <c r="G8" s="573"/>
      <c r="H8" s="573"/>
      <c r="I8" s="573"/>
      <c r="J8" s="573"/>
      <c r="K8" s="573"/>
      <c r="L8" s="573"/>
      <c r="M8" s="573"/>
      <c r="N8" s="573"/>
      <c r="S8" s="573"/>
      <c r="Y8" s="844"/>
      <c r="Z8" s="844"/>
      <c r="AA8" s="844"/>
      <c r="AB8" s="844"/>
      <c r="AC8" s="97"/>
    </row>
    <row r="9" spans="1:29" ht="15.75">
      <c r="A9" s="575">
        <v>1</v>
      </c>
      <c r="B9" s="575" t="s">
        <v>626</v>
      </c>
      <c r="C9" s="575" t="s">
        <v>601</v>
      </c>
      <c r="D9" s="1778" t="s">
        <v>1092</v>
      </c>
      <c r="E9" s="577"/>
      <c r="F9" s="577"/>
      <c r="G9" s="577"/>
      <c r="H9" s="577"/>
      <c r="I9" s="577"/>
      <c r="J9" s="577"/>
      <c r="K9" s="577"/>
      <c r="L9" s="577"/>
      <c r="M9" s="577"/>
      <c r="N9" s="577"/>
      <c r="S9" s="577"/>
      <c r="Y9" s="844"/>
      <c r="Z9" s="845"/>
      <c r="AA9" s="845"/>
      <c r="AB9" s="846"/>
      <c r="AC9" s="97"/>
    </row>
    <row r="10" spans="1:29" ht="13.5">
      <c r="A10" s="575">
        <v>2</v>
      </c>
      <c r="B10" s="575" t="s">
        <v>626</v>
      </c>
      <c r="C10" s="575" t="s">
        <v>601</v>
      </c>
      <c r="D10" t="s">
        <v>1093</v>
      </c>
      <c r="E10" s="577"/>
      <c r="F10" s="577"/>
      <c r="G10" s="577"/>
      <c r="H10" s="577"/>
      <c r="I10" s="577"/>
      <c r="J10" s="577"/>
      <c r="K10" s="577"/>
      <c r="L10" s="577"/>
      <c r="M10" s="577"/>
      <c r="N10" s="577"/>
      <c r="S10" s="577"/>
      <c r="Y10" s="844"/>
      <c r="Z10" s="845"/>
      <c r="AA10" s="845"/>
      <c r="AB10" s="846"/>
      <c r="AC10" s="97"/>
    </row>
    <row r="11" spans="1:29" ht="13.5">
      <c r="A11" s="575">
        <v>3</v>
      </c>
      <c r="B11" s="575" t="s">
        <v>626</v>
      </c>
      <c r="C11" s="575" t="s">
        <v>601</v>
      </c>
      <c r="D11" t="s">
        <v>1094</v>
      </c>
      <c r="E11" s="577"/>
      <c r="F11" s="577"/>
      <c r="G11" s="577"/>
      <c r="H11" s="577"/>
      <c r="I11" s="577"/>
      <c r="J11" s="577"/>
      <c r="K11" s="577"/>
      <c r="L11" s="577"/>
      <c r="M11" s="577"/>
      <c r="N11" s="577"/>
      <c r="S11" s="577"/>
      <c r="Y11" s="844"/>
      <c r="Z11" s="845"/>
      <c r="AA11" s="845"/>
      <c r="AB11" s="846"/>
      <c r="AC11" s="97"/>
    </row>
    <row r="12" spans="1:29" ht="13.5">
      <c r="A12" s="575">
        <v>4</v>
      </c>
      <c r="B12" s="575" t="s">
        <v>627</v>
      </c>
      <c r="C12" s="575" t="s">
        <v>601</v>
      </c>
      <c r="D12" t="s">
        <v>962</v>
      </c>
      <c r="E12" s="577"/>
      <c r="F12" s="577"/>
      <c r="G12" s="577"/>
      <c r="H12" s="577"/>
      <c r="I12" s="577"/>
      <c r="J12" s="577"/>
      <c r="K12" s="577"/>
      <c r="L12" s="577"/>
      <c r="M12" s="577"/>
      <c r="N12" s="577"/>
      <c r="S12" s="577"/>
      <c r="Y12" s="597"/>
      <c r="Z12" s="847"/>
      <c r="AA12" s="847"/>
      <c r="AB12" s="846"/>
      <c r="AC12" s="97"/>
    </row>
    <row r="13" spans="1:29" ht="13.5">
      <c r="A13" s="575">
        <v>5</v>
      </c>
      <c r="B13" s="578" t="s">
        <v>628</v>
      </c>
      <c r="C13" s="575" t="s">
        <v>601</v>
      </c>
      <c r="D13" t="s">
        <v>1095</v>
      </c>
      <c r="E13" s="577"/>
      <c r="F13" s="577"/>
      <c r="G13" s="577"/>
      <c r="H13" s="577"/>
      <c r="I13" s="577"/>
      <c r="J13" s="577"/>
      <c r="K13" s="577"/>
      <c r="L13" s="577"/>
      <c r="M13" s="577"/>
      <c r="N13" s="577"/>
      <c r="S13" s="577"/>
      <c r="Y13" s="597"/>
      <c r="Z13" s="847"/>
      <c r="AA13" s="847"/>
      <c r="AB13" s="846"/>
      <c r="AC13" s="97"/>
    </row>
    <row r="14" spans="1:29" ht="13.5">
      <c r="A14" s="572">
        <v>6</v>
      </c>
      <c r="B14" s="572" t="s">
        <v>626</v>
      </c>
      <c r="C14" s="575" t="s">
        <v>602</v>
      </c>
      <c r="D14" t="s">
        <v>1096</v>
      </c>
      <c r="E14" s="573"/>
      <c r="F14" s="573"/>
      <c r="G14" s="573"/>
      <c r="H14" s="573"/>
      <c r="I14" s="573"/>
      <c r="J14" s="573"/>
      <c r="K14" s="573"/>
      <c r="L14" s="573"/>
      <c r="M14" s="573"/>
      <c r="N14" s="573"/>
      <c r="S14" s="573"/>
      <c r="Y14" s="597"/>
      <c r="Z14" s="847"/>
      <c r="AA14" s="847"/>
      <c r="AB14" s="846"/>
      <c r="AC14" s="97"/>
    </row>
    <row r="15" spans="1:29" ht="13.5">
      <c r="A15" s="572">
        <v>7</v>
      </c>
      <c r="B15" s="572" t="s">
        <v>626</v>
      </c>
      <c r="C15" s="575" t="s">
        <v>602</v>
      </c>
      <c r="D15" t="s">
        <v>995</v>
      </c>
      <c r="E15" s="580"/>
      <c r="F15" s="580"/>
      <c r="G15" s="580"/>
      <c r="H15" s="580"/>
      <c r="I15" s="580"/>
      <c r="J15" s="580"/>
      <c r="K15" s="573"/>
      <c r="L15" s="573"/>
      <c r="M15" s="573"/>
      <c r="N15" s="573"/>
      <c r="S15" s="573"/>
      <c r="Y15" s="597"/>
      <c r="Z15" s="847"/>
      <c r="AA15" s="847"/>
      <c r="AB15" s="846"/>
      <c r="AC15" s="97"/>
    </row>
    <row r="16" spans="1:29" ht="13.5">
      <c r="A16" s="572">
        <v>8</v>
      </c>
      <c r="B16" s="572" t="s">
        <v>626</v>
      </c>
      <c r="C16" s="575" t="s">
        <v>602</v>
      </c>
      <c r="D16" t="s">
        <v>981</v>
      </c>
      <c r="E16" s="573"/>
      <c r="F16" s="573"/>
      <c r="G16" s="573"/>
      <c r="H16" s="573"/>
      <c r="I16" s="573"/>
      <c r="J16" s="573"/>
      <c r="K16" s="573"/>
      <c r="L16" s="573"/>
      <c r="M16" s="573"/>
      <c r="N16" s="573"/>
      <c r="S16" s="573"/>
      <c r="Y16" s="597"/>
      <c r="Z16" s="847"/>
      <c r="AA16" s="847"/>
      <c r="AB16" s="846"/>
      <c r="AC16" s="97"/>
    </row>
    <row r="17" spans="1:29" ht="13.5">
      <c r="A17" s="572">
        <v>9</v>
      </c>
      <c r="B17" s="572" t="s">
        <v>626</v>
      </c>
      <c r="C17" s="575" t="s">
        <v>602</v>
      </c>
      <c r="D17" t="s">
        <v>1097</v>
      </c>
      <c r="E17" s="573"/>
      <c r="F17" s="573"/>
      <c r="G17" s="573"/>
      <c r="H17" s="573"/>
      <c r="I17" s="573"/>
      <c r="J17" s="573"/>
      <c r="K17" s="573"/>
      <c r="L17" s="573"/>
      <c r="M17" s="573"/>
      <c r="N17" s="573"/>
      <c r="S17" s="573"/>
      <c r="Y17" s="597"/>
      <c r="Z17" s="847"/>
      <c r="AA17" s="847"/>
      <c r="AB17" s="846"/>
      <c r="AC17" s="97"/>
    </row>
    <row r="18" spans="1:29" ht="13.5">
      <c r="A18" s="572">
        <v>10</v>
      </c>
      <c r="B18" s="572" t="s">
        <v>627</v>
      </c>
      <c r="C18" s="575" t="s">
        <v>602</v>
      </c>
      <c r="D18" t="s">
        <v>460</v>
      </c>
      <c r="E18" s="573"/>
      <c r="F18" s="573"/>
      <c r="G18" s="573"/>
      <c r="H18" s="573"/>
      <c r="I18" s="573"/>
      <c r="J18" s="573"/>
      <c r="K18" s="573"/>
      <c r="L18" s="573"/>
      <c r="M18" s="573"/>
      <c r="N18" s="573"/>
      <c r="S18" s="573"/>
      <c r="Y18" s="597"/>
      <c r="Z18" s="847"/>
      <c r="AA18" s="847"/>
      <c r="AB18" s="846"/>
      <c r="AC18" s="97"/>
    </row>
    <row r="19" spans="1:29" ht="13.5">
      <c r="A19" s="572">
        <v>11</v>
      </c>
      <c r="B19" s="581" t="s">
        <v>628</v>
      </c>
      <c r="C19" s="575" t="s">
        <v>602</v>
      </c>
      <c r="D19" t="s">
        <v>1098</v>
      </c>
      <c r="E19" s="573"/>
      <c r="F19" s="573"/>
      <c r="G19" s="573"/>
      <c r="H19" s="573"/>
      <c r="I19" s="573"/>
      <c r="J19" s="573"/>
      <c r="K19" s="573"/>
      <c r="L19" s="573"/>
      <c r="M19" s="573"/>
      <c r="N19" s="573"/>
      <c r="S19" s="573"/>
      <c r="Y19" s="597"/>
      <c r="Z19" s="847"/>
      <c r="AA19" s="847"/>
      <c r="AB19" s="847"/>
      <c r="AC19" s="97"/>
    </row>
    <row r="20" spans="1:29" ht="13.5">
      <c r="A20" s="572"/>
      <c r="B20" s="581"/>
      <c r="C20" s="572"/>
      <c r="D20" s="579"/>
      <c r="E20" s="573"/>
      <c r="F20" s="573"/>
      <c r="G20" s="573"/>
      <c r="H20" s="573"/>
      <c r="I20" s="573"/>
      <c r="J20" s="573"/>
      <c r="K20" s="573"/>
      <c r="L20" s="573"/>
      <c r="M20" s="573"/>
      <c r="N20" s="573"/>
      <c r="S20" s="573"/>
      <c r="Y20" s="597"/>
      <c r="Z20" s="597"/>
      <c r="AA20" s="597"/>
      <c r="AB20" s="597"/>
      <c r="AC20" s="97"/>
    </row>
    <row r="21" spans="1:29" ht="13.5">
      <c r="A21" s="582"/>
      <c r="B21" s="575"/>
      <c r="C21" s="572"/>
      <c r="D21" s="583"/>
      <c r="E21" s="573"/>
      <c r="F21" s="573"/>
      <c r="G21" s="573"/>
      <c r="H21" s="573"/>
      <c r="I21" s="573"/>
      <c r="J21" s="573"/>
      <c r="K21" s="573"/>
      <c r="L21" s="573"/>
      <c r="M21" s="573"/>
      <c r="N21" s="573"/>
      <c r="S21" s="573"/>
      <c r="Y21" s="573"/>
      <c r="Z21" s="573"/>
      <c r="AA21" s="573"/>
      <c r="AB21" s="573"/>
    </row>
    <row r="22" spans="1:29" ht="13.5">
      <c r="A22" s="572">
        <v>1</v>
      </c>
      <c r="B22" s="572" t="s">
        <v>626</v>
      </c>
      <c r="C22" s="572" t="s">
        <v>601</v>
      </c>
      <c r="D22" s="573" t="s">
        <v>960</v>
      </c>
      <c r="E22" s="573"/>
      <c r="F22" s="573"/>
      <c r="G22" s="573"/>
      <c r="H22" s="573"/>
      <c r="I22" s="573"/>
      <c r="J22" s="419"/>
      <c r="K22" s="573"/>
      <c r="L22" s="573"/>
      <c r="M22" s="573"/>
      <c r="N22" s="573"/>
      <c r="S22" s="573"/>
    </row>
    <row r="23" spans="1:29" ht="13.5">
      <c r="A23" s="572"/>
      <c r="B23" s="572"/>
      <c r="C23" s="572"/>
      <c r="D23" s="584"/>
      <c r="E23" s="573" t="s">
        <v>366</v>
      </c>
      <c r="F23" s="573"/>
      <c r="G23" s="1779" t="s">
        <v>1089</v>
      </c>
      <c r="H23" s="1500"/>
      <c r="I23" s="1500"/>
      <c r="J23" s="1500"/>
      <c r="K23" s="1500"/>
      <c r="L23" s="573"/>
      <c r="M23" s="573"/>
      <c r="N23" s="573"/>
      <c r="S23" s="573"/>
    </row>
    <row r="24" spans="1:29" ht="13.5">
      <c r="A24" s="572"/>
      <c r="B24" s="572"/>
      <c r="C24" s="572"/>
      <c r="D24" s="586"/>
      <c r="E24" s="573"/>
      <c r="F24" s="573"/>
      <c r="G24" s="573"/>
      <c r="H24" s="573"/>
      <c r="I24" s="573"/>
      <c r="J24" s="573"/>
      <c r="K24" s="573"/>
      <c r="L24" s="573"/>
      <c r="M24" s="573"/>
      <c r="N24" s="573"/>
      <c r="O24" s="573"/>
      <c r="P24" s="573"/>
      <c r="Q24" s="573"/>
      <c r="R24" s="573"/>
      <c r="S24" s="573"/>
    </row>
    <row r="25" spans="1:29" ht="13.5">
      <c r="A25" s="572">
        <v>2</v>
      </c>
      <c r="B25" s="572" t="s">
        <v>626</v>
      </c>
      <c r="C25" s="572" t="s">
        <v>601</v>
      </c>
      <c r="D25" s="579" t="s">
        <v>961</v>
      </c>
      <c r="E25" s="573"/>
      <c r="F25" s="573"/>
      <c r="G25" s="573"/>
      <c r="H25" s="573"/>
      <c r="I25" s="573"/>
      <c r="J25" s="419"/>
      <c r="K25" s="573"/>
      <c r="L25" s="573"/>
      <c r="M25" s="573"/>
      <c r="N25" s="573"/>
      <c r="O25" s="573"/>
      <c r="P25" s="573"/>
      <c r="Q25" s="573"/>
      <c r="R25" s="573"/>
      <c r="S25" s="573"/>
    </row>
    <row r="26" spans="1:29" ht="13.5">
      <c r="A26" s="572"/>
      <c r="C26" s="572"/>
      <c r="D26" s="579"/>
      <c r="E26" s="573"/>
      <c r="F26" s="573"/>
      <c r="G26" s="573"/>
      <c r="H26" s="573"/>
      <c r="I26" s="573"/>
      <c r="J26" s="419"/>
      <c r="K26" s="573"/>
      <c r="L26" s="573"/>
      <c r="M26" s="573"/>
      <c r="N26" s="573"/>
      <c r="O26" s="573"/>
      <c r="P26" s="573"/>
      <c r="Q26" s="573"/>
      <c r="R26" s="573"/>
      <c r="S26" s="573"/>
    </row>
    <row r="27" spans="1:29" ht="13.5">
      <c r="A27" s="572"/>
      <c r="B27" s="419"/>
      <c r="C27" s="479" t="s">
        <v>263</v>
      </c>
      <c r="D27" s="479" t="s">
        <v>264</v>
      </c>
      <c r="E27" s="479" t="s">
        <v>356</v>
      </c>
      <c r="F27" s="479" t="s">
        <v>265</v>
      </c>
      <c r="G27" s="479" t="s">
        <v>266</v>
      </c>
      <c r="H27" s="479" t="s">
        <v>262</v>
      </c>
      <c r="I27" s="479"/>
      <c r="J27" s="479" t="s">
        <v>570</v>
      </c>
      <c r="K27" s="479" t="s">
        <v>571</v>
      </c>
      <c r="L27" s="479" t="s">
        <v>963</v>
      </c>
      <c r="M27" s="575" t="s">
        <v>964</v>
      </c>
      <c r="N27" s="572" t="s">
        <v>965</v>
      </c>
      <c r="O27" s="572" t="s">
        <v>966</v>
      </c>
      <c r="P27" s="572"/>
      <c r="Q27" s="575"/>
      <c r="R27" s="575"/>
      <c r="S27" s="572"/>
    </row>
    <row r="28" spans="1:29" ht="13.5">
      <c r="A28" s="572"/>
      <c r="B28" s="419"/>
      <c r="C28" s="572" t="s">
        <v>219</v>
      </c>
      <c r="D28" s="572" t="s">
        <v>219</v>
      </c>
      <c r="E28" s="572" t="s">
        <v>219</v>
      </c>
      <c r="F28" s="572" t="s">
        <v>219</v>
      </c>
      <c r="G28" s="572" t="s">
        <v>219</v>
      </c>
      <c r="H28" s="572" t="s">
        <v>219</v>
      </c>
      <c r="I28" s="572"/>
      <c r="J28" s="572" t="s">
        <v>72</v>
      </c>
      <c r="K28" s="572" t="s">
        <v>72</v>
      </c>
      <c r="L28" s="572" t="s">
        <v>72</v>
      </c>
      <c r="M28" s="572" t="s">
        <v>72</v>
      </c>
      <c r="N28" s="572" t="s">
        <v>72</v>
      </c>
      <c r="O28" s="572" t="s">
        <v>72</v>
      </c>
      <c r="P28" s="572"/>
      <c r="Q28" s="575"/>
      <c r="R28" s="2"/>
    </row>
    <row r="29" spans="1:29" ht="13.5">
      <c r="A29" s="572"/>
      <c r="B29" s="573"/>
      <c r="C29" s="572" t="s">
        <v>68</v>
      </c>
      <c r="D29" s="572" t="s">
        <v>68</v>
      </c>
      <c r="E29" s="572" t="s">
        <v>68</v>
      </c>
      <c r="F29" s="572" t="s">
        <v>68</v>
      </c>
      <c r="G29" s="623"/>
      <c r="H29" s="623"/>
      <c r="I29" s="572"/>
      <c r="J29" s="572" t="s">
        <v>73</v>
      </c>
      <c r="K29" s="572" t="s">
        <v>74</v>
      </c>
      <c r="L29" s="572" t="s">
        <v>75</v>
      </c>
      <c r="M29" s="572" t="s">
        <v>76</v>
      </c>
      <c r="N29" s="572" t="s">
        <v>77</v>
      </c>
      <c r="O29" s="572" t="s">
        <v>78</v>
      </c>
      <c r="P29" s="572"/>
      <c r="Q29" s="577"/>
      <c r="R29" s="2"/>
    </row>
    <row r="30" spans="1:29" ht="13.5">
      <c r="A30" s="572"/>
      <c r="B30" s="573"/>
      <c r="C30" s="572"/>
      <c r="D30" s="572"/>
      <c r="E30" s="572"/>
      <c r="F30" s="572"/>
      <c r="G30" s="572" t="s">
        <v>69</v>
      </c>
      <c r="H30" s="572" t="s">
        <v>70</v>
      </c>
      <c r="I30" s="572"/>
      <c r="J30" s="572"/>
      <c r="K30" s="572"/>
      <c r="L30" s="572"/>
      <c r="M30" s="572"/>
      <c r="N30" s="572"/>
      <c r="O30" s="572"/>
      <c r="Q30" s="577"/>
      <c r="R30" s="2"/>
    </row>
    <row r="31" spans="1:29" ht="13.5">
      <c r="A31" s="572"/>
      <c r="B31" s="573"/>
      <c r="C31" s="572"/>
      <c r="D31" s="587"/>
      <c r="E31" s="587"/>
      <c r="F31" s="587"/>
      <c r="G31" s="572"/>
      <c r="H31" s="572"/>
      <c r="I31" s="622"/>
      <c r="J31" s="572"/>
      <c r="K31" s="572"/>
      <c r="L31" s="588"/>
      <c r="M31" s="572"/>
      <c r="N31" s="572"/>
      <c r="O31" s="583"/>
      <c r="Q31" s="577"/>
      <c r="R31" s="2"/>
    </row>
    <row r="32" spans="1:29" ht="13.5">
      <c r="A32" s="572"/>
      <c r="B32" s="573" t="s">
        <v>629</v>
      </c>
      <c r="C32" s="843"/>
      <c r="D32" s="589"/>
      <c r="E32" s="589"/>
      <c r="F32" s="589"/>
      <c r="G32" s="589"/>
      <c r="H32" s="589"/>
      <c r="I32" s="622"/>
      <c r="J32" s="588">
        <f t="shared" ref="J32:O32" si="0">C32</f>
        <v>0</v>
      </c>
      <c r="K32" s="588">
        <f t="shared" si="0"/>
        <v>0</v>
      </c>
      <c r="L32" s="588">
        <f t="shared" si="0"/>
        <v>0</v>
      </c>
      <c r="M32" s="588">
        <f t="shared" si="0"/>
        <v>0</v>
      </c>
      <c r="N32" s="588">
        <f t="shared" si="0"/>
        <v>0</v>
      </c>
      <c r="O32" s="588">
        <f t="shared" si="0"/>
        <v>0</v>
      </c>
      <c r="P32" s="588"/>
      <c r="Q32" s="577"/>
      <c r="R32" s="2"/>
    </row>
    <row r="33" spans="1:18" ht="13.5">
      <c r="A33" s="572"/>
      <c r="B33" s="573" t="s">
        <v>630</v>
      </c>
      <c r="C33" s="843"/>
      <c r="D33" s="589"/>
      <c r="E33" s="589"/>
      <c r="F33" s="589"/>
      <c r="G33" s="589"/>
      <c r="H33" s="589"/>
      <c r="I33" s="622"/>
      <c r="J33" s="588">
        <f>J32+C33</f>
        <v>0</v>
      </c>
      <c r="K33" s="588">
        <f t="shared" ref="K33:O43" si="1">K32+D33</f>
        <v>0</v>
      </c>
      <c r="L33" s="588">
        <f t="shared" si="1"/>
        <v>0</v>
      </c>
      <c r="M33" s="588">
        <f t="shared" si="1"/>
        <v>0</v>
      </c>
      <c r="N33" s="588">
        <f t="shared" si="1"/>
        <v>0</v>
      </c>
      <c r="O33" s="588">
        <f t="shared" si="1"/>
        <v>0</v>
      </c>
      <c r="P33" s="588"/>
      <c r="Q33" s="577"/>
      <c r="R33" s="2"/>
    </row>
    <row r="34" spans="1:18" ht="13.5">
      <c r="A34" s="572"/>
      <c r="B34" s="573" t="s">
        <v>631</v>
      </c>
      <c r="C34" s="843"/>
      <c r="D34" s="589"/>
      <c r="E34" s="589"/>
      <c r="F34" s="589"/>
      <c r="G34" s="589"/>
      <c r="H34" s="589"/>
      <c r="I34" s="622"/>
      <c r="J34" s="588">
        <f t="shared" ref="J34:J43" si="2">J33+C34</f>
        <v>0</v>
      </c>
      <c r="K34" s="588">
        <f t="shared" si="1"/>
        <v>0</v>
      </c>
      <c r="L34" s="588">
        <f t="shared" si="1"/>
        <v>0</v>
      </c>
      <c r="M34" s="588">
        <f t="shared" si="1"/>
        <v>0</v>
      </c>
      <c r="N34" s="588">
        <f t="shared" si="1"/>
        <v>0</v>
      </c>
      <c r="O34" s="588">
        <f t="shared" si="1"/>
        <v>0</v>
      </c>
      <c r="P34" s="588"/>
      <c r="Q34" s="577"/>
      <c r="R34" s="2"/>
    </row>
    <row r="35" spans="1:18" ht="13.5">
      <c r="A35" s="572"/>
      <c r="B35" s="573" t="s">
        <v>632</v>
      </c>
      <c r="C35" s="843"/>
      <c r="D35" s="589"/>
      <c r="E35" s="589"/>
      <c r="F35" s="589"/>
      <c r="G35" s="589"/>
      <c r="H35" s="589"/>
      <c r="I35" s="622"/>
      <c r="J35" s="588">
        <f t="shared" si="2"/>
        <v>0</v>
      </c>
      <c r="K35" s="588">
        <f t="shared" si="1"/>
        <v>0</v>
      </c>
      <c r="L35" s="588">
        <f t="shared" si="1"/>
        <v>0</v>
      </c>
      <c r="M35" s="588">
        <f t="shared" si="1"/>
        <v>0</v>
      </c>
      <c r="N35" s="588">
        <f t="shared" si="1"/>
        <v>0</v>
      </c>
      <c r="O35" s="588">
        <f t="shared" si="1"/>
        <v>0</v>
      </c>
      <c r="P35" s="588"/>
      <c r="Q35" s="577"/>
      <c r="R35" s="2"/>
    </row>
    <row r="36" spans="1:18" ht="13.5">
      <c r="A36" s="572"/>
      <c r="B36" s="573" t="s">
        <v>627</v>
      </c>
      <c r="C36" s="843"/>
      <c r="D36" s="589"/>
      <c r="E36" s="589"/>
      <c r="F36" s="589"/>
      <c r="G36" s="589"/>
      <c r="H36" s="589"/>
      <c r="I36" s="622"/>
      <c r="J36" s="588">
        <f t="shared" si="2"/>
        <v>0</v>
      </c>
      <c r="K36" s="588">
        <f t="shared" si="1"/>
        <v>0</v>
      </c>
      <c r="L36" s="588">
        <f t="shared" si="1"/>
        <v>0</v>
      </c>
      <c r="M36" s="588">
        <f t="shared" si="1"/>
        <v>0</v>
      </c>
      <c r="N36" s="588">
        <f t="shared" si="1"/>
        <v>0</v>
      </c>
      <c r="O36" s="588">
        <f t="shared" si="1"/>
        <v>0</v>
      </c>
      <c r="P36" s="588"/>
      <c r="Q36" s="577"/>
      <c r="R36" s="2"/>
    </row>
    <row r="37" spans="1:18" ht="13.5">
      <c r="A37" s="572"/>
      <c r="B37" s="573" t="s">
        <v>633</v>
      </c>
      <c r="C37" s="843"/>
      <c r="D37" s="589"/>
      <c r="E37" s="589"/>
      <c r="F37" s="589"/>
      <c r="G37" s="589"/>
      <c r="H37" s="589"/>
      <c r="I37" s="622"/>
      <c r="J37" s="588">
        <f t="shared" si="2"/>
        <v>0</v>
      </c>
      <c r="K37" s="588">
        <f t="shared" si="1"/>
        <v>0</v>
      </c>
      <c r="L37" s="588">
        <f t="shared" si="1"/>
        <v>0</v>
      </c>
      <c r="M37" s="588">
        <f t="shared" si="1"/>
        <v>0</v>
      </c>
      <c r="N37" s="588">
        <f t="shared" si="1"/>
        <v>0</v>
      </c>
      <c r="O37" s="588">
        <f t="shared" si="1"/>
        <v>0</v>
      </c>
      <c r="P37" s="588"/>
      <c r="Q37" s="577"/>
      <c r="R37" s="2"/>
    </row>
    <row r="38" spans="1:18" ht="13.5">
      <c r="A38" s="572"/>
      <c r="B38" s="573" t="s">
        <v>634</v>
      </c>
      <c r="C38" s="843"/>
      <c r="D38" s="589"/>
      <c r="E38" s="589"/>
      <c r="F38" s="589"/>
      <c r="G38" s="589"/>
      <c r="H38" s="589"/>
      <c r="I38" s="622"/>
      <c r="J38" s="588">
        <f t="shared" si="2"/>
        <v>0</v>
      </c>
      <c r="K38" s="588">
        <f t="shared" si="1"/>
        <v>0</v>
      </c>
      <c r="L38" s="588">
        <f t="shared" si="1"/>
        <v>0</v>
      </c>
      <c r="M38" s="588">
        <f t="shared" si="1"/>
        <v>0</v>
      </c>
      <c r="N38" s="588">
        <f t="shared" si="1"/>
        <v>0</v>
      </c>
      <c r="O38" s="588">
        <f t="shared" si="1"/>
        <v>0</v>
      </c>
      <c r="P38" s="588"/>
      <c r="Q38" s="577"/>
      <c r="R38" s="2"/>
    </row>
    <row r="39" spans="1:18" ht="13.5">
      <c r="A39" s="572"/>
      <c r="B39" s="573" t="s">
        <v>635</v>
      </c>
      <c r="C39" s="843"/>
      <c r="D39" s="589"/>
      <c r="E39" s="589"/>
      <c r="F39" s="589"/>
      <c r="G39" s="589"/>
      <c r="H39" s="589"/>
      <c r="I39" s="622"/>
      <c r="J39" s="588">
        <f t="shared" si="2"/>
        <v>0</v>
      </c>
      <c r="K39" s="588">
        <f t="shared" si="1"/>
        <v>0</v>
      </c>
      <c r="L39" s="588">
        <f t="shared" si="1"/>
        <v>0</v>
      </c>
      <c r="M39" s="588">
        <f t="shared" si="1"/>
        <v>0</v>
      </c>
      <c r="N39" s="588">
        <f t="shared" si="1"/>
        <v>0</v>
      </c>
      <c r="O39" s="588">
        <f t="shared" si="1"/>
        <v>0</v>
      </c>
      <c r="P39" s="588"/>
      <c r="Q39" s="577"/>
      <c r="R39" s="2"/>
    </row>
    <row r="40" spans="1:18" ht="13.5">
      <c r="A40" s="572"/>
      <c r="B40" s="573" t="s">
        <v>636</v>
      </c>
      <c r="C40" s="843"/>
      <c r="D40" s="589"/>
      <c r="E40" s="589"/>
      <c r="F40" s="589"/>
      <c r="G40" s="589"/>
      <c r="H40" s="589"/>
      <c r="I40" s="622"/>
      <c r="J40" s="588">
        <f t="shared" si="2"/>
        <v>0</v>
      </c>
      <c r="K40" s="588">
        <f t="shared" si="1"/>
        <v>0</v>
      </c>
      <c r="L40" s="588">
        <f t="shared" si="1"/>
        <v>0</v>
      </c>
      <c r="M40" s="588">
        <f t="shared" si="1"/>
        <v>0</v>
      </c>
      <c r="N40" s="588">
        <f t="shared" si="1"/>
        <v>0</v>
      </c>
      <c r="O40" s="588">
        <f t="shared" si="1"/>
        <v>0</v>
      </c>
      <c r="P40" s="588"/>
      <c r="Q40" s="577"/>
      <c r="R40" s="2"/>
    </row>
    <row r="41" spans="1:18" ht="13.5">
      <c r="A41" s="572"/>
      <c r="B41" s="573" t="s">
        <v>637</v>
      </c>
      <c r="C41" s="843"/>
      <c r="D41" s="589"/>
      <c r="E41" s="589"/>
      <c r="F41" s="589"/>
      <c r="G41" s="589"/>
      <c r="H41" s="589"/>
      <c r="I41" s="622"/>
      <c r="J41" s="588">
        <f t="shared" si="2"/>
        <v>0</v>
      </c>
      <c r="K41" s="588">
        <f t="shared" si="1"/>
        <v>0</v>
      </c>
      <c r="L41" s="588">
        <f t="shared" si="1"/>
        <v>0</v>
      </c>
      <c r="M41" s="588">
        <f t="shared" si="1"/>
        <v>0</v>
      </c>
      <c r="N41" s="588">
        <f t="shared" si="1"/>
        <v>0</v>
      </c>
      <c r="O41" s="588">
        <f t="shared" si="1"/>
        <v>0</v>
      </c>
      <c r="P41" s="588"/>
      <c r="Q41" s="577"/>
      <c r="R41" s="2"/>
    </row>
    <row r="42" spans="1:18" ht="13.5">
      <c r="A42" s="572"/>
      <c r="B42" s="573" t="s">
        <v>638</v>
      </c>
      <c r="C42" s="843"/>
      <c r="D42" s="589"/>
      <c r="E42" s="589"/>
      <c r="F42" s="589"/>
      <c r="G42" s="589"/>
      <c r="H42" s="589"/>
      <c r="I42" s="622"/>
      <c r="J42" s="588">
        <f t="shared" si="2"/>
        <v>0</v>
      </c>
      <c r="K42" s="588">
        <f t="shared" si="1"/>
        <v>0</v>
      </c>
      <c r="L42" s="588">
        <f t="shared" si="1"/>
        <v>0</v>
      </c>
      <c r="M42" s="588">
        <f t="shared" si="1"/>
        <v>0</v>
      </c>
      <c r="N42" s="588">
        <f t="shared" si="1"/>
        <v>0</v>
      </c>
      <c r="O42" s="588">
        <f t="shared" si="1"/>
        <v>0</v>
      </c>
      <c r="P42" s="588"/>
      <c r="Q42" s="577"/>
      <c r="R42" s="2"/>
    </row>
    <row r="43" spans="1:18" ht="13.5">
      <c r="A43" s="572"/>
      <c r="B43" s="573" t="s">
        <v>639</v>
      </c>
      <c r="C43" s="843"/>
      <c r="D43" s="589"/>
      <c r="E43" s="589"/>
      <c r="F43" s="589"/>
      <c r="G43" s="589"/>
      <c r="H43" s="589"/>
      <c r="I43" s="622"/>
      <c r="J43" s="588">
        <f t="shared" si="2"/>
        <v>0</v>
      </c>
      <c r="K43" s="588">
        <f t="shared" si="1"/>
        <v>0</v>
      </c>
      <c r="L43" s="588">
        <f t="shared" si="1"/>
        <v>0</v>
      </c>
      <c r="M43" s="588">
        <f t="shared" si="1"/>
        <v>0</v>
      </c>
      <c r="N43" s="588">
        <f t="shared" si="1"/>
        <v>0</v>
      </c>
      <c r="O43" s="588">
        <f t="shared" si="1"/>
        <v>0</v>
      </c>
      <c r="P43" s="588"/>
      <c r="Q43" s="577"/>
      <c r="R43" s="2"/>
    </row>
    <row r="44" spans="1:18" ht="13.5">
      <c r="A44" s="572"/>
      <c r="B44" s="573" t="s">
        <v>851</v>
      </c>
      <c r="C44" s="588">
        <f t="shared" ref="C44:H44" si="3">SUM(C32:C43)</f>
        <v>0</v>
      </c>
      <c r="D44" s="588">
        <f t="shared" si="3"/>
        <v>0</v>
      </c>
      <c r="E44" s="588">
        <f t="shared" si="3"/>
        <v>0</v>
      </c>
      <c r="F44" s="588">
        <f t="shared" si="3"/>
        <v>0</v>
      </c>
      <c r="G44" s="588">
        <f t="shared" si="3"/>
        <v>0</v>
      </c>
      <c r="H44" s="588">
        <f t="shared" si="3"/>
        <v>0</v>
      </c>
      <c r="I44" s="588" t="s">
        <v>79</v>
      </c>
      <c r="J44" s="588">
        <f t="shared" ref="J44:O44" si="4">AVERAGE(J32:J43)</f>
        <v>0</v>
      </c>
      <c r="K44" s="588">
        <f t="shared" si="4"/>
        <v>0</v>
      </c>
      <c r="L44" s="588">
        <f t="shared" si="4"/>
        <v>0</v>
      </c>
      <c r="M44" s="588">
        <f t="shared" si="4"/>
        <v>0</v>
      </c>
      <c r="N44" s="588">
        <f t="shared" si="4"/>
        <v>0</v>
      </c>
      <c r="O44" s="588">
        <f t="shared" si="4"/>
        <v>0</v>
      </c>
      <c r="P44" s="588"/>
      <c r="Q44" s="609"/>
      <c r="R44" s="2"/>
    </row>
    <row r="45" spans="1:18" ht="13.5">
      <c r="A45" s="572"/>
      <c r="C45" s="573"/>
      <c r="D45" s="419"/>
      <c r="E45" s="419"/>
      <c r="F45" s="419"/>
      <c r="G45" s="419"/>
      <c r="H45" s="419"/>
      <c r="I45" s="419"/>
      <c r="J45" s="419"/>
      <c r="K45" s="419"/>
      <c r="L45" s="590"/>
      <c r="M45" s="573"/>
      <c r="N45" s="573"/>
      <c r="O45" s="573"/>
      <c r="Q45" s="577"/>
      <c r="R45" s="2"/>
    </row>
    <row r="46" spans="1:18" ht="13.5">
      <c r="A46" s="572"/>
      <c r="B46" s="573" t="s">
        <v>81</v>
      </c>
      <c r="C46" s="573"/>
      <c r="D46" s="419"/>
      <c r="E46" s="419"/>
      <c r="F46" s="419"/>
      <c r="G46" s="419"/>
      <c r="H46" s="419"/>
      <c r="I46" s="419"/>
      <c r="J46" s="573"/>
      <c r="K46" s="624" t="s">
        <v>80</v>
      </c>
      <c r="L46" s="419"/>
      <c r="M46" s="588">
        <f>SUM(J44:O44)</f>
        <v>0</v>
      </c>
      <c r="N46" s="588"/>
      <c r="O46" s="588"/>
      <c r="Q46" s="609"/>
      <c r="R46" s="2"/>
    </row>
    <row r="47" spans="1:18" ht="13.5">
      <c r="A47" s="572"/>
      <c r="B47" s="573"/>
      <c r="C47" s="573"/>
      <c r="D47" s="419"/>
      <c r="E47" s="419"/>
      <c r="F47" s="419"/>
      <c r="G47" s="419"/>
      <c r="H47" s="419"/>
      <c r="I47" s="419"/>
      <c r="J47" s="573"/>
      <c r="K47" s="573"/>
      <c r="L47" s="419"/>
      <c r="M47" s="588"/>
      <c r="N47" s="573"/>
      <c r="O47" s="588"/>
      <c r="Q47" s="609"/>
      <c r="R47" s="2"/>
    </row>
    <row r="48" spans="1:18" ht="13.5">
      <c r="A48" s="572"/>
      <c r="B48" s="572"/>
      <c r="C48" s="572"/>
      <c r="D48" s="573"/>
      <c r="E48" s="573"/>
      <c r="F48" s="419"/>
      <c r="G48" s="419"/>
      <c r="H48" s="419"/>
      <c r="I48" s="419"/>
      <c r="J48" s="573"/>
      <c r="L48" s="419"/>
      <c r="M48" s="591"/>
      <c r="N48" s="591"/>
      <c r="O48" s="592"/>
      <c r="Q48" s="577"/>
      <c r="R48" s="2"/>
    </row>
    <row r="49" spans="1:19" ht="13.5">
      <c r="A49" s="572">
        <v>3</v>
      </c>
      <c r="B49" s="572" t="s">
        <v>626</v>
      </c>
      <c r="C49" s="572" t="s">
        <v>601</v>
      </c>
      <c r="D49" s="579" t="s">
        <v>1094</v>
      </c>
      <c r="E49" s="573"/>
      <c r="F49" s="573"/>
      <c r="G49" s="573"/>
      <c r="H49" s="573"/>
      <c r="I49" s="573"/>
      <c r="J49" s="573"/>
      <c r="K49" s="573"/>
      <c r="L49" s="588"/>
      <c r="M49" s="573"/>
      <c r="N49" s="573"/>
      <c r="O49" s="573"/>
      <c r="P49" s="573"/>
      <c r="Q49" s="573"/>
      <c r="R49" s="573"/>
      <c r="S49" s="573"/>
    </row>
    <row r="50" spans="1:19" ht="13.5">
      <c r="A50" s="572"/>
      <c r="B50" s="572"/>
      <c r="C50" s="572"/>
      <c r="D50" s="593">
        <f>D23</f>
        <v>0</v>
      </c>
      <c r="E50" s="1498"/>
      <c r="F50" s="1499"/>
      <c r="G50" s="1769" t="s">
        <v>1088</v>
      </c>
      <c r="H50" s="1499"/>
      <c r="I50" s="1500"/>
      <c r="J50" s="1500"/>
      <c r="K50" s="1500"/>
      <c r="L50" s="1499"/>
      <c r="M50" s="573"/>
      <c r="N50" s="573"/>
      <c r="O50" s="573"/>
      <c r="P50" s="573"/>
      <c r="Q50" s="573"/>
      <c r="R50" s="573"/>
      <c r="S50" s="573"/>
    </row>
    <row r="51" spans="1:19" ht="13.5">
      <c r="A51" s="572"/>
      <c r="B51" s="572"/>
      <c r="C51" s="572"/>
      <c r="D51" s="594"/>
      <c r="E51" s="1501"/>
      <c r="F51" s="1499"/>
      <c r="G51" s="1770"/>
      <c r="H51" s="1499"/>
      <c r="I51" s="1500"/>
      <c r="J51" s="1500"/>
      <c r="K51" s="1500"/>
      <c r="L51" s="1500"/>
      <c r="M51" s="573"/>
      <c r="N51" s="573"/>
      <c r="O51" s="573"/>
      <c r="P51" s="573"/>
      <c r="Q51" s="573"/>
      <c r="R51" s="573"/>
      <c r="S51" s="573"/>
    </row>
    <row r="52" spans="1:19" ht="13.5">
      <c r="A52" s="572">
        <v>4</v>
      </c>
      <c r="B52" s="572" t="s">
        <v>627</v>
      </c>
      <c r="C52" s="572" t="s">
        <v>601</v>
      </c>
      <c r="D52" s="573" t="s">
        <v>962</v>
      </c>
      <c r="E52" s="1500"/>
      <c r="F52" s="1500"/>
      <c r="G52" s="1771"/>
      <c r="H52" s="1500"/>
      <c r="I52" s="1500"/>
      <c r="J52" s="1500"/>
      <c r="K52" s="1500"/>
      <c r="L52" s="1500"/>
      <c r="M52" s="573"/>
      <c r="N52" s="573"/>
      <c r="O52" s="573"/>
      <c r="P52" s="573"/>
      <c r="Q52" s="573"/>
      <c r="R52" s="573"/>
      <c r="S52" s="573"/>
    </row>
    <row r="53" spans="1:19" ht="13.5">
      <c r="A53" s="572"/>
      <c r="B53" s="572"/>
      <c r="C53" s="572"/>
      <c r="D53" s="584">
        <f>D50</f>
        <v>0</v>
      </c>
      <c r="E53" s="1502"/>
      <c r="F53" s="1503"/>
      <c r="G53" s="1769" t="s">
        <v>1088</v>
      </c>
      <c r="H53" s="1500"/>
      <c r="I53" s="1500"/>
      <c r="J53" s="1500"/>
      <c r="K53" s="1500"/>
      <c r="L53" s="1500"/>
      <c r="M53" s="573"/>
      <c r="N53" s="573"/>
      <c r="O53" s="573"/>
      <c r="P53" s="573"/>
      <c r="Q53" s="573"/>
      <c r="R53" s="573"/>
      <c r="S53" s="573"/>
    </row>
    <row r="54" spans="1:19" ht="13.5">
      <c r="A54" s="572"/>
      <c r="B54" s="572"/>
      <c r="C54" s="572"/>
      <c r="D54" s="595"/>
      <c r="E54" s="1500"/>
      <c r="F54" s="1500"/>
      <c r="G54" s="1771"/>
      <c r="H54" s="1500"/>
      <c r="I54" s="1500"/>
      <c r="J54" s="1500"/>
      <c r="K54" s="1500"/>
      <c r="L54" s="1500"/>
      <c r="M54" s="573"/>
      <c r="N54" s="573"/>
      <c r="O54" s="573"/>
      <c r="P54" s="573"/>
      <c r="Q54" s="573"/>
      <c r="R54" s="573"/>
      <c r="S54" s="573"/>
    </row>
    <row r="55" spans="1:19" ht="13.5">
      <c r="A55" s="572">
        <v>5</v>
      </c>
      <c r="B55" s="572" t="s">
        <v>628</v>
      </c>
      <c r="C55" s="572" t="s">
        <v>601</v>
      </c>
      <c r="D55" s="576" t="s">
        <v>1095</v>
      </c>
      <c r="E55" s="1500"/>
      <c r="F55" s="1500"/>
      <c r="G55" s="1771"/>
      <c r="H55" s="1500"/>
      <c r="I55" s="1500"/>
      <c r="J55" s="1500"/>
      <c r="K55" s="1500"/>
      <c r="L55" s="1500"/>
      <c r="M55" s="573"/>
      <c r="N55" s="573"/>
      <c r="O55" s="573"/>
      <c r="P55" s="573"/>
      <c r="Q55" s="573"/>
      <c r="R55" s="573"/>
      <c r="S55" s="573"/>
    </row>
    <row r="56" spans="1:19" ht="13.5">
      <c r="A56" s="572"/>
      <c r="B56" s="572"/>
      <c r="C56" s="572"/>
      <c r="D56" s="593">
        <f>D53</f>
        <v>0</v>
      </c>
      <c r="E56" s="573"/>
      <c r="F56" s="573"/>
      <c r="G56" s="1771"/>
      <c r="H56" s="573"/>
      <c r="I56" s="573"/>
      <c r="J56" s="573"/>
      <c r="K56" s="573"/>
      <c r="L56" s="573"/>
      <c r="M56" s="573"/>
      <c r="N56" s="573"/>
      <c r="O56" s="573"/>
      <c r="P56" s="573"/>
      <c r="Q56" s="573"/>
      <c r="R56" s="573"/>
      <c r="S56" s="573"/>
    </row>
    <row r="57" spans="1:19" ht="13.5">
      <c r="A57" s="596"/>
      <c r="B57" s="596"/>
      <c r="C57" s="596"/>
      <c r="D57" s="597"/>
      <c r="E57" s="597"/>
      <c r="F57" s="597"/>
      <c r="G57" s="1772"/>
      <c r="H57" s="597"/>
      <c r="I57" s="597"/>
      <c r="J57" s="597"/>
      <c r="K57" s="597"/>
      <c r="L57" s="573"/>
      <c r="M57" s="573"/>
      <c r="N57" s="573"/>
      <c r="O57" s="573"/>
      <c r="P57" s="573"/>
      <c r="Q57" s="573"/>
      <c r="R57" s="573"/>
      <c r="S57" s="573"/>
    </row>
    <row r="58" spans="1:19" ht="15.75">
      <c r="A58" s="596"/>
      <c r="B58" s="596"/>
      <c r="C58" s="596"/>
      <c r="D58" s="597"/>
      <c r="E58" s="597"/>
      <c r="F58" s="597"/>
      <c r="G58" s="1772"/>
      <c r="H58" s="597"/>
      <c r="I58" s="597"/>
      <c r="J58" s="598"/>
      <c r="K58" s="597"/>
      <c r="L58" s="573"/>
      <c r="M58" s="573"/>
      <c r="N58" s="573"/>
      <c r="O58" s="573"/>
      <c r="P58" s="573"/>
      <c r="Q58" s="573"/>
      <c r="R58" s="573"/>
      <c r="S58" s="573"/>
    </row>
    <row r="59" spans="1:19" ht="15.75">
      <c r="A59" s="596"/>
      <c r="B59" s="596"/>
      <c r="C59" s="596"/>
      <c r="D59" s="597"/>
      <c r="E59" s="597"/>
      <c r="F59" s="597"/>
      <c r="G59" s="1772"/>
      <c r="H59" s="597"/>
      <c r="I59" s="597"/>
      <c r="J59" s="598"/>
      <c r="K59" s="597"/>
      <c r="L59" s="573"/>
      <c r="M59" s="573"/>
      <c r="N59" s="573"/>
      <c r="O59" s="573"/>
      <c r="P59" s="573"/>
      <c r="Q59" s="573"/>
      <c r="R59" s="573"/>
      <c r="S59" s="573"/>
    </row>
    <row r="60" spans="1:19" ht="13.5">
      <c r="A60" s="572">
        <v>6</v>
      </c>
      <c r="B60" s="572" t="s">
        <v>626</v>
      </c>
      <c r="C60" s="572" t="s">
        <v>602</v>
      </c>
      <c r="D60" s="579" t="s">
        <v>1096</v>
      </c>
      <c r="E60" s="573"/>
      <c r="F60" s="573"/>
      <c r="G60" s="1771"/>
      <c r="H60" s="573"/>
      <c r="I60" s="573"/>
      <c r="J60" s="573"/>
      <c r="K60" s="573"/>
      <c r="L60" s="573"/>
      <c r="M60" s="573"/>
      <c r="N60" s="573"/>
      <c r="O60" s="573"/>
      <c r="P60" s="573"/>
      <c r="Q60" s="573"/>
      <c r="R60" s="573"/>
      <c r="S60" s="573"/>
    </row>
    <row r="61" spans="1:19" ht="13.5">
      <c r="A61" s="572"/>
      <c r="B61" s="572"/>
      <c r="C61" s="572"/>
      <c r="D61" s="599"/>
      <c r="E61" s="573" t="s">
        <v>657</v>
      </c>
      <c r="F61" s="573"/>
      <c r="G61" s="1769" t="s">
        <v>1088</v>
      </c>
      <c r="H61" s="573"/>
      <c r="I61" s="573"/>
      <c r="J61" s="419"/>
      <c r="K61" s="573"/>
      <c r="L61" s="573"/>
      <c r="M61" s="573"/>
      <c r="N61" s="573"/>
      <c r="O61" s="573"/>
      <c r="P61" s="573"/>
      <c r="Q61" s="573"/>
      <c r="R61" s="573"/>
      <c r="S61" s="573"/>
    </row>
    <row r="62" spans="1:19" ht="13.5">
      <c r="A62" s="572"/>
      <c r="B62" s="572"/>
      <c r="C62" s="572"/>
      <c r="D62" s="600"/>
      <c r="E62" s="573"/>
      <c r="F62" s="573"/>
      <c r="G62" s="1773"/>
      <c r="H62" s="573"/>
      <c r="I62" s="573"/>
      <c r="J62" s="573"/>
      <c r="K62" s="573"/>
      <c r="L62" s="573"/>
      <c r="M62" s="573"/>
      <c r="N62" s="573"/>
      <c r="O62" s="573"/>
      <c r="P62" s="573"/>
      <c r="Q62" s="573"/>
      <c r="R62" s="573"/>
      <c r="S62" s="573"/>
    </row>
    <row r="63" spans="1:19" ht="13.5">
      <c r="A63" s="572"/>
      <c r="B63" s="572"/>
      <c r="C63" s="572"/>
      <c r="D63" s="601"/>
      <c r="E63" s="573"/>
      <c r="F63" s="573"/>
      <c r="G63" s="1771"/>
      <c r="H63" s="573"/>
      <c r="I63" s="573"/>
      <c r="J63" s="573"/>
      <c r="K63" s="573"/>
      <c r="L63" s="573"/>
      <c r="M63" s="573"/>
      <c r="N63" s="573"/>
      <c r="O63" s="573"/>
      <c r="P63" s="573"/>
      <c r="Q63" s="573"/>
      <c r="R63" s="573"/>
      <c r="S63" s="573"/>
    </row>
    <row r="64" spans="1:19" ht="13.5">
      <c r="A64" s="572"/>
      <c r="B64" s="572"/>
      <c r="C64" s="572"/>
      <c r="D64" s="573"/>
      <c r="E64" s="573"/>
      <c r="F64" s="573"/>
      <c r="G64" s="1771"/>
      <c r="H64" s="588"/>
      <c r="I64" s="573"/>
      <c r="J64" s="573"/>
      <c r="K64" s="573"/>
      <c r="L64" s="573"/>
      <c r="M64" s="573"/>
      <c r="N64" s="573"/>
      <c r="O64" s="573"/>
      <c r="P64" s="573"/>
      <c r="Q64" s="573"/>
      <c r="R64" s="573"/>
      <c r="S64" s="573"/>
    </row>
    <row r="65" spans="1:19" ht="13.5">
      <c r="A65" s="572">
        <v>7</v>
      </c>
      <c r="B65" s="572" t="s">
        <v>626</v>
      </c>
      <c r="C65" s="572" t="s">
        <v>602</v>
      </c>
      <c r="D65" s="579" t="str">
        <f>+'6 - Est and True up'!D65</f>
        <v>Reconciliation</v>
      </c>
      <c r="E65" s="580"/>
      <c r="F65" s="580"/>
      <c r="G65" s="1774"/>
      <c r="H65" s="580"/>
      <c r="I65" s="580"/>
      <c r="J65" s="580"/>
      <c r="K65" s="573"/>
      <c r="L65" s="573"/>
      <c r="M65" s="573"/>
      <c r="N65" s="573"/>
      <c r="O65" s="573"/>
      <c r="P65" s="573"/>
      <c r="Q65" s="573"/>
      <c r="R65" s="573"/>
      <c r="S65" s="573"/>
    </row>
    <row r="66" spans="1:19" ht="13.5">
      <c r="A66" s="572"/>
      <c r="B66" s="572"/>
      <c r="C66" s="572"/>
      <c r="D66" s="602"/>
      <c r="E66" s="603"/>
      <c r="F66" s="603"/>
      <c r="G66" s="1775"/>
      <c r="H66" s="580"/>
      <c r="I66" s="580"/>
      <c r="J66" s="580"/>
      <c r="K66" s="573"/>
      <c r="L66" s="573"/>
      <c r="M66" s="573"/>
      <c r="N66" s="573"/>
      <c r="O66" s="573"/>
      <c r="P66" s="573"/>
      <c r="Q66" s="573"/>
      <c r="R66" s="573"/>
      <c r="S66" s="573"/>
    </row>
    <row r="67" spans="1:19" ht="13.5">
      <c r="A67" s="572"/>
      <c r="B67" s="573"/>
      <c r="C67" s="573"/>
      <c r="D67" s="419"/>
      <c r="E67" s="419"/>
      <c r="F67" s="419"/>
      <c r="G67" s="1776"/>
      <c r="H67" s="419"/>
      <c r="I67" s="419"/>
      <c r="J67" s="573"/>
      <c r="K67" s="573"/>
      <c r="L67" s="588"/>
      <c r="M67" s="573"/>
      <c r="N67" s="419"/>
      <c r="O67" s="573"/>
      <c r="P67" s="573"/>
      <c r="Q67" s="577"/>
      <c r="R67" s="618"/>
      <c r="S67" s="618"/>
    </row>
    <row r="68" spans="1:19" ht="13.5">
      <c r="A68" s="572"/>
      <c r="B68" s="572"/>
      <c r="C68" s="572"/>
      <c r="D68" s="599">
        <v>5989714</v>
      </c>
      <c r="E68" s="605" t="s">
        <v>980</v>
      </c>
      <c r="F68" s="573"/>
      <c r="G68" s="1769" t="s">
        <v>1088</v>
      </c>
      <c r="H68" s="573"/>
      <c r="I68" s="573"/>
      <c r="J68" s="573"/>
      <c r="K68" s="573"/>
      <c r="L68" s="588"/>
      <c r="M68" s="573"/>
      <c r="N68" s="419"/>
      <c r="O68" s="607"/>
      <c r="P68" s="608"/>
      <c r="Q68" s="608"/>
      <c r="R68" s="608"/>
      <c r="S68" s="577"/>
    </row>
    <row r="69" spans="1:19" ht="13.5">
      <c r="A69" s="420"/>
      <c r="B69" s="572"/>
      <c r="C69" s="572"/>
      <c r="D69" s="419"/>
      <c r="E69" s="573" t="s">
        <v>1000</v>
      </c>
      <c r="F69" s="573"/>
      <c r="G69" s="577"/>
      <c r="H69" s="609"/>
      <c r="I69" s="577"/>
      <c r="J69" s="573"/>
      <c r="K69" s="573"/>
      <c r="L69" s="573"/>
      <c r="M69" s="573"/>
      <c r="N69" s="573"/>
      <c r="O69" s="573"/>
      <c r="P69" s="573"/>
      <c r="Q69" s="573"/>
      <c r="R69" s="573"/>
      <c r="S69" s="573"/>
    </row>
    <row r="70" spans="1:19" ht="13.5">
      <c r="A70" s="572"/>
      <c r="B70" s="572"/>
      <c r="C70" s="572"/>
      <c r="D70" s="605"/>
      <c r="E70" s="573"/>
      <c r="F70" s="573"/>
      <c r="G70" s="577"/>
      <c r="H70" s="609"/>
      <c r="I70" s="577"/>
      <c r="J70" s="573"/>
      <c r="K70" s="573"/>
      <c r="L70" s="573"/>
      <c r="M70" s="573"/>
      <c r="N70" s="573"/>
      <c r="O70" s="573"/>
      <c r="P70" s="573"/>
      <c r="Q70" s="573"/>
      <c r="R70" s="573"/>
      <c r="S70" s="573"/>
    </row>
    <row r="71" spans="1:19" ht="13.5">
      <c r="A71" s="420"/>
      <c r="B71" s="572"/>
      <c r="C71" s="572"/>
      <c r="D71" s="610">
        <v>0</v>
      </c>
      <c r="E71" s="573" t="s">
        <v>421</v>
      </c>
      <c r="F71" s="573"/>
      <c r="G71" s="577"/>
      <c r="H71" s="609"/>
      <c r="I71" s="577"/>
      <c r="J71" s="573"/>
      <c r="K71" s="573"/>
      <c r="L71" s="573"/>
      <c r="M71" s="573"/>
      <c r="N71" s="573"/>
      <c r="O71" s="573"/>
      <c r="P71" s="573"/>
      <c r="Q71" s="573"/>
      <c r="R71" s="573"/>
      <c r="S71" s="573"/>
    </row>
    <row r="72" spans="1:19" ht="13.5">
      <c r="A72" s="420"/>
      <c r="B72" s="572"/>
      <c r="C72" s="572"/>
      <c r="D72" s="419"/>
      <c r="E72" s="573"/>
      <c r="F72" s="573"/>
      <c r="G72" s="577"/>
      <c r="H72" s="609"/>
      <c r="I72" s="577"/>
      <c r="J72" s="573"/>
      <c r="K72" s="573"/>
      <c r="L72" s="573"/>
      <c r="M72" s="573"/>
      <c r="N72" s="573"/>
      <c r="O72" s="573"/>
      <c r="P72" s="573"/>
      <c r="Q72" s="573"/>
      <c r="R72" s="573"/>
      <c r="S72" s="573"/>
    </row>
    <row r="73" spans="1:19" ht="13.5">
      <c r="A73" s="572"/>
      <c r="B73" s="572"/>
      <c r="C73" s="572"/>
      <c r="D73" s="605"/>
      <c r="E73" s="573"/>
      <c r="F73" s="573"/>
      <c r="G73" s="577"/>
      <c r="H73" s="609"/>
      <c r="I73" s="577"/>
      <c r="J73" s="573"/>
      <c r="K73" s="573"/>
      <c r="L73" s="573"/>
      <c r="M73" s="573"/>
      <c r="N73" s="573"/>
      <c r="O73" s="573"/>
      <c r="P73" s="573"/>
      <c r="Q73" s="573"/>
      <c r="R73" s="573"/>
      <c r="S73" s="573"/>
    </row>
    <row r="74" spans="1:19" ht="13.5">
      <c r="A74" s="572">
        <v>8</v>
      </c>
      <c r="B74" s="572" t="s">
        <v>626</v>
      </c>
      <c r="C74" s="572" t="s">
        <v>602</v>
      </c>
      <c r="D74" s="579" t="str">
        <f>+'6 - Est and True up'!D75</f>
        <v>True-Up Adjustment</v>
      </c>
      <c r="E74" s="573"/>
      <c r="F74" s="573"/>
      <c r="G74" s="573"/>
      <c r="H74" s="573"/>
      <c r="I74" s="573"/>
      <c r="J74" s="573"/>
      <c r="K74" s="573"/>
      <c r="L74" s="573"/>
      <c r="M74" s="573"/>
      <c r="N74" s="573"/>
      <c r="O74" s="573"/>
      <c r="P74" s="573"/>
      <c r="Q74" s="573"/>
      <c r="R74" s="573"/>
      <c r="S74" s="573"/>
    </row>
    <row r="75" spans="1:19" ht="13.5">
      <c r="A75" s="572"/>
      <c r="B75" s="572"/>
      <c r="C75" s="572"/>
      <c r="D75" s="579"/>
      <c r="E75" s="573"/>
      <c r="F75" s="573"/>
      <c r="G75" s="573"/>
      <c r="H75" s="573"/>
      <c r="I75" s="573"/>
      <c r="J75" s="573"/>
      <c r="K75" s="573"/>
      <c r="L75" s="573"/>
      <c r="M75" s="573"/>
      <c r="N75" s="573"/>
      <c r="O75" s="573"/>
      <c r="P75" s="573"/>
      <c r="Q75" s="573"/>
      <c r="R75" s="573"/>
      <c r="S75" s="573"/>
    </row>
    <row r="76" spans="1:19" ht="13.5">
      <c r="A76" s="575"/>
      <c r="B76" s="575"/>
      <c r="C76" s="572"/>
      <c r="D76" s="418" t="s">
        <v>944</v>
      </c>
      <c r="E76" s="419"/>
      <c r="F76" s="419"/>
      <c r="G76" s="419"/>
      <c r="H76" s="419"/>
      <c r="I76" s="419"/>
      <c r="J76" s="419"/>
      <c r="K76" s="419"/>
      <c r="L76" s="573"/>
      <c r="M76" s="573"/>
      <c r="N76" s="573"/>
      <c r="O76" s="573"/>
      <c r="P76" s="573"/>
      <c r="Q76" s="573"/>
      <c r="R76" s="573"/>
      <c r="S76" s="573"/>
    </row>
    <row r="77" spans="1:19" ht="13.5">
      <c r="A77" s="575"/>
      <c r="B77" s="575"/>
      <c r="C77" s="572"/>
      <c r="D77" s="419"/>
      <c r="E77" s="573" t="s">
        <v>1001</v>
      </c>
      <c r="F77" s="573"/>
      <c r="G77" s="573"/>
      <c r="H77" s="573"/>
      <c r="I77" s="573"/>
      <c r="J77" s="573"/>
      <c r="K77" s="419"/>
      <c r="L77" s="573"/>
      <c r="M77" s="573"/>
      <c r="N77" s="573"/>
      <c r="O77" s="573"/>
      <c r="P77" s="573"/>
      <c r="Q77" s="573"/>
      <c r="R77" s="573"/>
      <c r="S77" s="573"/>
    </row>
    <row r="78" spans="1:19" ht="27">
      <c r="A78" s="575"/>
      <c r="B78" s="575"/>
      <c r="C78" s="572"/>
      <c r="D78" s="419"/>
      <c r="E78" s="827" t="s">
        <v>622</v>
      </c>
      <c r="F78" s="827" t="s">
        <v>1002</v>
      </c>
      <c r="G78" s="827" t="s">
        <v>1003</v>
      </c>
      <c r="H78" s="827" t="s">
        <v>1004</v>
      </c>
      <c r="I78" s="827" t="s">
        <v>1005</v>
      </c>
      <c r="J78" s="827" t="s">
        <v>1006</v>
      </c>
      <c r="K78" s="604"/>
      <c r="L78" s="573"/>
      <c r="M78" s="1756" t="s">
        <v>1100</v>
      </c>
      <c r="N78" s="625"/>
      <c r="O78" s="573"/>
      <c r="P78" s="573"/>
      <c r="Q78" s="573"/>
      <c r="R78" s="573"/>
      <c r="S78" s="573"/>
    </row>
    <row r="79" spans="1:19" ht="13.5">
      <c r="A79" s="575"/>
      <c r="B79" s="575"/>
      <c r="C79" s="572"/>
      <c r="D79" s="419"/>
      <c r="E79" s="573" t="s">
        <v>629</v>
      </c>
      <c r="F79" s="842">
        <v>1.4401353452141328</v>
      </c>
      <c r="G79" s="611">
        <f>'WKSHT4 - Monthly Tx System Peak'!C57</f>
        <v>713</v>
      </c>
      <c r="H79" s="626">
        <f>+F79*G79*1000</f>
        <v>1026816.5011376766</v>
      </c>
      <c r="I79" s="1347">
        <f t="shared" ref="I79:I83" si="5">634662/12</f>
        <v>52888.5</v>
      </c>
      <c r="J79" s="626">
        <f>+H79-I79</f>
        <v>973928.00113767665</v>
      </c>
      <c r="K79" s="419"/>
      <c r="L79" s="573"/>
      <c r="M79" s="1347"/>
      <c r="N79" s="2014"/>
      <c r="O79" s="573"/>
      <c r="P79" s="573"/>
      <c r="Q79" s="573"/>
      <c r="R79" s="573"/>
      <c r="S79" s="573"/>
    </row>
    <row r="80" spans="1:19" ht="13.5">
      <c r="A80" s="575"/>
      <c r="B80" s="575"/>
      <c r="C80" s="572"/>
      <c r="D80" s="419"/>
      <c r="E80" s="573" t="s">
        <v>630</v>
      </c>
      <c r="F80" s="842">
        <v>1.4401353452141328</v>
      </c>
      <c r="G80" s="611">
        <f>'WKSHT4 - Monthly Tx System Peak'!C58</f>
        <v>713</v>
      </c>
      <c r="H80" s="626">
        <f t="shared" ref="H80:H90" si="6">+F80*G80*1000</f>
        <v>1026816.5011376766</v>
      </c>
      <c r="I80" s="1347">
        <f t="shared" si="5"/>
        <v>52888.5</v>
      </c>
      <c r="J80" s="626">
        <f t="shared" ref="J80:J90" si="7">+H80-I80</f>
        <v>973928.00113767665</v>
      </c>
      <c r="K80" s="419"/>
      <c r="L80" s="573"/>
      <c r="M80" s="1347"/>
      <c r="N80" s="2014"/>
      <c r="O80" s="573"/>
      <c r="P80" s="573"/>
      <c r="Q80" s="573"/>
      <c r="R80" s="573"/>
      <c r="S80" s="573"/>
    </row>
    <row r="81" spans="1:19" ht="13.5">
      <c r="A81" s="575"/>
      <c r="B81" s="575"/>
      <c r="C81" s="572"/>
      <c r="D81" s="419"/>
      <c r="E81" s="573" t="s">
        <v>631</v>
      </c>
      <c r="F81" s="842">
        <v>1.4401353452141328</v>
      </c>
      <c r="G81" s="611">
        <f>'WKSHT4 - Monthly Tx System Peak'!C59</f>
        <v>713</v>
      </c>
      <c r="H81" s="626">
        <f t="shared" si="6"/>
        <v>1026816.5011376766</v>
      </c>
      <c r="I81" s="1347">
        <f t="shared" si="5"/>
        <v>52888.5</v>
      </c>
      <c r="J81" s="626">
        <f t="shared" si="7"/>
        <v>973928.00113767665</v>
      </c>
      <c r="K81" s="419"/>
      <c r="L81" s="573"/>
      <c r="M81" s="611"/>
      <c r="N81" s="611"/>
      <c r="O81" s="573"/>
      <c r="P81" s="573"/>
      <c r="Q81" s="573"/>
      <c r="R81" s="573"/>
      <c r="S81" s="573"/>
    </row>
    <row r="82" spans="1:19" ht="13.5">
      <c r="A82" s="575"/>
      <c r="B82" s="575"/>
      <c r="C82" s="572"/>
      <c r="D82" s="419"/>
      <c r="E82" s="573" t="s">
        <v>632</v>
      </c>
      <c r="F82" s="842">
        <v>1.4401353452141328</v>
      </c>
      <c r="G82" s="611">
        <f>'WKSHT4 - Monthly Tx System Peak'!C61</f>
        <v>713</v>
      </c>
      <c r="H82" s="626">
        <f>+F82*G82*1000</f>
        <v>1026816.5011376766</v>
      </c>
      <c r="I82" s="1347">
        <f t="shared" si="5"/>
        <v>52888.5</v>
      </c>
      <c r="J82" s="626">
        <f t="shared" si="7"/>
        <v>973928.00113767665</v>
      </c>
      <c r="K82" s="419"/>
      <c r="L82" s="573"/>
      <c r="M82" s="611"/>
      <c r="N82" s="611"/>
      <c r="O82" s="573"/>
      <c r="P82" s="573"/>
      <c r="Q82" s="573"/>
      <c r="R82" s="573"/>
      <c r="S82" s="573"/>
    </row>
    <row r="83" spans="1:19" ht="13.5">
      <c r="A83" s="575"/>
      <c r="B83" s="575"/>
      <c r="C83" s="572"/>
      <c r="D83" s="419"/>
      <c r="E83" s="573" t="s">
        <v>627</v>
      </c>
      <c r="F83" s="842">
        <v>1.4401353452141328</v>
      </c>
      <c r="G83" s="611">
        <f>'WKSHT4 - Monthly Tx System Peak'!C62</f>
        <v>713</v>
      </c>
      <c r="H83" s="626">
        <f>+F83*G83*1000</f>
        <v>1026816.5011376766</v>
      </c>
      <c r="I83" s="1347">
        <f t="shared" si="5"/>
        <v>52888.5</v>
      </c>
      <c r="J83" s="626">
        <f t="shared" si="7"/>
        <v>973928.00113767665</v>
      </c>
      <c r="K83" s="419"/>
      <c r="L83" s="573"/>
      <c r="M83" s="611"/>
      <c r="N83" s="611"/>
      <c r="O83" s="573"/>
      <c r="P83" s="573"/>
      <c r="Q83" s="573"/>
      <c r="R83" s="573"/>
      <c r="S83" s="573"/>
    </row>
    <row r="84" spans="1:19" ht="15.75">
      <c r="A84" s="575"/>
      <c r="B84" s="575"/>
      <c r="C84" s="572"/>
      <c r="D84" s="419"/>
      <c r="E84" s="573" t="s">
        <v>633</v>
      </c>
      <c r="F84" s="842">
        <v>1.012869049633456</v>
      </c>
      <c r="G84" s="611">
        <f>'WKSHT4 - Monthly Tx System Peak'!C63</f>
        <v>713</v>
      </c>
      <c r="H84" s="847">
        <f t="shared" si="6"/>
        <v>722175.63238865405</v>
      </c>
      <c r="I84" s="1347">
        <f>-835277.046687334/12</f>
        <v>-69606.42055727783</v>
      </c>
      <c r="J84" s="626">
        <f t="shared" si="7"/>
        <v>791782.05294593191</v>
      </c>
      <c r="K84" s="419"/>
      <c r="L84" s="573"/>
      <c r="M84" s="1757">
        <f>SUM(M79:M83)</f>
        <v>0</v>
      </c>
      <c r="N84" s="577" t="s">
        <v>1101</v>
      </c>
      <c r="O84" s="573"/>
      <c r="P84" s="573"/>
      <c r="Q84" s="573"/>
      <c r="R84" s="573"/>
      <c r="S84" s="573"/>
    </row>
    <row r="85" spans="1:19" ht="13.5">
      <c r="A85" s="575"/>
      <c r="B85" s="575"/>
      <c r="C85" s="572"/>
      <c r="D85" s="419"/>
      <c r="E85" s="573" t="s">
        <v>634</v>
      </c>
      <c r="F85" s="842">
        <v>1.012869049633456</v>
      </c>
      <c r="G85" s="611">
        <f>'WKSHT4 - Monthly Tx System Peak'!C65</f>
        <v>713</v>
      </c>
      <c r="H85" s="626">
        <f t="shared" si="6"/>
        <v>722175.63238865405</v>
      </c>
      <c r="I85" s="1347">
        <f t="shared" ref="I85:I90" si="8">-835277.046687334/12</f>
        <v>-69606.42055727783</v>
      </c>
      <c r="J85" s="626">
        <f t="shared" si="7"/>
        <v>791782.05294593191</v>
      </c>
      <c r="K85" s="419"/>
      <c r="L85" s="573"/>
      <c r="M85" s="573"/>
      <c r="N85" s="573"/>
      <c r="O85" s="573"/>
      <c r="P85" s="573"/>
      <c r="Q85" s="573"/>
      <c r="R85" s="573"/>
      <c r="S85" s="573"/>
    </row>
    <row r="86" spans="1:19" ht="13.5">
      <c r="A86" s="575"/>
      <c r="B86" s="575"/>
      <c r="C86" s="572"/>
      <c r="D86" s="419"/>
      <c r="E86" s="573" t="s">
        <v>635</v>
      </c>
      <c r="F86" s="842">
        <v>1.012869049633456</v>
      </c>
      <c r="G86" s="611">
        <f>'WKSHT4 - Monthly Tx System Peak'!C66</f>
        <v>713</v>
      </c>
      <c r="H86" s="626">
        <f t="shared" si="6"/>
        <v>722175.63238865405</v>
      </c>
      <c r="I86" s="1347">
        <f t="shared" si="8"/>
        <v>-69606.42055727783</v>
      </c>
      <c r="J86" s="626">
        <f t="shared" si="7"/>
        <v>791782.05294593191</v>
      </c>
      <c r="K86" s="419"/>
      <c r="L86" s="573"/>
      <c r="M86" s="573"/>
      <c r="N86" s="573"/>
      <c r="O86" s="573"/>
      <c r="P86" s="573"/>
      <c r="Q86" s="573"/>
      <c r="R86" s="573"/>
      <c r="S86" s="573"/>
    </row>
    <row r="87" spans="1:19" ht="13.5">
      <c r="A87" s="575"/>
      <c r="B87" s="575"/>
      <c r="C87" s="572"/>
      <c r="D87" s="419"/>
      <c r="E87" s="573" t="s">
        <v>636</v>
      </c>
      <c r="F87" s="842">
        <v>1.012869049633456</v>
      </c>
      <c r="G87" s="611">
        <f>'WKSHT4 - Monthly Tx System Peak'!C67</f>
        <v>713</v>
      </c>
      <c r="H87" s="626">
        <f t="shared" si="6"/>
        <v>722175.63238865405</v>
      </c>
      <c r="I87" s="1347">
        <f t="shared" si="8"/>
        <v>-69606.42055727783</v>
      </c>
      <c r="J87" s="626">
        <f t="shared" si="7"/>
        <v>791782.05294593191</v>
      </c>
      <c r="K87" s="419"/>
      <c r="L87" s="573"/>
      <c r="M87" s="573"/>
      <c r="N87" s="573"/>
      <c r="O87" s="573"/>
      <c r="P87" s="573"/>
      <c r="Q87" s="573"/>
      <c r="R87" s="573"/>
      <c r="S87" s="573"/>
    </row>
    <row r="88" spans="1:19" ht="13.5">
      <c r="A88" s="575"/>
      <c r="B88" s="575"/>
      <c r="C88" s="572"/>
      <c r="D88" s="419"/>
      <c r="E88" s="573" t="s">
        <v>637</v>
      </c>
      <c r="F88" s="842">
        <v>1.012869049633456</v>
      </c>
      <c r="G88" s="611">
        <f>'WKSHT4 - Monthly Tx System Peak'!C69</f>
        <v>746</v>
      </c>
      <c r="H88" s="626">
        <f t="shared" si="6"/>
        <v>755600.31102655816</v>
      </c>
      <c r="I88" s="1347">
        <f t="shared" si="8"/>
        <v>-69606.42055727783</v>
      </c>
      <c r="J88" s="626">
        <f t="shared" si="7"/>
        <v>825206.73158383602</v>
      </c>
      <c r="K88" s="419"/>
      <c r="L88" s="573"/>
      <c r="M88" s="573"/>
      <c r="N88" s="573"/>
      <c r="O88" s="573"/>
      <c r="P88" s="573"/>
      <c r="Q88" s="573"/>
      <c r="R88" s="573"/>
      <c r="S88" s="573"/>
    </row>
    <row r="89" spans="1:19" ht="13.5">
      <c r="A89" s="575"/>
      <c r="B89" s="575"/>
      <c r="C89" s="572"/>
      <c r="D89" s="419"/>
      <c r="E89" s="573" t="s">
        <v>638</v>
      </c>
      <c r="F89" s="842">
        <v>1.012869049633456</v>
      </c>
      <c r="G89" s="611">
        <f>'WKSHT4 - Monthly Tx System Peak'!C70</f>
        <v>746</v>
      </c>
      <c r="H89" s="626">
        <f t="shared" si="6"/>
        <v>755600.31102655816</v>
      </c>
      <c r="I89" s="1347">
        <f t="shared" si="8"/>
        <v>-69606.42055727783</v>
      </c>
      <c r="J89" s="626">
        <f t="shared" si="7"/>
        <v>825206.73158383602</v>
      </c>
      <c r="K89" s="419"/>
      <c r="L89" s="573"/>
      <c r="M89" s="573"/>
      <c r="N89" s="573"/>
      <c r="O89" s="573"/>
      <c r="P89" s="573"/>
      <c r="Q89" s="573"/>
      <c r="R89" s="573"/>
      <c r="S89" s="573"/>
    </row>
    <row r="90" spans="1:19" ht="13.5">
      <c r="A90" s="575"/>
      <c r="B90" s="575"/>
      <c r="C90" s="572"/>
      <c r="D90" s="419"/>
      <c r="E90" s="573" t="s">
        <v>639</v>
      </c>
      <c r="F90" s="842">
        <v>1.012869049633456</v>
      </c>
      <c r="G90" s="611">
        <f>'WKSHT4 - Monthly Tx System Peak'!C71</f>
        <v>746</v>
      </c>
      <c r="H90" s="626">
        <f t="shared" si="6"/>
        <v>755600.31102655816</v>
      </c>
      <c r="I90" s="1347">
        <f t="shared" si="8"/>
        <v>-69606.42055727783</v>
      </c>
      <c r="J90" s="626">
        <f t="shared" si="7"/>
        <v>825206.73158383602</v>
      </c>
      <c r="K90" s="419"/>
      <c r="L90" s="573"/>
      <c r="M90" s="573"/>
      <c r="N90" s="573"/>
      <c r="O90" s="573"/>
      <c r="P90" s="573"/>
      <c r="Q90" s="573"/>
      <c r="R90" s="573"/>
      <c r="S90" s="573"/>
    </row>
    <row r="91" spans="1:19" ht="13.5">
      <c r="A91" s="575"/>
      <c r="B91" s="575"/>
      <c r="C91" s="572"/>
      <c r="D91" s="573"/>
      <c r="E91" s="573" t="s">
        <v>1007</v>
      </c>
      <c r="F91" s="612"/>
      <c r="G91" s="612"/>
      <c r="H91" s="612"/>
      <c r="I91" s="612"/>
      <c r="J91" s="626">
        <f>SUM(J79:J90)</f>
        <v>10512388.412223618</v>
      </c>
      <c r="K91" s="419"/>
      <c r="L91" s="573"/>
      <c r="M91" s="573"/>
      <c r="N91" s="573"/>
      <c r="O91" s="573"/>
      <c r="P91" s="573"/>
      <c r="Q91" s="573"/>
      <c r="R91" s="573"/>
      <c r="S91" s="573"/>
    </row>
    <row r="92" spans="1:19" ht="13.5">
      <c r="A92" s="575"/>
      <c r="B92" s="575"/>
      <c r="C92" s="572"/>
      <c r="D92" s="573"/>
      <c r="E92" s="612"/>
      <c r="F92" s="612"/>
      <c r="G92" s="612"/>
      <c r="H92" s="612"/>
      <c r="I92" s="612"/>
      <c r="J92" s="419"/>
      <c r="K92" s="419"/>
      <c r="L92" s="573"/>
      <c r="M92" s="573"/>
      <c r="N92" s="573"/>
      <c r="O92" s="573"/>
      <c r="P92" s="573"/>
      <c r="Q92" s="573"/>
      <c r="R92" s="573"/>
      <c r="S92" s="573"/>
    </row>
    <row r="93" spans="1:19" ht="13.5">
      <c r="A93" s="575"/>
      <c r="B93" s="575"/>
      <c r="C93" s="572"/>
      <c r="D93" s="573"/>
      <c r="E93" s="612"/>
      <c r="F93" s="612"/>
      <c r="G93" s="612"/>
      <c r="H93" s="612"/>
      <c r="I93" s="612"/>
      <c r="J93" s="419"/>
      <c r="K93" s="419"/>
      <c r="L93" s="573"/>
      <c r="M93" s="573"/>
      <c r="N93" s="573"/>
      <c r="O93" s="573"/>
      <c r="P93" s="573"/>
      <c r="Q93" s="573"/>
      <c r="R93" s="573"/>
      <c r="S93" s="573"/>
    </row>
    <row r="94" spans="1:19" ht="13.5">
      <c r="A94" s="575"/>
      <c r="B94" s="575"/>
      <c r="C94" s="572"/>
      <c r="D94" s="579"/>
      <c r="E94" s="573"/>
      <c r="F94" s="419"/>
      <c r="G94" s="573"/>
      <c r="H94" s="573"/>
      <c r="I94" s="573"/>
      <c r="J94" s="573"/>
      <c r="K94" s="573"/>
      <c r="L94" s="573"/>
      <c r="M94" s="573"/>
      <c r="N94" s="573"/>
      <c r="O94" s="573"/>
      <c r="P94" s="573"/>
      <c r="Q94" s="573"/>
      <c r="R94" s="573"/>
      <c r="S94" s="573"/>
    </row>
    <row r="95" spans="1:19" ht="31.5">
      <c r="A95" s="575"/>
      <c r="B95" s="575"/>
      <c r="C95" s="572"/>
      <c r="D95" s="574" t="s">
        <v>1008</v>
      </c>
      <c r="E95" s="1759"/>
      <c r="F95" s="1759" t="s">
        <v>983</v>
      </c>
      <c r="G95" s="573"/>
      <c r="H95" s="1760" t="s">
        <v>1102</v>
      </c>
      <c r="I95" s="573"/>
      <c r="J95" s="1761" t="s">
        <v>1103</v>
      </c>
      <c r="K95" s="185"/>
      <c r="L95" s="1762" t="s">
        <v>1104</v>
      </c>
      <c r="M95" s="573"/>
      <c r="N95" s="573"/>
      <c r="O95" s="573"/>
      <c r="P95" s="573"/>
      <c r="Q95" s="573"/>
      <c r="R95" s="573"/>
      <c r="S95" s="573"/>
    </row>
    <row r="96" spans="1:19" ht="15.75">
      <c r="A96" s="575"/>
      <c r="B96" s="575"/>
      <c r="C96" s="579" t="s">
        <v>1009</v>
      </c>
      <c r="D96" s="609">
        <f>D68</f>
        <v>5989714</v>
      </c>
      <c r="E96" s="572" t="s">
        <v>422</v>
      </c>
      <c r="F96" s="609">
        <f>J91</f>
        <v>10512388.412223618</v>
      </c>
      <c r="G96" s="572" t="s">
        <v>423</v>
      </c>
      <c r="H96" s="588">
        <f>D96-F96</f>
        <v>-4522674.4122236185</v>
      </c>
      <c r="I96" s="572" t="s">
        <v>422</v>
      </c>
      <c r="J96" s="1777">
        <f>M84</f>
        <v>0</v>
      </c>
      <c r="K96" s="1755" t="s">
        <v>423</v>
      </c>
      <c r="L96" s="1738">
        <f>H96-J96</f>
        <v>-4522674.4122236185</v>
      </c>
      <c r="M96" s="183"/>
      <c r="N96" s="573"/>
      <c r="O96" s="573"/>
      <c r="P96" s="573"/>
      <c r="Q96" s="573"/>
      <c r="R96" s="573"/>
      <c r="S96" s="573"/>
    </row>
    <row r="97" spans="1:19" ht="15.75">
      <c r="A97" s="572"/>
      <c r="B97" s="572"/>
      <c r="C97" s="572"/>
      <c r="D97" s="613"/>
      <c r="E97" s="572"/>
      <c r="F97" s="588"/>
      <c r="G97" s="572"/>
      <c r="H97" s="588"/>
      <c r="I97" s="573"/>
      <c r="J97" s="176"/>
      <c r="K97" s="12"/>
      <c r="L97" s="12"/>
      <c r="M97" s="183"/>
      <c r="N97" s="573"/>
      <c r="O97" s="573"/>
      <c r="P97" s="573"/>
      <c r="Q97" s="573"/>
      <c r="R97" s="573"/>
      <c r="S97" s="573"/>
    </row>
    <row r="98" spans="1:19" ht="15.75">
      <c r="A98" s="572"/>
      <c r="B98" s="572"/>
      <c r="C98" s="572"/>
      <c r="D98" s="613"/>
      <c r="E98" s="572"/>
      <c r="F98" s="588"/>
      <c r="G98" s="572"/>
      <c r="H98" s="588"/>
      <c r="I98" s="573"/>
      <c r="J98" s="176"/>
      <c r="K98" s="12"/>
      <c r="L98" s="12"/>
      <c r="M98" s="183"/>
      <c r="N98" s="573"/>
      <c r="O98" s="573"/>
      <c r="P98" s="573"/>
      <c r="Q98" s="573"/>
      <c r="R98" s="573"/>
      <c r="S98" s="573"/>
    </row>
    <row r="99" spans="1:19" ht="15.75">
      <c r="A99" s="572"/>
      <c r="B99" s="572"/>
      <c r="C99" s="572"/>
      <c r="D99" s="1320" t="s">
        <v>640</v>
      </c>
      <c r="E99" s="575"/>
      <c r="F99" s="609"/>
      <c r="G99" s="572"/>
      <c r="H99" s="588"/>
      <c r="I99" s="573"/>
      <c r="J99" s="176"/>
      <c r="K99" s="12"/>
      <c r="L99" s="12"/>
      <c r="M99" s="183"/>
      <c r="N99" s="573"/>
      <c r="O99" s="573"/>
      <c r="P99" s="573"/>
      <c r="Q99" s="573"/>
      <c r="R99" s="573"/>
      <c r="S99" s="573"/>
    </row>
    <row r="100" spans="1:19" ht="15.75">
      <c r="A100" s="572"/>
      <c r="B100" s="572"/>
      <c r="C100" s="572"/>
      <c r="D100" s="2012" t="s">
        <v>1010</v>
      </c>
      <c r="E100" s="2012"/>
      <c r="F100" s="176">
        <f>'6 - Est and True up'!F119</f>
        <v>7.1000000000000004E-3</v>
      </c>
      <c r="G100" s="575"/>
      <c r="H100" s="609"/>
      <c r="I100" s="573"/>
      <c r="J100" s="176"/>
      <c r="K100" s="12"/>
      <c r="L100" s="12"/>
      <c r="M100" s="183"/>
      <c r="N100" s="573"/>
      <c r="O100" s="573"/>
      <c r="P100" s="573"/>
      <c r="Q100" s="573"/>
      <c r="R100" s="573"/>
      <c r="S100" s="573"/>
    </row>
    <row r="101" spans="1:19" ht="13.5">
      <c r="A101" s="572"/>
      <c r="B101" s="572"/>
      <c r="C101" s="572"/>
      <c r="D101" s="606" t="s">
        <v>622</v>
      </c>
      <c r="E101" s="572" t="s">
        <v>641</v>
      </c>
      <c r="F101" s="575" t="s">
        <v>1011</v>
      </c>
      <c r="G101" s="1735" t="s">
        <v>1012</v>
      </c>
      <c r="H101" s="575"/>
      <c r="I101" s="606" t="s">
        <v>642</v>
      </c>
      <c r="J101" s="576" t="s">
        <v>1013</v>
      </c>
      <c r="K101" s="573"/>
      <c r="L101" s="573"/>
      <c r="M101" s="573"/>
      <c r="N101" s="573"/>
      <c r="O101" s="573"/>
      <c r="P101" s="573"/>
      <c r="Q101" s="573"/>
      <c r="R101" s="573"/>
      <c r="S101" s="573"/>
    </row>
    <row r="102" spans="1:19" ht="13.5">
      <c r="A102" s="572"/>
      <c r="B102" s="572"/>
      <c r="C102" s="572"/>
      <c r="D102" s="572"/>
      <c r="E102" s="572"/>
      <c r="F102" s="575" t="s">
        <v>1014</v>
      </c>
      <c r="G102" s="575" t="s">
        <v>1015</v>
      </c>
      <c r="H102" s="575" t="s">
        <v>643</v>
      </c>
      <c r="I102" s="572"/>
      <c r="J102" s="572"/>
      <c r="K102" s="573" t="s">
        <v>1016</v>
      </c>
      <c r="L102" s="573"/>
      <c r="M102" s="573"/>
      <c r="N102" s="573"/>
      <c r="O102" s="573"/>
      <c r="P102" s="573"/>
      <c r="Q102" s="573"/>
      <c r="R102" s="573"/>
      <c r="S102" s="573"/>
    </row>
    <row r="103" spans="1:19" ht="13.5">
      <c r="A103" s="572"/>
      <c r="B103" s="572"/>
      <c r="C103" s="572"/>
      <c r="D103" s="573" t="s">
        <v>629</v>
      </c>
      <c r="E103" s="573" t="s">
        <v>367</v>
      </c>
      <c r="F103" s="609">
        <f>L96/12</f>
        <v>-376889.53435196821</v>
      </c>
      <c r="G103" s="1731">
        <f>+F100</f>
        <v>7.1000000000000004E-3</v>
      </c>
      <c r="H103" s="577">
        <v>12</v>
      </c>
      <c r="I103" s="583">
        <f>+F103*G103*H103</f>
        <v>-32110.988326787694</v>
      </c>
      <c r="J103" s="583">
        <f>+F103+I103</f>
        <v>-409000.52267875592</v>
      </c>
      <c r="K103" s="573" t="s">
        <v>1017</v>
      </c>
      <c r="L103" s="573"/>
      <c r="M103" s="573"/>
      <c r="N103" s="573"/>
      <c r="O103" s="573"/>
      <c r="P103" s="573"/>
      <c r="Q103" s="573"/>
      <c r="R103" s="573"/>
      <c r="S103" s="573"/>
    </row>
    <row r="104" spans="1:19" ht="13.5">
      <c r="A104" s="572"/>
      <c r="B104" s="572"/>
      <c r="C104" s="572"/>
      <c r="D104" s="573" t="s">
        <v>630</v>
      </c>
      <c r="E104" s="573" t="s">
        <v>367</v>
      </c>
      <c r="F104" s="609">
        <f t="shared" ref="F104:G114" si="9">+F103</f>
        <v>-376889.53435196821</v>
      </c>
      <c r="G104" s="1732">
        <f>+G103</f>
        <v>7.1000000000000004E-3</v>
      </c>
      <c r="H104" s="577">
        <v>11</v>
      </c>
      <c r="I104" s="583">
        <f t="shared" ref="I104:I114" si="10">+F104*G104*H104</f>
        <v>-29435.072632888718</v>
      </c>
      <c r="J104" s="583">
        <f t="shared" ref="J104:J114" si="11">+F104+I104</f>
        <v>-406324.60698485695</v>
      </c>
      <c r="K104" s="573" t="s">
        <v>1018</v>
      </c>
      <c r="L104" s="573"/>
      <c r="M104" s="573"/>
      <c r="N104" s="573"/>
      <c r="O104" s="573"/>
      <c r="P104" s="573"/>
      <c r="Q104" s="573"/>
      <c r="R104" s="573"/>
      <c r="S104" s="573"/>
    </row>
    <row r="105" spans="1:19" ht="13.5">
      <c r="A105" s="572"/>
      <c r="B105" s="572"/>
      <c r="C105" s="572"/>
      <c r="D105" s="573" t="s">
        <v>631</v>
      </c>
      <c r="E105" s="573" t="s">
        <v>367</v>
      </c>
      <c r="F105" s="609">
        <f t="shared" si="9"/>
        <v>-376889.53435196821</v>
      </c>
      <c r="G105" s="1732">
        <f t="shared" si="9"/>
        <v>7.1000000000000004E-3</v>
      </c>
      <c r="H105" s="577">
        <v>10</v>
      </c>
      <c r="I105" s="583">
        <f t="shared" si="10"/>
        <v>-26759.156938989745</v>
      </c>
      <c r="J105" s="583">
        <f t="shared" si="11"/>
        <v>-403648.69129095797</v>
      </c>
      <c r="K105" s="573"/>
      <c r="L105" s="573"/>
      <c r="M105" s="573"/>
      <c r="N105" s="573"/>
      <c r="O105" s="573"/>
      <c r="P105" s="573"/>
      <c r="Q105" s="573"/>
      <c r="R105" s="573"/>
      <c r="S105" s="573"/>
    </row>
    <row r="106" spans="1:19" ht="13.5">
      <c r="A106" s="572"/>
      <c r="B106" s="572"/>
      <c r="C106" s="572"/>
      <c r="D106" s="573" t="s">
        <v>632</v>
      </c>
      <c r="E106" s="573" t="s">
        <v>367</v>
      </c>
      <c r="F106" s="609">
        <f t="shared" si="9"/>
        <v>-376889.53435196821</v>
      </c>
      <c r="G106" s="1732">
        <f t="shared" si="9"/>
        <v>7.1000000000000004E-3</v>
      </c>
      <c r="H106" s="577">
        <v>9</v>
      </c>
      <c r="I106" s="583">
        <f t="shared" si="10"/>
        <v>-24083.241245090772</v>
      </c>
      <c r="J106" s="583">
        <f t="shared" si="11"/>
        <v>-400972.77559705899</v>
      </c>
      <c r="K106" s="573"/>
      <c r="L106" s="573"/>
      <c r="M106" s="573"/>
      <c r="N106" s="573"/>
      <c r="O106" s="573"/>
      <c r="P106" s="573"/>
      <c r="Q106" s="573"/>
      <c r="R106" s="573"/>
      <c r="S106" s="573"/>
    </row>
    <row r="107" spans="1:19" ht="13.5">
      <c r="A107" s="572"/>
      <c r="B107" s="572"/>
      <c r="C107" s="572"/>
      <c r="D107" s="573" t="s">
        <v>627</v>
      </c>
      <c r="E107" s="573" t="s">
        <v>367</v>
      </c>
      <c r="F107" s="609">
        <f t="shared" si="9"/>
        <v>-376889.53435196821</v>
      </c>
      <c r="G107" s="1732">
        <f t="shared" si="9"/>
        <v>7.1000000000000004E-3</v>
      </c>
      <c r="H107" s="577">
        <v>8</v>
      </c>
      <c r="I107" s="583">
        <f t="shared" si="10"/>
        <v>-21407.325551191796</v>
      </c>
      <c r="J107" s="583">
        <f t="shared" si="11"/>
        <v>-398296.85990316002</v>
      </c>
      <c r="K107" s="573"/>
      <c r="L107" s="573"/>
      <c r="M107" s="573"/>
      <c r="N107" s="573"/>
      <c r="O107" s="573"/>
      <c r="P107" s="573"/>
      <c r="Q107" s="573"/>
      <c r="R107" s="573"/>
      <c r="S107" s="573"/>
    </row>
    <row r="108" spans="1:19" ht="13.5">
      <c r="A108" s="572"/>
      <c r="B108" s="572"/>
      <c r="C108" s="572"/>
      <c r="D108" s="573" t="s">
        <v>633</v>
      </c>
      <c r="E108" s="573" t="s">
        <v>367</v>
      </c>
      <c r="F108" s="609">
        <f t="shared" si="9"/>
        <v>-376889.53435196821</v>
      </c>
      <c r="G108" s="1732">
        <f t="shared" si="9"/>
        <v>7.1000000000000004E-3</v>
      </c>
      <c r="H108" s="577">
        <v>7</v>
      </c>
      <c r="I108" s="583">
        <f t="shared" si="10"/>
        <v>-18731.40985729282</v>
      </c>
      <c r="J108" s="583">
        <f t="shared" si="11"/>
        <v>-395620.94420926104</v>
      </c>
      <c r="K108" s="573"/>
      <c r="L108" s="573"/>
      <c r="M108" s="573"/>
      <c r="N108" s="573"/>
      <c r="O108" s="573"/>
      <c r="P108" s="573"/>
      <c r="Q108" s="573"/>
      <c r="R108" s="573"/>
      <c r="S108" s="573"/>
    </row>
    <row r="109" spans="1:19" ht="13.5">
      <c r="A109" s="572"/>
      <c r="B109" s="572"/>
      <c r="C109" s="572"/>
      <c r="D109" s="573" t="s">
        <v>634</v>
      </c>
      <c r="E109" s="573" t="s">
        <v>367</v>
      </c>
      <c r="F109" s="609">
        <f t="shared" si="9"/>
        <v>-376889.53435196821</v>
      </c>
      <c r="G109" s="1732">
        <f t="shared" si="9"/>
        <v>7.1000000000000004E-3</v>
      </c>
      <c r="H109" s="577">
        <v>6</v>
      </c>
      <c r="I109" s="583">
        <f t="shared" si="10"/>
        <v>-16055.494163393847</v>
      </c>
      <c r="J109" s="583">
        <f t="shared" si="11"/>
        <v>-392945.02851536206</v>
      </c>
      <c r="K109" s="573"/>
      <c r="L109" s="573"/>
      <c r="M109" s="573"/>
      <c r="N109" s="573"/>
      <c r="O109" s="573"/>
      <c r="P109" s="573"/>
      <c r="Q109" s="573"/>
      <c r="R109" s="573"/>
      <c r="S109" s="573"/>
    </row>
    <row r="110" spans="1:19" ht="13.5">
      <c r="A110" s="572"/>
      <c r="B110" s="572"/>
      <c r="C110" s="572"/>
      <c r="D110" s="573" t="s">
        <v>635</v>
      </c>
      <c r="E110" s="573" t="s">
        <v>601</v>
      </c>
      <c r="F110" s="609">
        <f t="shared" si="9"/>
        <v>-376889.53435196821</v>
      </c>
      <c r="G110" s="1732">
        <f t="shared" si="9"/>
        <v>7.1000000000000004E-3</v>
      </c>
      <c r="H110" s="577">
        <v>5</v>
      </c>
      <c r="I110" s="583">
        <f t="shared" si="10"/>
        <v>-13379.578469494872</v>
      </c>
      <c r="J110" s="583">
        <f t="shared" si="11"/>
        <v>-390269.11282146309</v>
      </c>
      <c r="K110" s="573"/>
      <c r="L110" s="573"/>
      <c r="M110" s="573"/>
      <c r="N110" s="573"/>
      <c r="O110" s="573"/>
      <c r="P110" s="573"/>
      <c r="Q110" s="573"/>
      <c r="R110" s="573"/>
      <c r="S110" s="573"/>
    </row>
    <row r="111" spans="1:19" ht="13.5">
      <c r="A111" s="572"/>
      <c r="B111" s="572"/>
      <c r="C111" s="572"/>
      <c r="D111" s="573" t="s">
        <v>636</v>
      </c>
      <c r="E111" s="573" t="s">
        <v>601</v>
      </c>
      <c r="F111" s="609">
        <f t="shared" si="9"/>
        <v>-376889.53435196821</v>
      </c>
      <c r="G111" s="1732">
        <f t="shared" si="9"/>
        <v>7.1000000000000004E-3</v>
      </c>
      <c r="H111" s="577">
        <v>4</v>
      </c>
      <c r="I111" s="583">
        <f t="shared" si="10"/>
        <v>-10703.662775595898</v>
      </c>
      <c r="J111" s="583">
        <f t="shared" si="11"/>
        <v>-387593.19712756411</v>
      </c>
      <c r="K111" s="573"/>
      <c r="L111" s="573"/>
      <c r="M111" s="573"/>
      <c r="N111" s="573"/>
      <c r="O111" s="573"/>
      <c r="P111" s="573"/>
      <c r="Q111" s="573"/>
      <c r="R111" s="573"/>
      <c r="S111" s="573"/>
    </row>
    <row r="112" spans="1:19" ht="13.5">
      <c r="A112" s="572"/>
      <c r="B112" s="572"/>
      <c r="C112" s="572"/>
      <c r="D112" s="573" t="s">
        <v>637</v>
      </c>
      <c r="E112" s="573" t="s">
        <v>601</v>
      </c>
      <c r="F112" s="609">
        <f t="shared" si="9"/>
        <v>-376889.53435196821</v>
      </c>
      <c r="G112" s="1732">
        <f t="shared" si="9"/>
        <v>7.1000000000000004E-3</v>
      </c>
      <c r="H112" s="577">
        <v>3</v>
      </c>
      <c r="I112" s="583">
        <f t="shared" si="10"/>
        <v>-8027.7470816969235</v>
      </c>
      <c r="J112" s="583">
        <f t="shared" si="11"/>
        <v>-384917.28143366514</v>
      </c>
      <c r="K112" s="573"/>
      <c r="L112" s="573"/>
      <c r="M112" s="573"/>
      <c r="N112" s="573"/>
      <c r="O112" s="573"/>
      <c r="P112" s="573"/>
      <c r="Q112" s="573"/>
      <c r="R112" s="573"/>
      <c r="S112" s="573"/>
    </row>
    <row r="113" spans="1:19" ht="13.5">
      <c r="A113" s="572"/>
      <c r="B113" s="572"/>
      <c r="C113" s="572"/>
      <c r="D113" s="573" t="s">
        <v>638</v>
      </c>
      <c r="E113" s="573" t="s">
        <v>601</v>
      </c>
      <c r="F113" s="609">
        <f t="shared" si="9"/>
        <v>-376889.53435196821</v>
      </c>
      <c r="G113" s="1732">
        <f t="shared" si="9"/>
        <v>7.1000000000000004E-3</v>
      </c>
      <c r="H113" s="577">
        <v>2</v>
      </c>
      <c r="I113" s="583">
        <f t="shared" si="10"/>
        <v>-5351.831387797949</v>
      </c>
      <c r="J113" s="583">
        <f t="shared" si="11"/>
        <v>-382241.36573976616</v>
      </c>
      <c r="K113" s="573"/>
      <c r="L113" s="573"/>
      <c r="M113" s="573"/>
      <c r="N113" s="573"/>
      <c r="O113" s="573"/>
      <c r="P113" s="573"/>
      <c r="Q113" s="573"/>
      <c r="R113" s="573"/>
      <c r="S113" s="573"/>
    </row>
    <row r="114" spans="1:19" ht="13.5">
      <c r="A114" s="572"/>
      <c r="B114" s="572"/>
      <c r="C114" s="572"/>
      <c r="D114" s="573" t="s">
        <v>639</v>
      </c>
      <c r="E114" s="573" t="s">
        <v>601</v>
      </c>
      <c r="F114" s="609">
        <f t="shared" si="9"/>
        <v>-376889.53435196821</v>
      </c>
      <c r="G114" s="1732">
        <f t="shared" si="9"/>
        <v>7.1000000000000004E-3</v>
      </c>
      <c r="H114" s="577">
        <v>1</v>
      </c>
      <c r="I114" s="583">
        <f t="shared" si="10"/>
        <v>-2675.9156938989745</v>
      </c>
      <c r="J114" s="583">
        <f t="shared" si="11"/>
        <v>-379565.45004586718</v>
      </c>
      <c r="K114" s="573"/>
      <c r="L114" s="573"/>
      <c r="M114" s="573"/>
      <c r="N114" s="573"/>
      <c r="O114" s="573"/>
      <c r="P114" s="573"/>
      <c r="Q114" s="573"/>
      <c r="R114" s="573"/>
      <c r="S114" s="573"/>
    </row>
    <row r="115" spans="1:19" ht="13.5">
      <c r="A115" s="572"/>
      <c r="B115" s="572"/>
      <c r="C115" s="572"/>
      <c r="D115" s="573" t="s">
        <v>851</v>
      </c>
      <c r="E115" s="573"/>
      <c r="F115" s="609">
        <v>0</v>
      </c>
      <c r="G115" s="577"/>
      <c r="H115" s="577"/>
      <c r="I115" s="573"/>
      <c r="J115" s="583">
        <f>SUM(J103:J114)</f>
        <v>-4731395.8363477392</v>
      </c>
      <c r="K115" s="573"/>
      <c r="L115" s="573"/>
      <c r="M115" s="573"/>
      <c r="N115" s="573"/>
      <c r="O115" s="573"/>
      <c r="P115" s="573"/>
      <c r="Q115" s="573"/>
      <c r="R115" s="573"/>
      <c r="S115" s="573"/>
    </row>
    <row r="116" spans="1:19" ht="27">
      <c r="A116" s="572"/>
      <c r="B116" s="572"/>
      <c r="C116" s="572"/>
      <c r="D116" s="573"/>
      <c r="E116" s="573"/>
      <c r="F116" s="1735" t="s">
        <v>644</v>
      </c>
      <c r="G116" s="1733" t="s">
        <v>1019</v>
      </c>
      <c r="H116" s="1733" t="s">
        <v>1020</v>
      </c>
      <c r="I116" s="606" t="s">
        <v>642</v>
      </c>
      <c r="J116" s="583" t="str">
        <f>+J101</f>
        <v>Surcharge (Refund) Owed</v>
      </c>
      <c r="K116" s="573"/>
      <c r="L116" s="573"/>
      <c r="M116" s="573"/>
      <c r="N116" s="573"/>
      <c r="O116" s="573"/>
      <c r="P116" s="573"/>
      <c r="Q116" s="573"/>
      <c r="R116" s="573"/>
      <c r="S116" s="573"/>
    </row>
    <row r="117" spans="1:19" ht="13.5">
      <c r="A117" s="572"/>
      <c r="B117" s="572"/>
      <c r="C117" s="572"/>
      <c r="D117" s="573" t="s">
        <v>629</v>
      </c>
      <c r="E117" s="573" t="s">
        <v>601</v>
      </c>
      <c r="F117" s="609">
        <f>+J115</f>
        <v>-4731395.8363477392</v>
      </c>
      <c r="G117" s="1732">
        <f>+G114</f>
        <v>7.1000000000000004E-3</v>
      </c>
      <c r="H117" s="590">
        <v>0</v>
      </c>
      <c r="I117" s="583">
        <f t="shared" ref="I117:I133" si="12">+F117*G117</f>
        <v>-33592.910438068953</v>
      </c>
      <c r="J117" s="583">
        <f>+F117+I117-H117</f>
        <v>-4764988.7467858084</v>
      </c>
      <c r="K117" s="573"/>
      <c r="L117" s="573"/>
      <c r="M117" s="573"/>
      <c r="N117" s="573"/>
      <c r="O117" s="573"/>
      <c r="P117" s="573"/>
      <c r="Q117" s="573"/>
      <c r="R117" s="573"/>
      <c r="S117" s="573"/>
    </row>
    <row r="118" spans="1:19" ht="13.5">
      <c r="A118" s="572"/>
      <c r="B118" s="572"/>
      <c r="C118" s="572"/>
      <c r="D118" s="573" t="s">
        <v>630</v>
      </c>
      <c r="E118" s="573" t="s">
        <v>601</v>
      </c>
      <c r="F118" s="609">
        <f>+J117</f>
        <v>-4764988.7467858084</v>
      </c>
      <c r="G118" s="1732">
        <f>+G117</f>
        <v>7.1000000000000004E-3</v>
      </c>
      <c r="H118" s="590">
        <f>H117</f>
        <v>0</v>
      </c>
      <c r="I118" s="583">
        <f t="shared" si="12"/>
        <v>-33831.42010217924</v>
      </c>
      <c r="J118" s="583">
        <f t="shared" ref="J118:J133" si="13">+F118+I118-H118</f>
        <v>-4798820.1668879874</v>
      </c>
      <c r="K118" s="573"/>
      <c r="L118" s="573"/>
      <c r="M118" s="573"/>
      <c r="N118" s="573"/>
      <c r="O118" s="573"/>
      <c r="P118" s="573"/>
      <c r="Q118" s="573"/>
      <c r="R118" s="573"/>
      <c r="S118" s="573"/>
    </row>
    <row r="119" spans="1:19" ht="13.5">
      <c r="A119" s="572"/>
      <c r="B119" s="572"/>
      <c r="C119" s="572"/>
      <c r="D119" s="573" t="s">
        <v>631</v>
      </c>
      <c r="E119" s="573" t="s">
        <v>601</v>
      </c>
      <c r="F119" s="609">
        <f t="shared" ref="F119:F133" si="14">+J118</f>
        <v>-4798820.1668879874</v>
      </c>
      <c r="G119" s="1732">
        <f t="shared" ref="G119:G133" si="15">+G118</f>
        <v>7.1000000000000004E-3</v>
      </c>
      <c r="H119" s="590">
        <f t="shared" ref="H119:H133" si="16">H118</f>
        <v>0</v>
      </c>
      <c r="I119" s="583">
        <f t="shared" si="12"/>
        <v>-34071.623184904711</v>
      </c>
      <c r="J119" s="583">
        <f t="shared" si="13"/>
        <v>-4832891.7900728919</v>
      </c>
      <c r="K119" s="573"/>
      <c r="L119" s="573"/>
      <c r="M119" s="573"/>
      <c r="N119" s="573"/>
      <c r="O119" s="573"/>
      <c r="P119" s="573"/>
      <c r="Q119" s="573"/>
      <c r="R119" s="573"/>
      <c r="S119" s="573"/>
    </row>
    <row r="120" spans="1:19" ht="13.5">
      <c r="A120" s="572"/>
      <c r="B120" s="572"/>
      <c r="C120" s="572"/>
      <c r="D120" s="573" t="s">
        <v>632</v>
      </c>
      <c r="E120" s="573" t="s">
        <v>601</v>
      </c>
      <c r="F120" s="609">
        <f t="shared" si="14"/>
        <v>-4832891.7900728919</v>
      </c>
      <c r="G120" s="1732">
        <f t="shared" si="15"/>
        <v>7.1000000000000004E-3</v>
      </c>
      <c r="H120" s="590">
        <f t="shared" si="16"/>
        <v>0</v>
      </c>
      <c r="I120" s="583">
        <f t="shared" si="12"/>
        <v>-34313.531709517534</v>
      </c>
      <c r="J120" s="583">
        <f t="shared" si="13"/>
        <v>-4867205.3217824092</v>
      </c>
      <c r="K120" s="616"/>
      <c r="L120" s="573"/>
      <c r="M120" s="573"/>
      <c r="N120" s="573"/>
      <c r="O120" s="573"/>
      <c r="P120" s="573"/>
      <c r="Q120" s="573"/>
      <c r="R120" s="573"/>
      <c r="S120" s="573"/>
    </row>
    <row r="121" spans="1:19" ht="13.5">
      <c r="A121" s="572"/>
      <c r="B121" s="572"/>
      <c r="C121" s="572"/>
      <c r="D121" s="573" t="s">
        <v>627</v>
      </c>
      <c r="E121" s="573" t="s">
        <v>601</v>
      </c>
      <c r="F121" s="609">
        <f t="shared" si="14"/>
        <v>-4867205.3217824092</v>
      </c>
      <c r="G121" s="1732">
        <f t="shared" si="15"/>
        <v>7.1000000000000004E-3</v>
      </c>
      <c r="H121" s="590">
        <f t="shared" si="16"/>
        <v>0</v>
      </c>
      <c r="I121" s="583">
        <f t="shared" si="12"/>
        <v>-34557.157784655108</v>
      </c>
      <c r="J121" s="583">
        <f t="shared" si="13"/>
        <v>-4901762.479567064</v>
      </c>
      <c r="K121" s="615"/>
      <c r="L121" s="573"/>
      <c r="M121" s="573"/>
      <c r="N121" s="573"/>
      <c r="O121" s="573"/>
      <c r="P121" s="573"/>
      <c r="Q121" s="573"/>
      <c r="R121" s="573"/>
      <c r="S121" s="573"/>
    </row>
    <row r="122" spans="1:19" ht="13.5">
      <c r="A122" s="572"/>
      <c r="B122" s="572"/>
      <c r="C122" s="572"/>
      <c r="D122" s="573" t="s">
        <v>633</v>
      </c>
      <c r="E122" s="573" t="s">
        <v>601</v>
      </c>
      <c r="F122" s="609">
        <f t="shared" si="14"/>
        <v>-4901762.479567064</v>
      </c>
      <c r="G122" s="1732">
        <f t="shared" si="15"/>
        <v>7.1000000000000004E-3</v>
      </c>
      <c r="H122" s="590">
        <f>-PMT(G122,12,J121)</f>
        <v>-427576.05347899074</v>
      </c>
      <c r="I122" s="583">
        <f t="shared" si="12"/>
        <v>-34802.513604926156</v>
      </c>
      <c r="J122" s="583">
        <f t="shared" si="13"/>
        <v>-4508988.9396929992</v>
      </c>
      <c r="K122" s="573"/>
      <c r="L122" s="573"/>
      <c r="M122" s="573"/>
      <c r="N122" s="573"/>
      <c r="O122" s="573"/>
      <c r="P122" s="573"/>
      <c r="Q122" s="573"/>
      <c r="R122" s="573"/>
      <c r="S122" s="573"/>
    </row>
    <row r="123" spans="1:19" ht="13.5">
      <c r="A123" s="572"/>
      <c r="B123" s="572"/>
      <c r="C123" s="572"/>
      <c r="D123" s="573" t="s">
        <v>634</v>
      </c>
      <c r="E123" s="573" t="s">
        <v>601</v>
      </c>
      <c r="F123" s="609">
        <f t="shared" si="14"/>
        <v>-4508988.9396929992</v>
      </c>
      <c r="G123" s="1732">
        <f t="shared" si="15"/>
        <v>7.1000000000000004E-3</v>
      </c>
      <c r="H123" s="590">
        <f t="shared" si="16"/>
        <v>-427576.05347899074</v>
      </c>
      <c r="I123" s="583">
        <f t="shared" si="12"/>
        <v>-32013.821471820298</v>
      </c>
      <c r="J123" s="583">
        <f t="shared" si="13"/>
        <v>-4113426.7076858291</v>
      </c>
      <c r="K123" s="573"/>
      <c r="L123" s="573"/>
      <c r="M123" s="573"/>
      <c r="N123" s="573"/>
      <c r="O123" s="573"/>
      <c r="P123" s="573"/>
      <c r="Q123" s="573"/>
      <c r="R123" s="573"/>
      <c r="S123" s="573"/>
    </row>
    <row r="124" spans="1:19" ht="13.5">
      <c r="A124" s="572"/>
      <c r="B124" s="572"/>
      <c r="C124" s="572"/>
      <c r="D124" s="573" t="s">
        <v>635</v>
      </c>
      <c r="E124" s="573" t="s">
        <v>601</v>
      </c>
      <c r="F124" s="609">
        <f t="shared" si="14"/>
        <v>-4113426.7076858291</v>
      </c>
      <c r="G124" s="1732">
        <f t="shared" si="15"/>
        <v>7.1000000000000004E-3</v>
      </c>
      <c r="H124" s="590">
        <f t="shared" si="16"/>
        <v>-427576.05347899074</v>
      </c>
      <c r="I124" s="583">
        <f t="shared" si="12"/>
        <v>-29205.329624569389</v>
      </c>
      <c r="J124" s="583">
        <f t="shared" si="13"/>
        <v>-3715055.983831408</v>
      </c>
      <c r="K124" s="573"/>
      <c r="L124" s="573"/>
      <c r="M124" s="573"/>
      <c r="N124" s="573"/>
      <c r="O124" s="573"/>
      <c r="P124" s="573"/>
      <c r="Q124" s="573"/>
      <c r="R124" s="573"/>
      <c r="S124" s="573"/>
    </row>
    <row r="125" spans="1:19" ht="13.5">
      <c r="A125" s="572"/>
      <c r="B125" s="572"/>
      <c r="C125" s="572"/>
      <c r="D125" s="573" t="s">
        <v>636</v>
      </c>
      <c r="E125" s="573" t="s">
        <v>601</v>
      </c>
      <c r="F125" s="609">
        <f t="shared" si="14"/>
        <v>-3715055.983831408</v>
      </c>
      <c r="G125" s="1732">
        <f t="shared" si="15"/>
        <v>7.1000000000000004E-3</v>
      </c>
      <c r="H125" s="590">
        <f t="shared" si="16"/>
        <v>-427576.05347899074</v>
      </c>
      <c r="I125" s="583">
        <f t="shared" si="12"/>
        <v>-26376.897485202997</v>
      </c>
      <c r="J125" s="583">
        <f t="shared" si="13"/>
        <v>-3313856.8278376204</v>
      </c>
      <c r="K125" s="573"/>
      <c r="L125" s="573"/>
      <c r="M125" s="573"/>
      <c r="N125" s="573"/>
      <c r="O125" s="573"/>
      <c r="P125" s="573"/>
      <c r="Q125" s="573"/>
      <c r="R125" s="573"/>
      <c r="S125" s="573"/>
    </row>
    <row r="126" spans="1:19" ht="13.5">
      <c r="A126" s="572"/>
      <c r="B126" s="572"/>
      <c r="C126" s="572"/>
      <c r="D126" s="573" t="s">
        <v>637</v>
      </c>
      <c r="E126" s="573" t="s">
        <v>601</v>
      </c>
      <c r="F126" s="609">
        <f t="shared" si="14"/>
        <v>-3313856.8278376204</v>
      </c>
      <c r="G126" s="1732">
        <f t="shared" si="15"/>
        <v>7.1000000000000004E-3</v>
      </c>
      <c r="H126" s="590">
        <f t="shared" si="16"/>
        <v>-427576.05347899074</v>
      </c>
      <c r="I126" s="583">
        <f t="shared" si="12"/>
        <v>-23528.383477647105</v>
      </c>
      <c r="J126" s="583">
        <f t="shared" si="13"/>
        <v>-2909809.157836277</v>
      </c>
      <c r="K126" s="573"/>
      <c r="L126" s="573"/>
      <c r="M126" s="573"/>
      <c r="N126" s="573"/>
      <c r="O126" s="573"/>
      <c r="P126" s="573"/>
      <c r="Q126" s="573"/>
      <c r="R126" s="573"/>
      <c r="S126" s="573"/>
    </row>
    <row r="127" spans="1:19" ht="13.5">
      <c r="A127" s="572"/>
      <c r="B127" s="572"/>
      <c r="C127" s="572"/>
      <c r="D127" s="573" t="s">
        <v>638</v>
      </c>
      <c r="E127" s="573" t="s">
        <v>601</v>
      </c>
      <c r="F127" s="609">
        <f t="shared" si="14"/>
        <v>-2909809.157836277</v>
      </c>
      <c r="G127" s="1732">
        <f t="shared" si="15"/>
        <v>7.1000000000000004E-3</v>
      </c>
      <c r="H127" s="590">
        <f t="shared" si="16"/>
        <v>-427576.05347899074</v>
      </c>
      <c r="I127" s="583">
        <f t="shared" si="12"/>
        <v>-20659.645020637567</v>
      </c>
      <c r="J127" s="583">
        <f t="shared" si="13"/>
        <v>-2502892.749377924</v>
      </c>
      <c r="K127" s="573"/>
      <c r="L127" s="573"/>
      <c r="M127" s="573"/>
      <c r="N127" s="573"/>
      <c r="O127" s="573"/>
      <c r="P127" s="573"/>
      <c r="Q127" s="573"/>
      <c r="R127" s="573"/>
      <c r="S127" s="573"/>
    </row>
    <row r="128" spans="1:19" ht="13.5">
      <c r="A128" s="572"/>
      <c r="B128" s="572"/>
      <c r="C128" s="572"/>
      <c r="D128" s="573" t="s">
        <v>639</v>
      </c>
      <c r="E128" s="573" t="s">
        <v>601</v>
      </c>
      <c r="F128" s="609">
        <f t="shared" si="14"/>
        <v>-2502892.749377924</v>
      </c>
      <c r="G128" s="1732">
        <f t="shared" si="15"/>
        <v>7.1000000000000004E-3</v>
      </c>
      <c r="H128" s="590">
        <f t="shared" si="16"/>
        <v>-427576.05347899074</v>
      </c>
      <c r="I128" s="583">
        <f t="shared" si="12"/>
        <v>-17770.538520583261</v>
      </c>
      <c r="J128" s="583">
        <f t="shared" si="13"/>
        <v>-2093087.2344195168</v>
      </c>
      <c r="K128" s="573"/>
      <c r="L128" s="573"/>
      <c r="M128" s="573"/>
      <c r="N128" s="573"/>
      <c r="O128" s="573"/>
      <c r="P128" s="573"/>
      <c r="Q128" s="573"/>
      <c r="R128" s="573"/>
      <c r="S128" s="573"/>
    </row>
    <row r="129" spans="1:19" ht="13.5">
      <c r="A129" s="572"/>
      <c r="B129" s="572"/>
      <c r="C129" s="572"/>
      <c r="D129" s="573" t="s">
        <v>629</v>
      </c>
      <c r="E129" s="573" t="s">
        <v>602</v>
      </c>
      <c r="F129" s="609">
        <f t="shared" si="14"/>
        <v>-2093087.2344195168</v>
      </c>
      <c r="G129" s="1732">
        <f t="shared" si="15"/>
        <v>7.1000000000000004E-3</v>
      </c>
      <c r="H129" s="590">
        <f t="shared" si="16"/>
        <v>-427576.05347899074</v>
      </c>
      <c r="I129" s="583">
        <f t="shared" si="12"/>
        <v>-14860.919364378569</v>
      </c>
      <c r="J129" s="583">
        <f t="shared" si="13"/>
        <v>-1680372.1003049049</v>
      </c>
      <c r="K129" s="573"/>
      <c r="L129" s="573"/>
      <c r="M129" s="573"/>
      <c r="N129" s="573"/>
      <c r="O129" s="573"/>
      <c r="P129" s="573"/>
      <c r="Q129" s="573"/>
      <c r="R129" s="573"/>
      <c r="S129" s="573"/>
    </row>
    <row r="130" spans="1:19" ht="13.5">
      <c r="A130" s="572"/>
      <c r="B130" s="572"/>
      <c r="C130" s="572"/>
      <c r="D130" s="573" t="s">
        <v>630</v>
      </c>
      <c r="E130" s="573" t="s">
        <v>602</v>
      </c>
      <c r="F130" s="609">
        <f t="shared" si="14"/>
        <v>-1680372.1003049049</v>
      </c>
      <c r="G130" s="1732">
        <f t="shared" si="15"/>
        <v>7.1000000000000004E-3</v>
      </c>
      <c r="H130" s="590">
        <f t="shared" si="16"/>
        <v>-427576.05347899074</v>
      </c>
      <c r="I130" s="583">
        <f t="shared" si="12"/>
        <v>-11930.641912164825</v>
      </c>
      <c r="J130" s="583">
        <f t="shared" si="13"/>
        <v>-1264726.688738079</v>
      </c>
      <c r="K130" s="573"/>
      <c r="L130" s="573"/>
      <c r="M130" s="573"/>
      <c r="N130" s="573"/>
      <c r="O130" s="573"/>
      <c r="P130" s="573"/>
      <c r="Q130" s="573"/>
      <c r="R130" s="573"/>
      <c r="S130" s="573"/>
    </row>
    <row r="131" spans="1:19" ht="13.5">
      <c r="A131" s="572"/>
      <c r="B131" s="572"/>
      <c r="C131" s="572"/>
      <c r="D131" s="573" t="s">
        <v>631</v>
      </c>
      <c r="E131" s="573" t="s">
        <v>602</v>
      </c>
      <c r="F131" s="609">
        <f t="shared" si="14"/>
        <v>-1264726.688738079</v>
      </c>
      <c r="G131" s="1732">
        <f t="shared" si="15"/>
        <v>7.1000000000000004E-3</v>
      </c>
      <c r="H131" s="590">
        <f t="shared" si="16"/>
        <v>-427576.05347899074</v>
      </c>
      <c r="I131" s="583">
        <f t="shared" si="12"/>
        <v>-8979.5594900403612</v>
      </c>
      <c r="J131" s="583">
        <f t="shared" si="13"/>
        <v>-846130.19474912877</v>
      </c>
      <c r="K131" s="573"/>
      <c r="L131" s="573"/>
      <c r="M131" s="573"/>
      <c r="N131" s="573"/>
      <c r="O131" s="573"/>
      <c r="P131" s="573"/>
      <c r="Q131" s="573"/>
      <c r="R131" s="573"/>
      <c r="S131" s="573"/>
    </row>
    <row r="132" spans="1:19" ht="13.5">
      <c r="A132" s="572"/>
      <c r="B132" s="572"/>
      <c r="C132" s="572"/>
      <c r="D132" s="573" t="s">
        <v>632</v>
      </c>
      <c r="E132" s="573" t="s">
        <v>602</v>
      </c>
      <c r="F132" s="609">
        <f t="shared" si="14"/>
        <v>-846130.19474912877</v>
      </c>
      <c r="G132" s="1732">
        <f t="shared" si="15"/>
        <v>7.1000000000000004E-3</v>
      </c>
      <c r="H132" s="590">
        <f t="shared" si="16"/>
        <v>-427576.05347899074</v>
      </c>
      <c r="I132" s="583">
        <f t="shared" si="12"/>
        <v>-6007.5243827188142</v>
      </c>
      <c r="J132" s="583">
        <f t="shared" si="13"/>
        <v>-424561.66565285687</v>
      </c>
      <c r="K132" s="573"/>
      <c r="L132" s="573"/>
      <c r="M132" s="573"/>
      <c r="N132" s="573"/>
      <c r="O132" s="573"/>
      <c r="P132" s="573"/>
      <c r="Q132" s="573"/>
      <c r="R132" s="573"/>
      <c r="S132" s="573"/>
    </row>
    <row r="133" spans="1:19" ht="13.5">
      <c r="A133" s="572"/>
      <c r="B133" s="572"/>
      <c r="C133" s="572"/>
      <c r="D133" s="573" t="s">
        <v>627</v>
      </c>
      <c r="E133" s="573" t="s">
        <v>602</v>
      </c>
      <c r="F133" s="609">
        <f t="shared" si="14"/>
        <v>-424561.66565285687</v>
      </c>
      <c r="G133" s="1732">
        <f t="shared" si="15"/>
        <v>7.1000000000000004E-3</v>
      </c>
      <c r="H133" s="590">
        <f t="shared" si="16"/>
        <v>-427576.05347899074</v>
      </c>
      <c r="I133" s="583">
        <f t="shared" si="12"/>
        <v>-3014.3878261352838</v>
      </c>
      <c r="J133" s="583">
        <f t="shared" si="13"/>
        <v>-1.3969838619232178E-9</v>
      </c>
      <c r="K133" s="573"/>
      <c r="L133" s="573"/>
      <c r="M133" s="573"/>
      <c r="N133" s="573"/>
      <c r="O133" s="573"/>
      <c r="P133" s="573"/>
      <c r="Q133" s="573"/>
      <c r="R133" s="573"/>
      <c r="S133" s="573"/>
    </row>
    <row r="134" spans="1:19" ht="13.5">
      <c r="A134" s="572"/>
      <c r="B134" s="572"/>
      <c r="C134" s="572"/>
      <c r="D134" s="573" t="s">
        <v>658</v>
      </c>
      <c r="E134" s="573"/>
      <c r="F134" s="573"/>
      <c r="G134" s="573"/>
      <c r="H134" s="588">
        <f>SUM(H117:H133)</f>
        <v>-5130912.6417478891</v>
      </c>
      <c r="I134" s="573"/>
      <c r="J134" s="573"/>
      <c r="K134" s="573"/>
      <c r="L134" s="573"/>
      <c r="M134" s="573"/>
      <c r="N134" s="573"/>
      <c r="O134" s="573"/>
      <c r="P134" s="573"/>
      <c r="Q134" s="573"/>
      <c r="R134" s="573"/>
      <c r="S134" s="573"/>
    </row>
    <row r="135" spans="1:19" ht="13.5">
      <c r="A135" s="572"/>
      <c r="B135" s="572"/>
      <c r="C135" s="572"/>
      <c r="D135" s="573"/>
      <c r="E135" s="573"/>
      <c r="F135" s="573"/>
      <c r="G135" s="573"/>
      <c r="H135" s="573"/>
      <c r="I135" s="573"/>
      <c r="J135" s="573"/>
      <c r="K135" s="573"/>
      <c r="L135" s="573"/>
      <c r="M135" s="573"/>
      <c r="N135" s="573"/>
      <c r="O135" s="573"/>
      <c r="P135" s="573"/>
      <c r="Q135" s="573"/>
      <c r="R135" s="573"/>
      <c r="S135" s="573"/>
    </row>
    <row r="136" spans="1:19" ht="13.5">
      <c r="A136" s="420"/>
      <c r="B136" s="572"/>
      <c r="C136" s="572"/>
      <c r="D136" s="614" t="str">
        <f>+D134</f>
        <v>Total with interest</v>
      </c>
      <c r="E136" s="572"/>
      <c r="F136" s="419"/>
      <c r="G136" s="572"/>
      <c r="H136" s="588">
        <f>+H134</f>
        <v>-5130912.6417478891</v>
      </c>
      <c r="I136" s="572"/>
      <c r="J136" s="588"/>
      <c r="K136" s="573"/>
      <c r="L136" s="573"/>
      <c r="M136" s="573"/>
      <c r="N136" s="573"/>
      <c r="O136" s="573"/>
      <c r="P136" s="573"/>
      <c r="Q136" s="573"/>
      <c r="R136" s="573"/>
      <c r="S136" s="573"/>
    </row>
    <row r="137" spans="1:19" ht="13.5">
      <c r="A137" s="420"/>
      <c r="B137" s="572"/>
      <c r="C137" s="572"/>
      <c r="D137" s="614" t="s">
        <v>66</v>
      </c>
      <c r="E137" s="572"/>
      <c r="F137" s="419"/>
      <c r="G137" s="572"/>
      <c r="H137" s="617">
        <f>'ATT H-1 '!K286</f>
        <v>5992654.8412719117</v>
      </c>
      <c r="I137" s="585"/>
      <c r="J137" s="609"/>
      <c r="K137" s="573"/>
      <c r="L137" s="573"/>
      <c r="M137" s="573"/>
      <c r="N137" s="573"/>
      <c r="O137" s="573"/>
      <c r="P137" s="573"/>
      <c r="Q137" s="573"/>
      <c r="R137" s="573"/>
      <c r="S137" s="573"/>
    </row>
    <row r="138" spans="1:19" ht="13.5">
      <c r="A138" s="420"/>
      <c r="B138" s="572"/>
      <c r="C138" s="572"/>
      <c r="D138" s="614" t="s">
        <v>67</v>
      </c>
      <c r="E138" s="572"/>
      <c r="F138" s="419"/>
      <c r="G138" s="572"/>
      <c r="H138" s="588">
        <f>+H136+H137</f>
        <v>861742.19952402264</v>
      </c>
      <c r="I138" s="576"/>
      <c r="J138" s="609"/>
      <c r="K138" s="573"/>
      <c r="L138" s="573"/>
      <c r="M138" s="573"/>
      <c r="N138" s="573"/>
      <c r="O138" s="573"/>
      <c r="P138" s="573"/>
      <c r="Q138" s="573"/>
      <c r="R138" s="573"/>
      <c r="S138" s="573"/>
    </row>
    <row r="139" spans="1:19" ht="13.5">
      <c r="A139" s="572"/>
      <c r="B139" s="572"/>
      <c r="C139" s="572"/>
      <c r="D139" s="605"/>
      <c r="E139" s="573"/>
      <c r="F139" s="573"/>
      <c r="G139" s="577"/>
      <c r="H139" s="609"/>
      <c r="I139" s="577"/>
      <c r="J139" s="573"/>
      <c r="K139" s="573"/>
      <c r="L139" s="573"/>
      <c r="M139" s="573"/>
      <c r="N139" s="573"/>
      <c r="O139" s="573"/>
      <c r="P139" s="573"/>
      <c r="Q139" s="573"/>
      <c r="R139" s="573"/>
      <c r="S139" s="573"/>
    </row>
    <row r="140" spans="1:19" ht="13.5">
      <c r="A140" s="572">
        <v>9</v>
      </c>
      <c r="B140" s="572" t="s">
        <v>626</v>
      </c>
      <c r="C140" s="572" t="s">
        <v>602</v>
      </c>
      <c r="D140" s="579" t="s">
        <v>1108</v>
      </c>
      <c r="E140" s="573"/>
      <c r="F140" s="573"/>
      <c r="G140" s="573"/>
      <c r="H140" s="573"/>
      <c r="I140" s="573"/>
      <c r="J140" s="419"/>
      <c r="K140" s="573"/>
      <c r="L140" s="573"/>
      <c r="M140" s="573"/>
      <c r="N140" s="573"/>
      <c r="O140" s="573"/>
      <c r="P140" s="573"/>
      <c r="Q140" s="573"/>
      <c r="R140" s="573"/>
      <c r="S140" s="573"/>
    </row>
    <row r="141" spans="1:19" ht="13.5">
      <c r="A141" s="572"/>
      <c r="B141" s="572"/>
      <c r="C141" s="572"/>
      <c r="D141" s="579"/>
      <c r="E141" s="573"/>
      <c r="F141" s="573"/>
      <c r="G141" s="573"/>
      <c r="H141" s="573"/>
      <c r="I141" s="573"/>
      <c r="J141" s="419"/>
      <c r="K141" s="573"/>
      <c r="L141" s="573"/>
      <c r="M141" s="573"/>
      <c r="N141" s="573"/>
      <c r="O141" s="573"/>
      <c r="P141" s="573"/>
      <c r="Q141" s="573"/>
      <c r="R141" s="573"/>
      <c r="S141" s="573"/>
    </row>
    <row r="142" spans="1:19" ht="13.5">
      <c r="A142" s="572"/>
      <c r="B142" s="419"/>
      <c r="C142" s="479" t="s">
        <v>263</v>
      </c>
      <c r="D142" s="479" t="s">
        <v>264</v>
      </c>
      <c r="E142" s="479" t="s">
        <v>356</v>
      </c>
      <c r="F142" s="479" t="s">
        <v>265</v>
      </c>
      <c r="G142" s="479" t="s">
        <v>266</v>
      </c>
      <c r="H142" s="479" t="s">
        <v>262</v>
      </c>
      <c r="I142" s="479"/>
      <c r="J142" s="479" t="s">
        <v>570</v>
      </c>
      <c r="K142" s="479" t="s">
        <v>571</v>
      </c>
      <c r="L142" s="479" t="s">
        <v>963</v>
      </c>
      <c r="M142" s="575" t="s">
        <v>964</v>
      </c>
      <c r="N142" s="572" t="s">
        <v>965</v>
      </c>
      <c r="O142" s="572" t="s">
        <v>966</v>
      </c>
      <c r="P142" s="572"/>
      <c r="Q142" s="572"/>
      <c r="R142" s="572"/>
      <c r="S142" s="572"/>
    </row>
    <row r="143" spans="1:19" ht="13.5">
      <c r="A143" s="572"/>
      <c r="B143" s="419"/>
      <c r="C143" s="572" t="s">
        <v>219</v>
      </c>
      <c r="D143" s="572" t="s">
        <v>219</v>
      </c>
      <c r="E143" s="572" t="s">
        <v>219</v>
      </c>
      <c r="F143" s="572" t="s">
        <v>219</v>
      </c>
      <c r="G143" s="572" t="s">
        <v>219</v>
      </c>
      <c r="H143" s="572" t="s">
        <v>219</v>
      </c>
      <c r="I143" s="572"/>
      <c r="J143" s="572" t="s">
        <v>72</v>
      </c>
      <c r="K143" s="572" t="s">
        <v>72</v>
      </c>
      <c r="L143" s="572" t="s">
        <v>72</v>
      </c>
      <c r="M143" s="572" t="s">
        <v>72</v>
      </c>
      <c r="N143" s="572" t="s">
        <v>72</v>
      </c>
      <c r="O143" s="572" t="s">
        <v>72</v>
      </c>
      <c r="P143" s="572"/>
      <c r="Q143" s="572"/>
      <c r="R143" s="572"/>
      <c r="S143" s="572"/>
    </row>
    <row r="144" spans="1:19" ht="13.5">
      <c r="A144" s="572"/>
      <c r="B144" s="573"/>
      <c r="C144" s="572" t="s">
        <v>68</v>
      </c>
      <c r="D144" s="572" t="s">
        <v>68</v>
      </c>
      <c r="E144" s="572" t="s">
        <v>68</v>
      </c>
      <c r="F144" s="623"/>
      <c r="G144" s="623"/>
      <c r="H144" s="623"/>
      <c r="I144" s="572"/>
      <c r="J144" s="572" t="s">
        <v>73</v>
      </c>
      <c r="K144" s="572" t="s">
        <v>74</v>
      </c>
      <c r="L144" s="572" t="s">
        <v>75</v>
      </c>
      <c r="M144" s="572" t="s">
        <v>76</v>
      </c>
      <c r="N144" s="572" t="s">
        <v>77</v>
      </c>
      <c r="O144" s="572" t="s">
        <v>78</v>
      </c>
      <c r="P144" s="572"/>
      <c r="Q144" s="572"/>
      <c r="R144" s="572"/>
      <c r="S144" s="572"/>
    </row>
    <row r="145" spans="1:19" ht="13.5">
      <c r="A145" s="572"/>
      <c r="B145" s="573"/>
      <c r="C145" s="572"/>
      <c r="D145" s="572"/>
      <c r="E145" s="572"/>
      <c r="F145" s="572" t="s">
        <v>69</v>
      </c>
      <c r="G145" s="572" t="s">
        <v>70</v>
      </c>
      <c r="H145" s="572" t="s">
        <v>71</v>
      </c>
      <c r="I145" s="572"/>
      <c r="J145" s="572"/>
      <c r="K145" s="572"/>
      <c r="L145" s="572"/>
      <c r="M145" s="572"/>
      <c r="N145" s="572"/>
      <c r="O145" s="572"/>
      <c r="P145" s="572"/>
      <c r="Q145" s="572"/>
      <c r="R145" s="572"/>
      <c r="S145" s="572"/>
    </row>
    <row r="146" spans="1:19" ht="13.5">
      <c r="A146" s="572"/>
      <c r="B146" s="573"/>
      <c r="C146" s="572"/>
      <c r="D146" s="587"/>
      <c r="E146" s="587"/>
      <c r="F146" s="587"/>
      <c r="G146" s="572"/>
      <c r="H146" s="572"/>
      <c r="I146" s="622"/>
      <c r="J146" s="572"/>
      <c r="K146" s="572"/>
      <c r="L146" s="588"/>
      <c r="M146" s="572"/>
      <c r="N146" s="572"/>
      <c r="O146" s="583"/>
      <c r="P146" s="572"/>
      <c r="Q146" s="606"/>
      <c r="R146" s="588"/>
      <c r="S146" s="572"/>
    </row>
    <row r="147" spans="1:19" ht="13.5">
      <c r="A147" s="572"/>
      <c r="B147" s="573" t="s">
        <v>629</v>
      </c>
      <c r="C147" s="589"/>
      <c r="D147" s="589"/>
      <c r="E147" s="589"/>
      <c r="F147" s="589"/>
      <c r="G147" s="589"/>
      <c r="H147" s="589"/>
      <c r="I147" s="622"/>
      <c r="J147" s="588">
        <f t="shared" ref="J147:O147" si="17">C147</f>
        <v>0</v>
      </c>
      <c r="K147" s="588">
        <f t="shared" si="17"/>
        <v>0</v>
      </c>
      <c r="L147" s="588">
        <f t="shared" si="17"/>
        <v>0</v>
      </c>
      <c r="M147" s="588">
        <f t="shared" si="17"/>
        <v>0</v>
      </c>
      <c r="N147" s="588">
        <f t="shared" si="17"/>
        <v>0</v>
      </c>
      <c r="O147" s="588">
        <f t="shared" si="17"/>
        <v>0</v>
      </c>
      <c r="P147" s="588"/>
      <c r="Q147" s="588"/>
      <c r="R147" s="588"/>
      <c r="S147" s="583"/>
    </row>
    <row r="148" spans="1:19" ht="13.5">
      <c r="A148" s="572"/>
      <c r="B148" s="573" t="s">
        <v>630</v>
      </c>
      <c r="C148" s="589"/>
      <c r="D148" s="589"/>
      <c r="E148" s="589"/>
      <c r="F148" s="589"/>
      <c r="G148" s="589"/>
      <c r="H148" s="589"/>
      <c r="I148" s="622"/>
      <c r="J148" s="588">
        <f>J147+C148</f>
        <v>0</v>
      </c>
      <c r="K148" s="588">
        <f t="shared" ref="K148:K158" si="18">K147+D148</f>
        <v>0</v>
      </c>
      <c r="L148" s="588">
        <f t="shared" ref="L148:L158" si="19">L147+E148</f>
        <v>0</v>
      </c>
      <c r="M148" s="588">
        <f t="shared" ref="M148:M158" si="20">M147+F148</f>
        <v>0</v>
      </c>
      <c r="N148" s="588">
        <f t="shared" ref="N148:N158" si="21">N147+G148</f>
        <v>0</v>
      </c>
      <c r="O148" s="588">
        <f t="shared" ref="O148:O158" si="22">O147+H148</f>
        <v>0</v>
      </c>
      <c r="P148" s="588"/>
      <c r="Q148" s="588"/>
      <c r="R148" s="588"/>
      <c r="S148" s="583"/>
    </row>
    <row r="149" spans="1:19" ht="13.5">
      <c r="A149" s="572"/>
      <c r="B149" s="573" t="s">
        <v>631</v>
      </c>
      <c r="C149" s="589"/>
      <c r="D149" s="589"/>
      <c r="E149" s="589"/>
      <c r="F149" s="589"/>
      <c r="G149" s="589"/>
      <c r="H149" s="589"/>
      <c r="I149" s="622"/>
      <c r="J149" s="588">
        <f t="shared" ref="J149:J158" si="23">J148+C149</f>
        <v>0</v>
      </c>
      <c r="K149" s="588">
        <f t="shared" si="18"/>
        <v>0</v>
      </c>
      <c r="L149" s="588">
        <f t="shared" si="19"/>
        <v>0</v>
      </c>
      <c r="M149" s="588">
        <f t="shared" si="20"/>
        <v>0</v>
      </c>
      <c r="N149" s="588">
        <f t="shared" si="21"/>
        <v>0</v>
      </c>
      <c r="O149" s="588">
        <f t="shared" si="22"/>
        <v>0</v>
      </c>
      <c r="P149" s="588"/>
      <c r="Q149" s="588"/>
      <c r="R149" s="588"/>
      <c r="S149" s="583"/>
    </row>
    <row r="150" spans="1:19" ht="13.5">
      <c r="A150" s="572"/>
      <c r="B150" s="573" t="s">
        <v>632</v>
      </c>
      <c r="C150" s="589"/>
      <c r="D150" s="589"/>
      <c r="E150" s="589"/>
      <c r="F150" s="589"/>
      <c r="G150" s="589"/>
      <c r="H150" s="589"/>
      <c r="I150" s="622"/>
      <c r="J150" s="588">
        <f t="shared" si="23"/>
        <v>0</v>
      </c>
      <c r="K150" s="588">
        <f t="shared" si="18"/>
        <v>0</v>
      </c>
      <c r="L150" s="588">
        <f t="shared" si="19"/>
        <v>0</v>
      </c>
      <c r="M150" s="588">
        <f t="shared" si="20"/>
        <v>0</v>
      </c>
      <c r="N150" s="588">
        <f t="shared" si="21"/>
        <v>0</v>
      </c>
      <c r="O150" s="588">
        <f t="shared" si="22"/>
        <v>0</v>
      </c>
      <c r="P150" s="588"/>
      <c r="Q150" s="588"/>
      <c r="R150" s="588"/>
      <c r="S150" s="583"/>
    </row>
    <row r="151" spans="1:19" ht="13.5">
      <c r="A151" s="572"/>
      <c r="B151" s="573" t="s">
        <v>627</v>
      </c>
      <c r="C151" s="589"/>
      <c r="D151" s="589"/>
      <c r="E151" s="589"/>
      <c r="F151" s="589"/>
      <c r="G151" s="589"/>
      <c r="H151" s="589"/>
      <c r="I151" s="622"/>
      <c r="J151" s="588">
        <f t="shared" si="23"/>
        <v>0</v>
      </c>
      <c r="K151" s="588">
        <f t="shared" si="18"/>
        <v>0</v>
      </c>
      <c r="L151" s="588">
        <f t="shared" si="19"/>
        <v>0</v>
      </c>
      <c r="M151" s="588">
        <f t="shared" si="20"/>
        <v>0</v>
      </c>
      <c r="N151" s="588">
        <f t="shared" si="21"/>
        <v>0</v>
      </c>
      <c r="O151" s="588">
        <f t="shared" si="22"/>
        <v>0</v>
      </c>
      <c r="P151" s="588"/>
      <c r="Q151" s="588"/>
      <c r="R151" s="588"/>
      <c r="S151" s="583"/>
    </row>
    <row r="152" spans="1:19" ht="13.5">
      <c r="A152" s="572"/>
      <c r="B152" s="573" t="s">
        <v>633</v>
      </c>
      <c r="C152" s="589"/>
      <c r="D152" s="589"/>
      <c r="E152" s="589"/>
      <c r="F152" s="589"/>
      <c r="G152" s="589"/>
      <c r="H152" s="589"/>
      <c r="I152" s="622"/>
      <c r="J152" s="588">
        <f t="shared" si="23"/>
        <v>0</v>
      </c>
      <c r="K152" s="588">
        <f t="shared" si="18"/>
        <v>0</v>
      </c>
      <c r="L152" s="588">
        <f t="shared" si="19"/>
        <v>0</v>
      </c>
      <c r="M152" s="588">
        <f t="shared" si="20"/>
        <v>0</v>
      </c>
      <c r="N152" s="588">
        <f t="shared" si="21"/>
        <v>0</v>
      </c>
      <c r="O152" s="588">
        <f t="shared" si="22"/>
        <v>0</v>
      </c>
      <c r="P152" s="588"/>
      <c r="Q152" s="588"/>
      <c r="R152" s="588"/>
      <c r="S152" s="583"/>
    </row>
    <row r="153" spans="1:19" ht="13.5">
      <c r="A153" s="572"/>
      <c r="B153" s="573" t="s">
        <v>634</v>
      </c>
      <c r="C153" s="589"/>
      <c r="D153" s="589"/>
      <c r="E153" s="589"/>
      <c r="F153" s="589"/>
      <c r="G153" s="589"/>
      <c r="H153" s="589"/>
      <c r="I153" s="622"/>
      <c r="J153" s="588">
        <f t="shared" si="23"/>
        <v>0</v>
      </c>
      <c r="K153" s="588">
        <f t="shared" si="18"/>
        <v>0</v>
      </c>
      <c r="L153" s="588">
        <f t="shared" si="19"/>
        <v>0</v>
      </c>
      <c r="M153" s="588">
        <f t="shared" si="20"/>
        <v>0</v>
      </c>
      <c r="N153" s="588">
        <f t="shared" si="21"/>
        <v>0</v>
      </c>
      <c r="O153" s="588">
        <f t="shared" si="22"/>
        <v>0</v>
      </c>
      <c r="P153" s="588"/>
      <c r="Q153" s="588"/>
      <c r="R153" s="588"/>
      <c r="S153" s="583"/>
    </row>
    <row r="154" spans="1:19" ht="13.5">
      <c r="A154" s="572"/>
      <c r="B154" s="573" t="s">
        <v>635</v>
      </c>
      <c r="C154" s="589"/>
      <c r="D154" s="589"/>
      <c r="E154" s="589"/>
      <c r="F154" s="589"/>
      <c r="G154" s="589"/>
      <c r="H154" s="589"/>
      <c r="I154" s="622"/>
      <c r="J154" s="588">
        <f t="shared" si="23"/>
        <v>0</v>
      </c>
      <c r="K154" s="588">
        <f t="shared" si="18"/>
        <v>0</v>
      </c>
      <c r="L154" s="588">
        <f t="shared" si="19"/>
        <v>0</v>
      </c>
      <c r="M154" s="588">
        <f t="shared" si="20"/>
        <v>0</v>
      </c>
      <c r="N154" s="588">
        <f t="shared" si="21"/>
        <v>0</v>
      </c>
      <c r="O154" s="588">
        <f t="shared" si="22"/>
        <v>0</v>
      </c>
      <c r="P154" s="588"/>
      <c r="Q154" s="588"/>
      <c r="R154" s="588"/>
      <c r="S154" s="583"/>
    </row>
    <row r="155" spans="1:19" ht="13.5">
      <c r="A155" s="572"/>
      <c r="B155" s="573" t="s">
        <v>636</v>
      </c>
      <c r="C155" s="589"/>
      <c r="D155" s="589"/>
      <c r="E155" s="589"/>
      <c r="F155" s="589"/>
      <c r="G155" s="589"/>
      <c r="H155" s="589"/>
      <c r="I155" s="622"/>
      <c r="J155" s="588">
        <f t="shared" si="23"/>
        <v>0</v>
      </c>
      <c r="K155" s="588">
        <f t="shared" si="18"/>
        <v>0</v>
      </c>
      <c r="L155" s="588">
        <f t="shared" si="19"/>
        <v>0</v>
      </c>
      <c r="M155" s="588">
        <f t="shared" si="20"/>
        <v>0</v>
      </c>
      <c r="N155" s="588">
        <f t="shared" si="21"/>
        <v>0</v>
      </c>
      <c r="O155" s="588">
        <f t="shared" si="22"/>
        <v>0</v>
      </c>
      <c r="P155" s="588"/>
      <c r="Q155" s="588"/>
      <c r="R155" s="588"/>
      <c r="S155" s="583"/>
    </row>
    <row r="156" spans="1:19" ht="13.5">
      <c r="A156" s="572"/>
      <c r="B156" s="573" t="s">
        <v>637</v>
      </c>
      <c r="C156" s="589"/>
      <c r="D156" s="589"/>
      <c r="E156" s="589"/>
      <c r="F156" s="589"/>
      <c r="G156" s="589"/>
      <c r="H156" s="589"/>
      <c r="I156" s="622"/>
      <c r="J156" s="588">
        <f t="shared" si="23"/>
        <v>0</v>
      </c>
      <c r="K156" s="588">
        <f t="shared" si="18"/>
        <v>0</v>
      </c>
      <c r="L156" s="588">
        <f t="shared" si="19"/>
        <v>0</v>
      </c>
      <c r="M156" s="588">
        <f t="shared" si="20"/>
        <v>0</v>
      </c>
      <c r="N156" s="588">
        <f t="shared" si="21"/>
        <v>0</v>
      </c>
      <c r="O156" s="588">
        <f t="shared" si="22"/>
        <v>0</v>
      </c>
      <c r="P156" s="588"/>
      <c r="Q156" s="588"/>
      <c r="R156" s="588"/>
      <c r="S156" s="583"/>
    </row>
    <row r="157" spans="1:19" ht="13.5">
      <c r="A157" s="572"/>
      <c r="B157" s="573" t="s">
        <v>638</v>
      </c>
      <c r="C157" s="589"/>
      <c r="D157" s="589"/>
      <c r="E157" s="589"/>
      <c r="F157" s="589"/>
      <c r="G157" s="589"/>
      <c r="H157" s="589"/>
      <c r="I157" s="622"/>
      <c r="J157" s="588">
        <f t="shared" si="23"/>
        <v>0</v>
      </c>
      <c r="K157" s="588">
        <f t="shared" si="18"/>
        <v>0</v>
      </c>
      <c r="L157" s="588">
        <f t="shared" si="19"/>
        <v>0</v>
      </c>
      <c r="M157" s="588">
        <f t="shared" si="20"/>
        <v>0</v>
      </c>
      <c r="N157" s="588">
        <f t="shared" si="21"/>
        <v>0</v>
      </c>
      <c r="O157" s="588">
        <f t="shared" si="22"/>
        <v>0</v>
      </c>
      <c r="P157" s="588"/>
      <c r="Q157" s="588"/>
      <c r="R157" s="588"/>
      <c r="S157" s="583"/>
    </row>
    <row r="158" spans="1:19" ht="13.5">
      <c r="A158" s="572"/>
      <c r="B158" s="573" t="s">
        <v>639</v>
      </c>
      <c r="C158" s="589"/>
      <c r="D158" s="589"/>
      <c r="E158" s="589"/>
      <c r="F158" s="589"/>
      <c r="G158" s="589"/>
      <c r="H158" s="589"/>
      <c r="I158" s="622"/>
      <c r="J158" s="588">
        <f t="shared" si="23"/>
        <v>0</v>
      </c>
      <c r="K158" s="588">
        <f t="shared" si="18"/>
        <v>0</v>
      </c>
      <c r="L158" s="588">
        <f t="shared" si="19"/>
        <v>0</v>
      </c>
      <c r="M158" s="588">
        <f t="shared" si="20"/>
        <v>0</v>
      </c>
      <c r="N158" s="588">
        <f t="shared" si="21"/>
        <v>0</v>
      </c>
      <c r="O158" s="588">
        <f t="shared" si="22"/>
        <v>0</v>
      </c>
      <c r="P158" s="588"/>
      <c r="Q158" s="588"/>
      <c r="R158" s="588"/>
      <c r="S158" s="583"/>
    </row>
    <row r="159" spans="1:19" ht="13.5">
      <c r="A159" s="572"/>
      <c r="B159" s="573" t="s">
        <v>851</v>
      </c>
      <c r="C159" s="588">
        <f t="shared" ref="C159:H159" si="24">SUM(C147:C158)</f>
        <v>0</v>
      </c>
      <c r="D159" s="588">
        <f t="shared" si="24"/>
        <v>0</v>
      </c>
      <c r="E159" s="588">
        <f t="shared" si="24"/>
        <v>0</v>
      </c>
      <c r="F159" s="588">
        <f t="shared" si="24"/>
        <v>0</v>
      </c>
      <c r="G159" s="588">
        <f t="shared" si="24"/>
        <v>0</v>
      </c>
      <c r="H159" s="588">
        <f t="shared" si="24"/>
        <v>0</v>
      </c>
      <c r="I159" s="588" t="s">
        <v>79</v>
      </c>
      <c r="J159" s="588">
        <f t="shared" ref="J159:O159" si="25">AVERAGE(J147:J158)</f>
        <v>0</v>
      </c>
      <c r="K159" s="588">
        <f t="shared" si="25"/>
        <v>0</v>
      </c>
      <c r="L159" s="588">
        <f t="shared" si="25"/>
        <v>0</v>
      </c>
      <c r="M159" s="588">
        <f t="shared" si="25"/>
        <v>0</v>
      </c>
      <c r="N159" s="588">
        <f t="shared" si="25"/>
        <v>0</v>
      </c>
      <c r="O159" s="588">
        <f t="shared" si="25"/>
        <v>0</v>
      </c>
      <c r="P159" s="588"/>
      <c r="Q159" s="588"/>
      <c r="R159" s="588"/>
      <c r="S159" s="588"/>
    </row>
    <row r="160" spans="1:19" ht="13.5">
      <c r="A160" s="572"/>
      <c r="C160" s="573"/>
      <c r="D160" s="419"/>
      <c r="E160" s="419"/>
      <c r="F160" s="419"/>
      <c r="G160" s="419"/>
      <c r="H160" s="419"/>
      <c r="I160" s="419"/>
      <c r="J160" s="419"/>
      <c r="K160" s="419"/>
      <c r="L160" s="590"/>
      <c r="M160" s="573"/>
      <c r="N160" s="573"/>
      <c r="O160" s="573"/>
      <c r="P160" s="419"/>
      <c r="Q160" s="590"/>
      <c r="R160" s="573"/>
      <c r="S160" s="573"/>
    </row>
    <row r="161" spans="1:19" ht="15.75">
      <c r="A161" s="572" t="s">
        <v>760</v>
      </c>
      <c r="B161" s="573" t="s">
        <v>81</v>
      </c>
      <c r="C161" s="573"/>
      <c r="D161" s="419"/>
      <c r="E161" s="419"/>
      <c r="F161" s="419"/>
      <c r="G161" s="419"/>
      <c r="H161" s="419"/>
      <c r="I161" s="419"/>
      <c r="J161" s="573"/>
      <c r="K161" s="624" t="s">
        <v>80</v>
      </c>
      <c r="L161" s="419"/>
      <c r="M161" s="588">
        <f>SUM(J159:O159)</f>
        <v>0</v>
      </c>
      <c r="N161" s="588"/>
      <c r="O161" s="1768" t="s">
        <v>1109</v>
      </c>
      <c r="P161" s="573"/>
      <c r="Q161" s="590"/>
      <c r="R161" s="588"/>
      <c r="S161" s="588"/>
    </row>
    <row r="162" spans="1:19" ht="13.5">
      <c r="A162" s="572"/>
      <c r="B162" s="573"/>
      <c r="C162" s="573"/>
      <c r="D162" s="419"/>
      <c r="E162" s="419"/>
      <c r="F162" s="419"/>
      <c r="G162" s="419"/>
      <c r="H162" s="419"/>
      <c r="I162" s="419"/>
      <c r="J162" s="573"/>
      <c r="K162" s="573"/>
      <c r="L162" s="588"/>
      <c r="M162" s="573"/>
      <c r="N162" s="419"/>
      <c r="O162" s="573"/>
      <c r="P162" s="573"/>
      <c r="Q162" s="573"/>
      <c r="R162" s="573"/>
      <c r="S162" s="573"/>
    </row>
    <row r="163" spans="1:19" ht="13.5">
      <c r="A163" s="572"/>
      <c r="B163" s="572"/>
      <c r="C163" s="572"/>
      <c r="D163" s="594"/>
      <c r="E163" s="572"/>
      <c r="F163" s="588"/>
      <c r="G163" s="572"/>
      <c r="H163" s="588"/>
      <c r="I163" s="576"/>
      <c r="J163" s="609"/>
      <c r="K163" s="573"/>
      <c r="L163" s="573"/>
      <c r="M163" s="573"/>
      <c r="N163" s="573"/>
      <c r="O163" s="573"/>
      <c r="P163" s="573"/>
      <c r="Q163" s="573"/>
      <c r="R163" s="573"/>
      <c r="S163" s="573"/>
    </row>
    <row r="164" spans="1:19" ht="13.5">
      <c r="A164" s="572">
        <v>10</v>
      </c>
      <c r="B164" s="572" t="s">
        <v>627</v>
      </c>
      <c r="C164" s="572" t="s">
        <v>602</v>
      </c>
      <c r="D164" s="579" t="s">
        <v>460</v>
      </c>
      <c r="E164" s="573"/>
      <c r="F164" s="573"/>
      <c r="G164" s="573"/>
      <c r="H164" s="573"/>
      <c r="I164" s="576"/>
      <c r="J164" s="577"/>
      <c r="K164" s="573"/>
      <c r="L164" s="573"/>
      <c r="M164" s="573"/>
      <c r="N164" s="573"/>
      <c r="O164" s="573"/>
      <c r="P164" s="573"/>
      <c r="Q164" s="577"/>
      <c r="R164" s="618"/>
      <c r="S164" s="618"/>
    </row>
    <row r="165" spans="1:19" ht="13.5">
      <c r="A165" s="572"/>
      <c r="B165" s="572"/>
      <c r="C165" s="572"/>
      <c r="D165" s="595"/>
      <c r="E165" s="573" t="s">
        <v>962</v>
      </c>
      <c r="F165" s="573"/>
      <c r="G165" s="573"/>
      <c r="H165" s="573"/>
      <c r="I165" s="577"/>
      <c r="J165" s="577"/>
      <c r="K165" s="573"/>
      <c r="L165" s="573"/>
      <c r="M165" s="573"/>
      <c r="N165" s="573"/>
      <c r="O165" s="573"/>
      <c r="P165" s="573"/>
      <c r="Q165" s="573"/>
      <c r="R165" s="573"/>
      <c r="S165" s="573"/>
    </row>
    <row r="166" spans="1:19" ht="13.5">
      <c r="A166" s="572"/>
      <c r="B166" s="572"/>
      <c r="C166" s="572"/>
      <c r="D166" s="601"/>
      <c r="E166" s="594"/>
      <c r="F166" s="573"/>
      <c r="G166" s="573"/>
      <c r="H166" s="573"/>
      <c r="I166" s="577"/>
      <c r="J166" s="577"/>
      <c r="K166" s="573"/>
      <c r="L166" s="573"/>
      <c r="M166" s="573"/>
      <c r="N166" s="573"/>
      <c r="O166" s="573"/>
      <c r="P166" s="573"/>
      <c r="Q166" s="573"/>
      <c r="R166" s="573"/>
      <c r="S166" s="573"/>
    </row>
    <row r="167" spans="1:19" ht="13.5">
      <c r="A167" s="572"/>
      <c r="B167" s="572"/>
      <c r="C167" s="572"/>
      <c r="D167" s="595"/>
      <c r="E167" s="573"/>
      <c r="F167" s="573"/>
      <c r="G167" s="573"/>
      <c r="H167" s="573"/>
      <c r="I167" s="577"/>
      <c r="J167" s="577"/>
      <c r="K167" s="573"/>
      <c r="L167" s="573"/>
      <c r="M167" s="573"/>
      <c r="N167" s="573"/>
      <c r="O167" s="573"/>
      <c r="P167" s="573"/>
      <c r="Q167" s="573"/>
      <c r="R167" s="573"/>
      <c r="S167" s="573"/>
    </row>
    <row r="168" spans="1:19" ht="13.5">
      <c r="A168" s="572">
        <v>11</v>
      </c>
      <c r="B168" s="572" t="s">
        <v>628</v>
      </c>
      <c r="C168" s="572" t="s">
        <v>602</v>
      </c>
      <c r="D168" s="602" t="s">
        <v>1098</v>
      </c>
      <c r="E168" s="573"/>
      <c r="F168" s="573"/>
      <c r="G168" s="573"/>
      <c r="H168" s="573"/>
      <c r="I168" s="573"/>
      <c r="J168" s="573"/>
      <c r="K168" s="573"/>
      <c r="L168" s="573"/>
      <c r="M168" s="573"/>
      <c r="N168" s="573"/>
      <c r="O168" s="573"/>
      <c r="P168" s="573"/>
      <c r="Q168" s="573"/>
      <c r="R168" s="573"/>
      <c r="S168" s="573"/>
    </row>
    <row r="169" spans="1:19" ht="13.5">
      <c r="A169" s="572"/>
      <c r="B169" s="572"/>
      <c r="C169" s="572"/>
      <c r="D169" s="619">
        <v>0</v>
      </c>
      <c r="E169" s="573"/>
      <c r="F169" s="573"/>
      <c r="G169" s="573"/>
      <c r="H169" s="573"/>
      <c r="I169" s="573"/>
      <c r="J169" s="573"/>
      <c r="K169" s="573"/>
      <c r="L169" s="573"/>
      <c r="M169" s="573"/>
      <c r="N169" s="573"/>
      <c r="O169" s="573"/>
      <c r="P169" s="573"/>
      <c r="Q169" s="573"/>
      <c r="R169" s="573"/>
      <c r="S169" s="573"/>
    </row>
    <row r="170" spans="1:19" ht="13.5">
      <c r="A170" s="572"/>
      <c r="B170" s="572"/>
      <c r="C170" s="572"/>
      <c r="D170" s="573"/>
      <c r="E170" s="573"/>
      <c r="F170" s="573"/>
      <c r="G170" s="573"/>
      <c r="H170" s="573"/>
      <c r="I170" s="573"/>
      <c r="J170" s="573"/>
      <c r="K170" s="573"/>
      <c r="L170" s="573"/>
      <c r="M170" s="573"/>
      <c r="N170" s="573"/>
      <c r="O170" s="573"/>
      <c r="P170" s="573"/>
      <c r="Q170" s="573"/>
      <c r="R170" s="573"/>
      <c r="S170" s="573"/>
    </row>
    <row r="171" spans="1:19" ht="13.5">
      <c r="A171" s="572"/>
      <c r="B171" s="573"/>
      <c r="C171" s="572"/>
      <c r="D171" s="594"/>
      <c r="E171" s="573"/>
      <c r="F171" s="573"/>
      <c r="G171" s="573"/>
      <c r="H171" s="573"/>
      <c r="I171" s="573"/>
      <c r="J171" s="573"/>
      <c r="K171" s="573"/>
      <c r="L171" s="573"/>
      <c r="M171" s="573"/>
      <c r="N171" s="573"/>
      <c r="O171" s="573"/>
      <c r="P171" s="573"/>
      <c r="Q171" s="573"/>
      <c r="R171" s="573"/>
      <c r="S171" s="573"/>
    </row>
    <row r="172" spans="1:19" ht="13.5">
      <c r="A172" s="572"/>
      <c r="B172" s="572"/>
      <c r="C172" s="572"/>
      <c r="D172" s="573"/>
      <c r="E172" s="573"/>
      <c r="F172" s="573"/>
      <c r="G172" s="573"/>
      <c r="H172" s="573"/>
      <c r="I172" s="573"/>
      <c r="J172" s="573"/>
      <c r="K172" s="573"/>
      <c r="L172" s="573"/>
      <c r="M172" s="573"/>
      <c r="N172" s="573"/>
      <c r="O172" s="573"/>
      <c r="P172" s="573"/>
      <c r="Q172" s="573"/>
      <c r="R172" s="573"/>
      <c r="S172" s="573"/>
    </row>
    <row r="173" spans="1:19" ht="13.5">
      <c r="A173" s="572"/>
      <c r="B173" s="572"/>
      <c r="C173" s="572"/>
      <c r="D173" s="573"/>
      <c r="E173" s="573"/>
      <c r="F173" s="573"/>
      <c r="G173" s="573"/>
      <c r="H173" s="573"/>
      <c r="I173" s="573"/>
      <c r="J173" s="573"/>
      <c r="K173" s="573"/>
      <c r="L173" s="573"/>
      <c r="M173" s="573"/>
      <c r="N173" s="573"/>
      <c r="O173" s="573"/>
      <c r="P173" s="573"/>
      <c r="Q173" s="573"/>
      <c r="R173" s="573"/>
      <c r="S173" s="573"/>
    </row>
    <row r="174" spans="1:19" ht="13.5">
      <c r="A174" s="572"/>
      <c r="B174" s="572"/>
      <c r="C174" s="572"/>
      <c r="D174" s="573"/>
      <c r="E174" s="573"/>
      <c r="F174" s="573"/>
      <c r="G174" s="573"/>
      <c r="H174" s="573"/>
      <c r="I174" s="573"/>
      <c r="J174" s="573"/>
      <c r="K174" s="573"/>
      <c r="L174" s="573"/>
      <c r="M174" s="573"/>
      <c r="N174" s="573"/>
      <c r="O174" s="573"/>
      <c r="P174" s="573"/>
      <c r="Q174" s="573"/>
      <c r="R174" s="573"/>
      <c r="S174" s="573"/>
    </row>
    <row r="175" spans="1:19" ht="13.5">
      <c r="A175" s="572"/>
      <c r="B175" s="572"/>
      <c r="C175" s="572"/>
      <c r="D175" s="573"/>
      <c r="E175" s="573"/>
      <c r="F175" s="573"/>
      <c r="G175" s="573"/>
      <c r="H175" s="573"/>
      <c r="I175" s="573"/>
      <c r="J175" s="573"/>
      <c r="K175" s="573"/>
      <c r="L175" s="573"/>
      <c r="M175" s="573"/>
      <c r="N175" s="573"/>
      <c r="O175" s="573"/>
      <c r="P175" s="573"/>
      <c r="Q175" s="573"/>
      <c r="R175" s="573"/>
      <c r="S175" s="573"/>
    </row>
    <row r="176" spans="1:19" ht="13.5">
      <c r="A176" s="572"/>
      <c r="B176" s="572"/>
      <c r="C176" s="572"/>
      <c r="D176" s="573"/>
      <c r="E176" s="573"/>
      <c r="F176" s="573"/>
      <c r="G176" s="573"/>
      <c r="H176" s="573"/>
      <c r="I176" s="573"/>
      <c r="J176" s="573"/>
      <c r="K176" s="573"/>
      <c r="L176" s="573"/>
      <c r="M176" s="573"/>
      <c r="N176" s="573"/>
      <c r="O176" s="573"/>
      <c r="P176" s="573"/>
      <c r="Q176" s="573"/>
      <c r="R176" s="573"/>
      <c r="S176" s="573"/>
    </row>
    <row r="177" spans="1:19" ht="13.5">
      <c r="A177" s="572"/>
      <c r="B177" s="572"/>
      <c r="C177" s="572"/>
      <c r="D177" s="573"/>
      <c r="E177" s="573"/>
      <c r="F177" s="573"/>
      <c r="G177" s="573"/>
      <c r="H177" s="573"/>
      <c r="I177" s="573"/>
      <c r="J177" s="573"/>
      <c r="K177" s="573"/>
      <c r="L177" s="573"/>
      <c r="M177" s="573"/>
      <c r="N177" s="573"/>
      <c r="O177" s="573"/>
      <c r="P177" s="573"/>
      <c r="Q177" s="573"/>
      <c r="R177" s="573"/>
      <c r="S177" s="573"/>
    </row>
    <row r="178" spans="1:19" ht="13.5">
      <c r="A178" s="572"/>
      <c r="B178" s="572"/>
      <c r="C178" s="572"/>
      <c r="D178" s="573"/>
      <c r="E178" s="573"/>
      <c r="F178" s="573"/>
      <c r="G178" s="573"/>
      <c r="H178" s="573"/>
      <c r="I178" s="573"/>
      <c r="J178" s="573"/>
      <c r="K178" s="573"/>
      <c r="L178" s="573"/>
      <c r="M178" s="573"/>
      <c r="N178" s="573"/>
      <c r="O178" s="573"/>
      <c r="P178" s="573"/>
      <c r="Q178" s="573"/>
      <c r="R178" s="573"/>
      <c r="S178" s="573"/>
    </row>
    <row r="179" spans="1:19" ht="13.5">
      <c r="A179" s="572"/>
      <c r="B179" s="572"/>
      <c r="C179" s="572"/>
      <c r="D179" s="573"/>
      <c r="E179" s="573"/>
      <c r="F179" s="573"/>
      <c r="G179" s="573"/>
      <c r="H179" s="573"/>
      <c r="I179" s="573"/>
      <c r="J179" s="573"/>
      <c r="K179" s="573"/>
      <c r="L179" s="573"/>
      <c r="M179" s="573"/>
      <c r="N179" s="573"/>
      <c r="O179" s="573"/>
      <c r="P179" s="573"/>
      <c r="Q179" s="573"/>
      <c r="R179" s="573"/>
      <c r="S179" s="573"/>
    </row>
    <row r="180" spans="1:19" ht="13.5">
      <c r="A180" s="572"/>
      <c r="B180" s="572"/>
      <c r="C180" s="572"/>
      <c r="D180" s="573"/>
      <c r="E180" s="573"/>
      <c r="F180" s="573"/>
      <c r="G180" s="573"/>
      <c r="H180" s="573"/>
      <c r="I180" s="573"/>
      <c r="J180" s="573"/>
      <c r="K180" s="573"/>
      <c r="L180" s="573"/>
      <c r="M180" s="573"/>
      <c r="N180" s="573"/>
      <c r="O180" s="573"/>
      <c r="P180" s="573"/>
      <c r="Q180" s="573"/>
      <c r="R180" s="573"/>
      <c r="S180" s="573"/>
    </row>
    <row r="181" spans="1:19" ht="13.5">
      <c r="A181" s="572"/>
      <c r="B181" s="572"/>
      <c r="C181" s="572"/>
      <c r="D181" s="573"/>
      <c r="E181" s="573"/>
      <c r="F181" s="573"/>
      <c r="G181" s="573"/>
      <c r="H181" s="573"/>
      <c r="I181" s="573"/>
      <c r="J181" s="573"/>
      <c r="K181" s="573"/>
      <c r="L181" s="573"/>
      <c r="M181" s="573"/>
      <c r="N181" s="573"/>
      <c r="O181" s="573"/>
      <c r="P181" s="573"/>
      <c r="Q181" s="573"/>
      <c r="R181" s="573"/>
      <c r="S181" s="573"/>
    </row>
    <row r="182" spans="1:19" ht="13.5">
      <c r="A182" s="572"/>
      <c r="B182" s="572"/>
      <c r="C182" s="572"/>
      <c r="D182" s="573"/>
      <c r="E182" s="573"/>
      <c r="F182" s="573"/>
      <c r="G182" s="573"/>
      <c r="H182" s="573"/>
      <c r="I182" s="573"/>
      <c r="J182" s="573"/>
      <c r="K182" s="573"/>
      <c r="L182" s="573"/>
      <c r="M182" s="573"/>
      <c r="N182" s="573"/>
      <c r="O182" s="573"/>
      <c r="P182" s="573"/>
      <c r="Q182" s="573"/>
      <c r="R182" s="573"/>
      <c r="S182" s="573"/>
    </row>
    <row r="183" spans="1:19" ht="13.5">
      <c r="A183" s="572"/>
      <c r="B183" s="572"/>
      <c r="C183" s="572"/>
      <c r="D183" s="573"/>
      <c r="E183" s="573"/>
      <c r="F183" s="573"/>
      <c r="G183" s="573"/>
      <c r="H183" s="573"/>
      <c r="I183" s="573"/>
      <c r="J183" s="573"/>
      <c r="K183" s="573"/>
      <c r="L183" s="573"/>
      <c r="M183" s="573"/>
      <c r="N183" s="573"/>
      <c r="O183" s="573"/>
      <c r="P183" s="573"/>
      <c r="Q183" s="573"/>
      <c r="R183" s="573"/>
      <c r="S183" s="573"/>
    </row>
    <row r="184" spans="1:19" ht="13.5">
      <c r="A184" s="572"/>
      <c r="B184" s="572"/>
      <c r="C184" s="572"/>
      <c r="D184" s="573"/>
      <c r="E184" s="573"/>
      <c r="F184" s="573"/>
      <c r="G184" s="573"/>
      <c r="H184" s="573"/>
      <c r="I184" s="573"/>
      <c r="J184" s="573"/>
      <c r="K184" s="573"/>
      <c r="L184" s="573"/>
      <c r="M184" s="573"/>
      <c r="N184" s="573"/>
      <c r="O184" s="573"/>
      <c r="P184" s="573"/>
      <c r="Q184" s="573"/>
      <c r="R184" s="573"/>
      <c r="S184" s="573"/>
    </row>
    <row r="185" spans="1:19" ht="13.5">
      <c r="A185" s="572"/>
      <c r="B185" s="572"/>
      <c r="C185" s="572"/>
      <c r="D185" s="573"/>
      <c r="E185" s="573"/>
      <c r="F185" s="573"/>
      <c r="G185" s="573"/>
      <c r="H185" s="573"/>
      <c r="I185" s="573"/>
      <c r="J185" s="573"/>
      <c r="K185" s="573"/>
      <c r="L185" s="573"/>
      <c r="M185" s="573"/>
      <c r="N185" s="573"/>
      <c r="O185" s="573"/>
      <c r="P185" s="573"/>
      <c r="Q185" s="573"/>
      <c r="R185" s="573"/>
      <c r="S185" s="573"/>
    </row>
    <row r="186" spans="1:19" ht="13.5">
      <c r="A186" s="572"/>
      <c r="B186" s="572"/>
      <c r="C186" s="572"/>
      <c r="D186" s="573"/>
      <c r="E186" s="573"/>
      <c r="F186" s="573"/>
      <c r="G186" s="573"/>
      <c r="H186" s="573"/>
      <c r="I186" s="573"/>
      <c r="J186" s="573"/>
      <c r="K186" s="573"/>
      <c r="L186" s="573"/>
      <c r="M186" s="573"/>
      <c r="N186" s="573"/>
      <c r="O186" s="573"/>
      <c r="P186" s="573"/>
      <c r="Q186" s="573"/>
      <c r="R186" s="573"/>
      <c r="S186" s="573"/>
    </row>
    <row r="187" spans="1:19" ht="15.75">
      <c r="A187" s="620"/>
      <c r="B187" s="572"/>
      <c r="C187" s="572"/>
      <c r="D187" s="573"/>
      <c r="E187" s="573"/>
      <c r="F187" s="573"/>
      <c r="G187" s="573"/>
      <c r="H187" s="573"/>
      <c r="I187" s="573"/>
      <c r="J187" s="573"/>
      <c r="K187" s="573"/>
      <c r="L187" s="573"/>
      <c r="M187" s="573"/>
      <c r="N187" s="573"/>
      <c r="O187" s="573"/>
      <c r="P187" s="573"/>
      <c r="Q187" s="573"/>
      <c r="R187" s="573"/>
      <c r="S187" s="573"/>
    </row>
    <row r="188" spans="1:19" ht="15.75">
      <c r="A188" s="620"/>
      <c r="B188" s="572"/>
      <c r="C188" s="572"/>
      <c r="D188" s="573"/>
      <c r="E188" s="573"/>
      <c r="F188" s="573"/>
      <c r="G188" s="573"/>
      <c r="H188" s="573"/>
      <c r="I188" s="573"/>
      <c r="J188" s="573"/>
      <c r="K188" s="573"/>
      <c r="L188" s="573"/>
      <c r="M188" s="573"/>
      <c r="N188" s="573"/>
      <c r="O188" s="573"/>
      <c r="P188" s="573"/>
      <c r="Q188" s="573"/>
      <c r="R188" s="573"/>
      <c r="S188" s="573"/>
    </row>
    <row r="189" spans="1:19" ht="15.75">
      <c r="A189" s="620"/>
      <c r="B189" s="620"/>
      <c r="C189" s="620"/>
      <c r="D189" s="621"/>
      <c r="E189" s="621"/>
      <c r="F189" s="621"/>
      <c r="G189" s="621"/>
      <c r="H189" s="621"/>
      <c r="I189" s="621"/>
      <c r="J189" s="621"/>
      <c r="K189" s="621"/>
      <c r="L189" s="621"/>
      <c r="M189" s="621"/>
      <c r="N189" s="621"/>
      <c r="O189" s="621"/>
      <c r="P189" s="621"/>
      <c r="Q189" s="621"/>
      <c r="R189" s="621"/>
      <c r="S189" s="621"/>
    </row>
  </sheetData>
  <mergeCells count="4">
    <mergeCell ref="D100:E100"/>
    <mergeCell ref="A3:Q3"/>
    <mergeCell ref="A2:Q2"/>
    <mergeCell ref="N79:N80"/>
  </mergeCells>
  <phoneticPr fontId="73" type="noConversion"/>
  <pageMargins left="0.75" right="0.75" top="1" bottom="1" header="0.5" footer="0.5"/>
  <pageSetup scale="47" fitToHeight="4" orientation="landscape" r:id="rId1"/>
  <headerFooter alignWithMargins="0"/>
  <rowBreaks count="2" manualBreakCount="2">
    <brk id="73" max="16" man="1"/>
    <brk id="13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Sch 1</vt:lpstr>
      <vt:lpstr>ATT H-1 </vt:lpstr>
      <vt:lpstr>1 - ADIT</vt:lpstr>
      <vt:lpstr>2 - Other Tax</vt:lpstr>
      <vt:lpstr>3 - Revenue Credits</vt:lpstr>
      <vt:lpstr>4 - 100 Basis Pt ROE</vt:lpstr>
      <vt:lpstr>5 - Cost Support</vt:lpstr>
      <vt:lpstr>6 - Est and True up</vt:lpstr>
      <vt:lpstr>6A-Colstrip</vt:lpstr>
      <vt:lpstr>6B-So Intertie</vt:lpstr>
      <vt:lpstr>7 - Cap Add WS</vt:lpstr>
      <vt:lpstr>8 - Depreciation Rates</vt:lpstr>
      <vt:lpstr>WKSHT1 - Rev Credits</vt:lpstr>
      <vt:lpstr>WKSHT2 - Prepaid</vt:lpstr>
      <vt:lpstr>WKSHT3 - All GIFs</vt:lpstr>
      <vt:lpstr>WKSHT4 - Monthly Tx System Peak</vt:lpstr>
      <vt:lpstr>WKSHT5 - Plant in Service 13mo </vt:lpstr>
      <vt:lpstr>WKSHT6 - Cost of Capital</vt:lpstr>
      <vt:lpstr>WKSHT7 - EDIT</vt:lpstr>
      <vt:lpstr>'2 - Other Tax'!Print_Area</vt:lpstr>
      <vt:lpstr>'3 - Revenue Credits'!Print_Area</vt:lpstr>
      <vt:lpstr>'5 - Cost Support'!Print_Area</vt:lpstr>
      <vt:lpstr>'6 - Est and True up'!Print_Area</vt:lpstr>
      <vt:lpstr>'6A-Colstrip'!Print_Area</vt:lpstr>
      <vt:lpstr>'6B-So Intertie'!Print_Area</vt:lpstr>
      <vt:lpstr>'7 - Cap Add WS'!Print_Area</vt:lpstr>
      <vt:lpstr>'8 - Depreciation Rates'!Print_Area</vt:lpstr>
      <vt:lpstr>'ATT H-1 '!Print_Area</vt:lpstr>
      <vt:lpstr>'Sch 1'!Print_Area</vt:lpstr>
      <vt:lpstr>'WKSHT1 - Rev Credits'!Print_Area</vt:lpstr>
      <vt:lpstr>'WKSHT3 - All GIFs'!Print_Area</vt:lpstr>
      <vt:lpstr>'WKSHT4 - Monthly Tx System Peak'!Print_Area</vt:lpstr>
      <vt:lpstr>'WKSHT6 - Cost of Capital'!Print_Area</vt:lpstr>
    </vt:vector>
  </TitlesOfParts>
  <Company>PSEG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Benscoter</dc:creator>
  <cp:lastModifiedBy>Dillender, Lynn</cp:lastModifiedBy>
  <cp:lastPrinted>2024-05-28T16:30:19Z</cp:lastPrinted>
  <dcterms:created xsi:type="dcterms:W3CDTF">2004-01-21T20:42:01Z</dcterms:created>
  <dcterms:modified xsi:type="dcterms:W3CDTF">2024-05-29T13:56:20Z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-177233148</vt:i4>
  </property>
  <property fmtid="{D5CDD505-2E9C-101B-9397-08002B2CF9AE}" pid="3" name="_ReviewCycleID">
    <vt:i4>-177233148</vt:i4>
  </property>
  <property fmtid="{D5CDD505-2E9C-101B-9397-08002B2CF9AE}" pid="4" name="_NewReviewCycle">
    <vt:lpwstr/>
  </property>
  <property fmtid="{D5CDD505-2E9C-101B-9397-08002B2CF9AE}" pid="5" name="_EmailEntryID">
    <vt:lpwstr>0000000010A293EFACE6DC46A1899B5022368A9907006EE6D7A68CD176418AD2920AD2EBAE49000001A8709B00001AA62B46D6D81C45A7B0C4FF830396030000001883DF0000</vt:lpwstr>
  </property>
  <property fmtid="{D5CDD505-2E9C-101B-9397-08002B2CF9AE}" pid="6" name="_EmailStoreID0">
    <vt:lpwstr>0000000038A1BB1005E5101AA1BB08002B2A56C200006D737073742E646C6C00000000004E495441F9BFB80100AA0037D96E0000000045003A005C00440061007400610020002800440029005C005300650074002000550070005C004F00750074006C006F006F006B005C004F00750074006C006F006F006B002E007000730</vt:lpwstr>
  </property>
  <property fmtid="{D5CDD505-2E9C-101B-9397-08002B2CF9AE}" pid="7" name="_EmailStoreID1">
    <vt:lpwstr>074000000</vt:lpwstr>
  </property>
</Properties>
</file>