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ederal &amp; Regional Policy\PSE Transmission Rates\OATT Formula Rates\Formula Rate Annual Updates\2025 Annual Update\"/>
    </mc:Choice>
  </mc:AlternateContent>
  <bookViews>
    <workbookView xWindow="0" yWindow="0" windowWidth="19200" windowHeight="6300" tabRatio="826" activeTab="1"/>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Support'!$A$1:$Q$258</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Credits'!$A$1:$L$153</definedName>
    <definedName name="_xlnm.Print_Area" localSheetId="14">'WKSHT3 - All GIFs'!$A$1:$E$86</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Support'!$A$74:$N$240</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Support'!$A$74:$N$240</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Support'!$A$74:$N$240</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Support'!$A$74:$N$240</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62913"/>
  <customWorkbookViews>
    <customWorkbookView name="Ken Lee - Personal View" guid="{16940A0E-2B20-4241-BF05-A4686E5A0274}" mergeInterval="0" personalView="1" maximized="1" windowWidth="1020" windowHeight="593" tabRatio="809" activeSheetId="1"/>
    <customWorkbookView name="z93536 - Personal View" guid="{44504B44-F20F-4B6F-B585-74D55BA74563}" mergeInterval="0" personalView="1" maximized="1" windowWidth="1020" windowHeight="579" tabRatio="809" activeSheetId="1"/>
    <customWorkbookView name="x317aks - Personal View" guid="{FAAD9AAC-1337-43AB-BF1F-CCF9DFCF5B78}" mergeInterval="0" personalView="1" maximized="1" windowWidth="1020" windowHeight="592" tabRatio="809" activeSheetId="4"/>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70" tabRatio="809" activeSheetId="1"/>
    <customWorkbookView name="wdbooth - Personal View" guid="{B647CB7F-C846-4278-B6B1-1EF7F3C004F5}" mergeInterval="0" personalView="1" maximized="1" windowWidth="756" windowHeight="354" tabRatio="809" activeSheetId="9"/>
    <customWorkbookView name="Dana Olds - Personal View" guid="{63011E91-4609-4523-98FE-FD252E915668}" mergeInterval="0" personalView="1" maximized="1" windowWidth="1020" windowHeight="605" tabRatio="809" activeSheetId="11"/>
    <customWorkbookView name="Preferred Customer - Personal View" guid="{DC91DEF3-837B-4BB9-A81E-3B78C5914E6C}" mergeInterval="0" personalView="1" maximized="1" windowWidth="1020" windowHeight="603" tabRatio="809" activeSheetId="2"/>
    <customWorkbookView name="alan - Personal View" guid="{1155D18F-BFDD-426B-8E78-817CEB25FB23}" mergeInterval="0" personalView="1" maximized="1" windowWidth="1009" windowHeight="568" tabRatio="809" activeSheetId="1"/>
  </customWorkbookViews>
</workbook>
</file>

<file path=xl/calcChain.xml><?xml version="1.0" encoding="utf-8"?>
<calcChain xmlns="http://schemas.openxmlformats.org/spreadsheetml/2006/main">
  <c r="E29" i="33" l="1"/>
  <c r="I102" i="20" l="1"/>
  <c r="H102" i="20"/>
  <c r="E17" i="33"/>
  <c r="J32" i="31"/>
  <c r="J287" i="31"/>
  <c r="K287" i="31"/>
  <c r="L287" i="31"/>
  <c r="H96" i="31" l="1"/>
  <c r="F8" i="19" l="1"/>
  <c r="E14" i="3" l="1"/>
  <c r="K245" i="20" l="1"/>
  <c r="E20" i="3" l="1"/>
  <c r="E31" i="3"/>
  <c r="E40" i="3"/>
  <c r="E45" i="3"/>
  <c r="E49" i="3"/>
  <c r="E50" i="3"/>
  <c r="F108" i="20" l="1"/>
  <c r="I103" i="34" l="1"/>
  <c r="I104" i="34"/>
  <c r="I105" i="34"/>
  <c r="I106" i="34"/>
  <c r="I107" i="34"/>
  <c r="I108" i="34"/>
  <c r="I102" i="34"/>
  <c r="I86" i="34"/>
  <c r="I87" i="34"/>
  <c r="I88" i="34"/>
  <c r="I89" i="34"/>
  <c r="I90" i="34"/>
  <c r="I91" i="34"/>
  <c r="I85" i="34"/>
  <c r="K152" i="19" l="1"/>
  <c r="K150"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6" i="19"/>
  <c r="F115" i="19"/>
  <c r="F114" i="19"/>
  <c r="F113" i="19"/>
  <c r="F112" i="19"/>
  <c r="F111" i="19"/>
  <c r="F110" i="19"/>
  <c r="F109" i="19"/>
  <c r="F108" i="19"/>
  <c r="K105" i="19"/>
  <c r="F105" i="19"/>
  <c r="K104" i="19"/>
  <c r="F104" i="19"/>
  <c r="K103" i="19"/>
  <c r="F103" i="19"/>
  <c r="K102" i="19"/>
  <c r="F102" i="19"/>
  <c r="K101" i="19"/>
  <c r="F101" i="19"/>
  <c r="K100" i="19"/>
  <c r="F100" i="19"/>
  <c r="K99" i="19"/>
  <c r="F99" i="19"/>
  <c r="K98" i="19"/>
  <c r="F98" i="19"/>
  <c r="K97" i="19"/>
  <c r="F97" i="19"/>
  <c r="K96" i="19"/>
  <c r="F96" i="19"/>
  <c r="K95" i="19"/>
  <c r="F95" i="19"/>
  <c r="K94" i="19"/>
  <c r="F94" i="19"/>
  <c r="K93" i="19"/>
  <c r="F93" i="19"/>
  <c r="K92" i="19"/>
  <c r="F92" i="19"/>
  <c r="K91" i="19"/>
  <c r="F91" i="19"/>
  <c r="K90" i="19"/>
  <c r="F90" i="19"/>
  <c r="K89" i="19"/>
  <c r="F89" i="19"/>
  <c r="K88" i="19"/>
  <c r="F88" i="19"/>
  <c r="K87" i="19"/>
  <c r="F87" i="19"/>
  <c r="K86" i="19"/>
  <c r="F86" i="19"/>
  <c r="K85" i="19"/>
  <c r="F85" i="19"/>
  <c r="K84" i="19"/>
  <c r="F84" i="19"/>
  <c r="K83" i="19"/>
  <c r="F83" i="19"/>
  <c r="K82" i="19"/>
  <c r="F82" i="19"/>
  <c r="K81" i="19"/>
  <c r="F81" i="19"/>
  <c r="K80" i="19"/>
  <c r="F80" i="19"/>
  <c r="K79" i="19"/>
  <c r="F79" i="19"/>
  <c r="K78" i="19"/>
  <c r="F78" i="19"/>
  <c r="K77" i="19"/>
  <c r="F77" i="19"/>
  <c r="K76" i="19"/>
  <c r="F76" i="19"/>
  <c r="K75" i="19"/>
  <c r="F75" i="19"/>
  <c r="K74" i="19"/>
  <c r="F74" i="19"/>
  <c r="K73" i="19"/>
  <c r="F73" i="19"/>
  <c r="K71" i="19"/>
  <c r="F71" i="19"/>
  <c r="K70" i="19"/>
  <c r="F70" i="19"/>
  <c r="K69" i="19"/>
  <c r="F69" i="19"/>
  <c r="K68" i="19"/>
  <c r="F68" i="19"/>
  <c r="K67" i="19"/>
  <c r="F67" i="19"/>
  <c r="K66" i="19"/>
  <c r="F66" i="19"/>
  <c r="F63" i="19"/>
  <c r="F62" i="19"/>
  <c r="F61" i="19"/>
  <c r="F60" i="19"/>
  <c r="F59" i="19"/>
  <c r="F58" i="19"/>
  <c r="F57" i="19"/>
  <c r="F56" i="19"/>
  <c r="F55" i="19"/>
  <c r="F54" i="19"/>
  <c r="F52" i="19"/>
  <c r="F51" i="19"/>
  <c r="F50" i="19"/>
  <c r="F49" i="19"/>
  <c r="F48" i="19"/>
  <c r="F47" i="19"/>
  <c r="F46" i="19"/>
  <c r="F45" i="19"/>
  <c r="F44" i="19"/>
  <c r="F43" i="19"/>
  <c r="F42" i="19"/>
  <c r="F41" i="19"/>
  <c r="F40" i="19"/>
  <c r="F39" i="19"/>
  <c r="P40" i="23" l="1"/>
  <c r="K10" i="19" l="1"/>
  <c r="I77" i="20"/>
  <c r="F55" i="20" l="1"/>
  <c r="L9" i="31"/>
  <c r="L10" i="31"/>
  <c r="L11" i="31"/>
  <c r="N24" i="43"/>
  <c r="N51" i="43"/>
  <c r="B51" i="43"/>
  <c r="C51" i="43"/>
  <c r="D51" i="43"/>
  <c r="E51" i="43"/>
  <c r="F51" i="43"/>
  <c r="G51" i="43"/>
  <c r="H51" i="43"/>
  <c r="I51" i="43"/>
  <c r="J51" i="43"/>
  <c r="K51" i="43"/>
  <c r="L51" i="43"/>
  <c r="M51" i="43"/>
  <c r="O22" i="43"/>
  <c r="O288" i="43"/>
  <c r="B313" i="43"/>
  <c r="C313" i="43"/>
  <c r="D313" i="43"/>
  <c r="E313" i="43"/>
  <c r="F313" i="43"/>
  <c r="G313" i="43"/>
  <c r="H313" i="43"/>
  <c r="I313" i="43"/>
  <c r="J313" i="43"/>
  <c r="K313" i="43"/>
  <c r="L313" i="43"/>
  <c r="M313" i="43"/>
  <c r="N313" i="43"/>
  <c r="D23" i="44" l="1"/>
  <c r="P5" i="44"/>
  <c r="C58" i="44"/>
  <c r="I83" i="46" l="1"/>
  <c r="I82" i="46"/>
  <c r="I81" i="46"/>
  <c r="I80" i="46"/>
  <c r="I79" i="46"/>
  <c r="I83" i="45"/>
  <c r="I82" i="45"/>
  <c r="I81" i="45"/>
  <c r="I80" i="45"/>
  <c r="I79" i="45"/>
  <c r="I101" i="34"/>
  <c r="I100" i="34"/>
  <c r="I99" i="34"/>
  <c r="I98" i="34"/>
  <c r="I97" i="34"/>
  <c r="I84" i="34"/>
  <c r="I83" i="34"/>
  <c r="I82" i="34"/>
  <c r="I81" i="34"/>
  <c r="I80" i="34"/>
  <c r="I149" i="20"/>
  <c r="I133" i="20"/>
  <c r="P20" i="44" l="1"/>
  <c r="I86" i="20" l="1"/>
  <c r="J194" i="20" l="1"/>
  <c r="I90" i="2" l="1"/>
  <c r="E98" i="2"/>
  <c r="F98" i="2" s="1"/>
  <c r="E97" i="2"/>
  <c r="F97" i="2" s="1"/>
  <c r="E96" i="2"/>
  <c r="H96" i="2" s="1"/>
  <c r="E95" i="2"/>
  <c r="F95" i="2" s="1"/>
  <c r="E94" i="2"/>
  <c r="E93" i="2"/>
  <c r="E92" i="2"/>
  <c r="F92" i="2" s="1"/>
  <c r="E91" i="2"/>
  <c r="F91" i="2" s="1"/>
  <c r="E90" i="2"/>
  <c r="E89" i="2"/>
  <c r="C146" i="19" l="1"/>
  <c r="D146" i="19"/>
  <c r="E146" i="19"/>
  <c r="K146" i="19" l="1"/>
  <c r="F146" i="19"/>
  <c r="F148" i="19" s="1"/>
  <c r="K153" i="19"/>
  <c r="P57" i="44" l="1"/>
  <c r="P42" i="44"/>
  <c r="E23" i="44"/>
  <c r="F23" i="44"/>
  <c r="G23" i="44"/>
  <c r="H23" i="44"/>
  <c r="I23" i="44"/>
  <c r="J23" i="44"/>
  <c r="K23" i="44"/>
  <c r="L23" i="44"/>
  <c r="M23" i="44"/>
  <c r="N23" i="44"/>
  <c r="O23" i="44"/>
  <c r="D86" i="38" l="1"/>
  <c r="C86" i="38"/>
  <c r="E80" i="38"/>
  <c r="E81" i="38"/>
  <c r="E82" i="38"/>
  <c r="E83" i="38"/>
  <c r="O211" i="43"/>
  <c r="O212" i="43"/>
  <c r="C213" i="43"/>
  <c r="D213" i="43"/>
  <c r="E213" i="43"/>
  <c r="F213" i="43"/>
  <c r="G213" i="43"/>
  <c r="H213" i="43"/>
  <c r="I213" i="43"/>
  <c r="J213" i="43"/>
  <c r="K213" i="43"/>
  <c r="L213" i="43"/>
  <c r="M213" i="43"/>
  <c r="N213" i="43"/>
  <c r="B213" i="43"/>
  <c r="G85" i="34" l="1"/>
  <c r="J107" i="31" l="1"/>
  <c r="E66" i="2" l="1"/>
  <c r="E38" i="2"/>
  <c r="F38" i="2" s="1"/>
  <c r="E37" i="2"/>
  <c r="E34" i="2"/>
  <c r="O149" i="43" l="1"/>
  <c r="B14" i="19" l="1"/>
  <c r="B33" i="19"/>
  <c r="P24" i="44" l="1"/>
  <c r="O58" i="44" l="1"/>
  <c r="Q20" i="23" l="1"/>
  <c r="W20" i="23" s="1"/>
  <c r="D22" i="23"/>
  <c r="L15" i="47" l="1"/>
  <c r="K15" i="47"/>
  <c r="J15" i="47"/>
  <c r="H77" i="20" l="1"/>
  <c r="G62" i="20"/>
  <c r="J11" i="31" l="1"/>
  <c r="J10" i="31"/>
  <c r="J9" i="31"/>
  <c r="J267" i="31" l="1"/>
  <c r="E252"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I15" i="47" l="1"/>
  <c r="H15" i="47"/>
  <c r="G15" i="47"/>
  <c r="D58" i="44" l="1"/>
  <c r="E4" i="38" l="1"/>
  <c r="N319" i="43" l="1"/>
  <c r="N236" i="43"/>
  <c r="N227" i="43"/>
  <c r="N152" i="43" l="1"/>
  <c r="I72" i="41" l="1"/>
  <c r="J72" i="41"/>
  <c r="K72" i="41"/>
  <c r="I68" i="41"/>
  <c r="J68" i="41"/>
  <c r="K68" i="41"/>
  <c r="I64" i="41"/>
  <c r="J64" i="41"/>
  <c r="K64" i="41"/>
  <c r="I60" i="41"/>
  <c r="J60" i="41"/>
  <c r="K60" i="41"/>
  <c r="I197" i="20" l="1"/>
  <c r="Q38" i="23" l="1"/>
  <c r="T38" i="23" s="1"/>
  <c r="D40" i="23"/>
  <c r="E40" i="23"/>
  <c r="Q19" i="23" l="1"/>
  <c r="W19" i="23" s="1"/>
  <c r="Q18" i="23"/>
  <c r="W18" i="23" s="1"/>
  <c r="E22" i="23"/>
  <c r="Q5" i="23"/>
  <c r="E69" i="2" l="1"/>
  <c r="F69" i="2" s="1"/>
  <c r="D71" i="2"/>
  <c r="C71" i="2"/>
  <c r="E36" i="2"/>
  <c r="I247" i="20" l="1"/>
  <c r="E58" i="44" l="1"/>
  <c r="F58" i="44"/>
  <c r="G58" i="44"/>
  <c r="H58" i="44"/>
  <c r="I58" i="44"/>
  <c r="J58" i="44"/>
  <c r="K58" i="44"/>
  <c r="L58" i="44"/>
  <c r="M58" i="44"/>
  <c r="N58" i="44"/>
  <c r="E46" i="22" l="1"/>
  <c r="A4" i="38" l="1"/>
  <c r="E60" i="38"/>
  <c r="E61" i="38"/>
  <c r="E62" i="38"/>
  <c r="E63" i="38"/>
  <c r="E64" i="38"/>
  <c r="E65" i="38"/>
  <c r="E66" i="38"/>
  <c r="E67" i="38"/>
  <c r="O195" i="43"/>
  <c r="O197" i="43"/>
  <c r="O198" i="43"/>
  <c r="O199" i="43"/>
  <c r="O200" i="43"/>
  <c r="O201" i="43"/>
  <c r="O202" i="43"/>
  <c r="O203" i="43"/>
  <c r="O204" i="43"/>
  <c r="O206" i="43"/>
  <c r="O207" i="43"/>
  <c r="O208" i="43"/>
  <c r="O194" i="43"/>
  <c r="O155" i="43"/>
  <c r="O226" i="43"/>
  <c r="H197" i="20"/>
  <c r="O205" i="43" l="1"/>
  <c r="O196" i="43"/>
  <c r="N76" i="43" l="1"/>
  <c r="D152" i="43"/>
  <c r="J68" i="20" l="1"/>
  <c r="P23" i="44" l="1"/>
  <c r="P12" i="44"/>
  <c r="P13" i="44"/>
  <c r="P14" i="44"/>
  <c r="F240" i="31" l="1"/>
  <c r="Q12" i="23" l="1"/>
  <c r="W12" i="23" s="1"/>
  <c r="Q13" i="23"/>
  <c r="W13" i="23" s="1"/>
  <c r="Q14" i="23"/>
  <c r="W14" i="23" s="1"/>
  <c r="Q15" i="23"/>
  <c r="W15" i="23" s="1"/>
  <c r="Q16" i="23"/>
  <c r="W16" i="23" s="1"/>
  <c r="Q17" i="23"/>
  <c r="W17" i="23" s="1"/>
  <c r="Q36" i="23"/>
  <c r="T36" i="23" s="1"/>
  <c r="Q37" i="23"/>
  <c r="T37" i="23" s="1"/>
  <c r="E6" i="23"/>
  <c r="F6" i="23"/>
  <c r="G6" i="23"/>
  <c r="H6" i="23"/>
  <c r="I6" i="23"/>
  <c r="J6" i="23"/>
  <c r="K6" i="23"/>
  <c r="L6" i="23"/>
  <c r="M6" i="23"/>
  <c r="N6" i="23"/>
  <c r="O6" i="23"/>
  <c r="P6" i="23"/>
  <c r="D6" i="23"/>
  <c r="E255" i="20" l="1"/>
  <c r="G16" i="5" l="1"/>
  <c r="H16" i="5"/>
  <c r="U26" i="23" l="1"/>
  <c r="E27" i="23"/>
  <c r="F27" i="23"/>
  <c r="G27" i="23"/>
  <c r="H27" i="23"/>
  <c r="I27" i="23"/>
  <c r="J27" i="23"/>
  <c r="K27" i="23"/>
  <c r="L27" i="23"/>
  <c r="M27" i="23"/>
  <c r="N27" i="23"/>
  <c r="O27" i="23"/>
  <c r="P27" i="23"/>
  <c r="D27" i="23"/>
  <c r="D43" i="23" s="1"/>
  <c r="O280" i="43" l="1"/>
  <c r="O281" i="43"/>
  <c r="O282" i="43"/>
  <c r="O283" i="43"/>
  <c r="O284" i="43"/>
  <c r="O285" i="43"/>
  <c r="O286" i="43"/>
  <c r="O287" i="43"/>
  <c r="O289" i="43"/>
  <c r="O290" i="43"/>
  <c r="O291" i="43"/>
  <c r="O292" i="43"/>
  <c r="O293" i="43"/>
  <c r="O294" i="43"/>
  <c r="O295" i="43"/>
  <c r="O296" i="43"/>
  <c r="O297" i="43"/>
  <c r="O298" i="43"/>
  <c r="O222" i="43"/>
  <c r="O209" i="43"/>
  <c r="O210" i="43"/>
  <c r="B76" i="43"/>
  <c r="B66" i="43"/>
  <c r="B152" i="43"/>
  <c r="B157" i="43"/>
  <c r="O131" i="43"/>
  <c r="O132" i="43"/>
  <c r="O133" i="43"/>
  <c r="O134" i="43"/>
  <c r="O135" i="43"/>
  <c r="O136" i="43"/>
  <c r="O137" i="43"/>
  <c r="O138" i="43"/>
  <c r="O139" i="43"/>
  <c r="O140" i="43"/>
  <c r="O141" i="43"/>
  <c r="O142" i="43"/>
  <c r="O143" i="43"/>
  <c r="O144" i="43"/>
  <c r="O145" i="43"/>
  <c r="O146" i="43"/>
  <c r="O147" i="43"/>
  <c r="O148" i="43"/>
  <c r="O150" i="43"/>
  <c r="O151" i="43"/>
  <c r="O154" i="43"/>
  <c r="O156" i="43"/>
  <c r="C157" i="43"/>
  <c r="D157" i="43"/>
  <c r="E157" i="43"/>
  <c r="F157" i="43"/>
  <c r="G157" i="43"/>
  <c r="H157" i="43"/>
  <c r="I157" i="43"/>
  <c r="J157" i="43"/>
  <c r="K157" i="43"/>
  <c r="L157" i="43"/>
  <c r="M157" i="43"/>
  <c r="N157" i="43"/>
  <c r="Q35" i="23" l="1"/>
  <c r="T35" i="23" s="1"/>
  <c r="Q31" i="23"/>
  <c r="F40" i="23"/>
  <c r="G40" i="23"/>
  <c r="H40" i="23"/>
  <c r="I40" i="23"/>
  <c r="J40" i="23"/>
  <c r="K40" i="23"/>
  <c r="L40" i="23"/>
  <c r="M40" i="23"/>
  <c r="N40" i="23"/>
  <c r="O40" i="23"/>
  <c r="F22" i="23"/>
  <c r="G22" i="23"/>
  <c r="H22" i="23"/>
  <c r="I22" i="23"/>
  <c r="J22" i="23"/>
  <c r="K22" i="23"/>
  <c r="L22" i="23"/>
  <c r="M22" i="23"/>
  <c r="N22" i="23"/>
  <c r="O22" i="23"/>
  <c r="P22" i="23"/>
  <c r="P43" i="23" s="1"/>
  <c r="Q27" i="23"/>
  <c r="Q6" i="23"/>
  <c r="T31" i="23" l="1"/>
  <c r="Q10" i="23" l="1"/>
  <c r="Q11" i="23"/>
  <c r="Q22" i="23" l="1"/>
  <c r="J154" i="20"/>
  <c r="O39" i="43" l="1"/>
  <c r="O40" i="43"/>
  <c r="O41" i="43"/>
  <c r="O42" i="43"/>
  <c r="O43" i="43"/>
  <c r="O44" i="43"/>
  <c r="O45" i="43"/>
  <c r="O46" i="43"/>
  <c r="O47" i="43"/>
  <c r="O48" i="43"/>
  <c r="O49" i="43"/>
  <c r="O50" i="43"/>
  <c r="O8" i="43"/>
  <c r="O9" i="43"/>
  <c r="O10" i="43"/>
  <c r="O11" i="43"/>
  <c r="O12" i="43"/>
  <c r="O13" i="43"/>
  <c r="O14" i="43"/>
  <c r="O15" i="43"/>
  <c r="O16" i="43"/>
  <c r="O17" i="43"/>
  <c r="O18" i="43"/>
  <c r="O19" i="43"/>
  <c r="O20" i="43"/>
  <c r="O21" i="43"/>
  <c r="O23" i="43"/>
  <c r="O24" i="43"/>
  <c r="O25" i="43"/>
  <c r="O26" i="43"/>
  <c r="O27" i="43"/>
  <c r="O28" i="43"/>
  <c r="O29" i="43"/>
  <c r="O30" i="43"/>
  <c r="O31" i="43"/>
  <c r="O32" i="43"/>
  <c r="O33" i="43"/>
  <c r="O34" i="43"/>
  <c r="O35" i="43"/>
  <c r="O36" i="43"/>
  <c r="O37" i="43"/>
  <c r="O38" i="43"/>
  <c r="O7" i="43"/>
  <c r="L259" i="31" l="1"/>
  <c r="J146" i="20" l="1"/>
  <c r="E5" i="38" l="1"/>
  <c r="E3" i="38" l="1"/>
  <c r="C324" i="43" l="1"/>
  <c r="D324" i="43"/>
  <c r="E324" i="43"/>
  <c r="F324" i="43"/>
  <c r="G324" i="43"/>
  <c r="H324" i="43"/>
  <c r="I324" i="43"/>
  <c r="J324" i="43"/>
  <c r="K324" i="43"/>
  <c r="L324" i="43"/>
  <c r="M324" i="43"/>
  <c r="N324" i="43"/>
  <c r="B324" i="43"/>
  <c r="O316" i="43"/>
  <c r="O317" i="43"/>
  <c r="O318" i="43"/>
  <c r="O306" i="43"/>
  <c r="O307" i="43"/>
  <c r="O308" i="43"/>
  <c r="O309" i="43"/>
  <c r="O310" i="43"/>
  <c r="O311" i="43"/>
  <c r="O312" i="43"/>
  <c r="O221" i="43"/>
  <c r="O223" i="43"/>
  <c r="O224" i="43"/>
  <c r="O225" i="43"/>
  <c r="O215" i="43"/>
  <c r="O324" i="43" s="1"/>
  <c r="O178" i="43"/>
  <c r="O185" i="43"/>
  <c r="O186" i="43"/>
  <c r="O187" i="43"/>
  <c r="O188" i="43"/>
  <c r="O189" i="43"/>
  <c r="O190" i="43"/>
  <c r="O191" i="43"/>
  <c r="O192" i="43"/>
  <c r="O193" i="43"/>
  <c r="O217" i="43"/>
  <c r="O218" i="43"/>
  <c r="O219" i="43"/>
  <c r="O220" i="43"/>
  <c r="B227" i="43"/>
  <c r="C227" i="43"/>
  <c r="D227" i="43"/>
  <c r="E227" i="43"/>
  <c r="F227" i="43"/>
  <c r="G227" i="43"/>
  <c r="H227" i="43"/>
  <c r="I227" i="43"/>
  <c r="J227" i="43"/>
  <c r="K227" i="43"/>
  <c r="L227" i="43"/>
  <c r="M227" i="43"/>
  <c r="O53" i="43"/>
  <c r="C163" i="43"/>
  <c r="D163" i="43"/>
  <c r="E163" i="43"/>
  <c r="F163" i="43"/>
  <c r="G163" i="43"/>
  <c r="H163" i="43"/>
  <c r="I163" i="43"/>
  <c r="J163" i="43"/>
  <c r="K163" i="43"/>
  <c r="L163" i="43"/>
  <c r="M163" i="43"/>
  <c r="N163" i="43"/>
  <c r="B163" i="43"/>
  <c r="O227" i="43" l="1"/>
  <c r="O163" i="43"/>
  <c r="D170" i="43" l="1"/>
  <c r="E170" i="43"/>
  <c r="F170" i="43"/>
  <c r="G170" i="43"/>
  <c r="H170" i="43"/>
  <c r="I170" i="43"/>
  <c r="J170" i="43"/>
  <c r="K170" i="43"/>
  <c r="L170" i="43"/>
  <c r="M170" i="43"/>
  <c r="N170" i="43"/>
  <c r="O171" i="43"/>
  <c r="O172" i="43"/>
  <c r="C66" i="43"/>
  <c r="D66" i="43"/>
  <c r="E66" i="43"/>
  <c r="F66" i="43"/>
  <c r="G66" i="43"/>
  <c r="H66" i="43"/>
  <c r="I66" i="43"/>
  <c r="J66" i="43"/>
  <c r="K66" i="43"/>
  <c r="L66" i="43"/>
  <c r="M66" i="43"/>
  <c r="C76" i="43"/>
  <c r="D76" i="43"/>
  <c r="E76" i="43"/>
  <c r="F76" i="43"/>
  <c r="G76" i="43"/>
  <c r="H76" i="43"/>
  <c r="I76" i="43"/>
  <c r="J76" i="43"/>
  <c r="K76" i="43"/>
  <c r="L76" i="43"/>
  <c r="M76" i="43"/>
  <c r="E35" i="2" l="1"/>
  <c r="E33" i="2"/>
  <c r="E32" i="2"/>
  <c r="E31" i="2"/>
  <c r="E30" i="2"/>
  <c r="E29" i="2"/>
  <c r="F72" i="41" l="1"/>
  <c r="G72" i="41"/>
  <c r="F68" i="41"/>
  <c r="G68" i="41"/>
  <c r="F64" i="41"/>
  <c r="G64" i="41"/>
  <c r="F60" i="41"/>
  <c r="G60" i="41"/>
  <c r="J41" i="41"/>
  <c r="K24"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82" i="43"/>
  <c r="O240" i="43" l="1"/>
  <c r="O241" i="43"/>
  <c r="O242" i="43"/>
  <c r="O243" i="43"/>
  <c r="O244" i="43"/>
  <c r="O245" i="43"/>
  <c r="O246" i="43"/>
  <c r="O247" i="43"/>
  <c r="O248" i="43"/>
  <c r="O249" i="43"/>
  <c r="O250" i="43"/>
  <c r="O251" i="43"/>
  <c r="O252" i="43"/>
  <c r="O253" i="43"/>
  <c r="O254" i="43"/>
  <c r="O255" i="43"/>
  <c r="O256" i="43"/>
  <c r="O257" i="43"/>
  <c r="O258" i="43"/>
  <c r="O259" i="43"/>
  <c r="O260" i="43"/>
  <c r="O261" i="43"/>
  <c r="O262" i="43"/>
  <c r="O263" i="43"/>
  <c r="O264" i="43"/>
  <c r="O265" i="43"/>
  <c r="O266" i="43"/>
  <c r="O267" i="43"/>
  <c r="O268" i="43"/>
  <c r="O269" i="43"/>
  <c r="O270" i="43"/>
  <c r="O271" i="43"/>
  <c r="O272" i="43"/>
  <c r="O273" i="43"/>
  <c r="O274" i="43"/>
  <c r="O275" i="43"/>
  <c r="O276" i="43"/>
  <c r="O277" i="43"/>
  <c r="O278" i="43"/>
  <c r="O279" i="43"/>
  <c r="O299" i="43"/>
  <c r="O300" i="43"/>
  <c r="O301" i="43"/>
  <c r="O302" i="43"/>
  <c r="O303" i="43"/>
  <c r="O304" i="43"/>
  <c r="O305" i="43"/>
  <c r="O239" i="43"/>
  <c r="O235" i="43"/>
  <c r="O234" i="43"/>
  <c r="O233" i="43"/>
  <c r="O232" i="43"/>
  <c r="O231" i="43"/>
  <c r="O230" i="43"/>
  <c r="O180" i="43"/>
  <c r="O181" i="43"/>
  <c r="O183" i="43"/>
  <c r="O184" i="43"/>
  <c r="M319" i="43"/>
  <c r="L319" i="43"/>
  <c r="K319" i="43"/>
  <c r="J319" i="43"/>
  <c r="I319" i="43"/>
  <c r="H319" i="43"/>
  <c r="G319" i="43"/>
  <c r="F319" i="43"/>
  <c r="E319" i="43"/>
  <c r="D319" i="43"/>
  <c r="C319" i="43"/>
  <c r="B319" i="43"/>
  <c r="N321" i="43"/>
  <c r="N323" i="43"/>
  <c r="M236" i="43"/>
  <c r="M323" i="43" s="1"/>
  <c r="L236" i="43"/>
  <c r="L323" i="43" s="1"/>
  <c r="K236" i="43"/>
  <c r="K323" i="43" s="1"/>
  <c r="J236" i="43"/>
  <c r="J323" i="43" s="1"/>
  <c r="I236" i="43"/>
  <c r="I323" i="43" s="1"/>
  <c r="H236" i="43"/>
  <c r="H323" i="43" s="1"/>
  <c r="G236" i="43"/>
  <c r="G323" i="43" s="1"/>
  <c r="F236" i="43"/>
  <c r="F323" i="43" s="1"/>
  <c r="E236" i="43"/>
  <c r="E323" i="43" s="1"/>
  <c r="D236" i="43"/>
  <c r="D323" i="43" s="1"/>
  <c r="C236" i="43"/>
  <c r="C323" i="43" s="1"/>
  <c r="B236" i="43"/>
  <c r="B323" i="43" s="1"/>
  <c r="C170" i="43"/>
  <c r="B170" i="43"/>
  <c r="O130"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8" i="43"/>
  <c r="O97" i="43"/>
  <c r="O96" i="43"/>
  <c r="O95" i="43"/>
  <c r="O94" i="43"/>
  <c r="O93" i="43"/>
  <c r="O92" i="43"/>
  <c r="O91" i="43"/>
  <c r="O90" i="43"/>
  <c r="O89" i="43"/>
  <c r="O88" i="43"/>
  <c r="O87" i="43"/>
  <c r="O86" i="43"/>
  <c r="O85" i="43"/>
  <c r="O84" i="43"/>
  <c r="O83" i="43"/>
  <c r="O82" i="43"/>
  <c r="O81" i="43"/>
  <c r="O80" i="43"/>
  <c r="O79" i="43"/>
  <c r="O78" i="43"/>
  <c r="M152" i="43"/>
  <c r="L152" i="43"/>
  <c r="K152" i="43"/>
  <c r="J152" i="43"/>
  <c r="I152" i="43"/>
  <c r="H152" i="43"/>
  <c r="G152" i="43"/>
  <c r="F152" i="43"/>
  <c r="E152" i="43"/>
  <c r="C152" i="43"/>
  <c r="O70" i="43"/>
  <c r="O71" i="43"/>
  <c r="O72" i="43"/>
  <c r="O73" i="43"/>
  <c r="O74" i="43"/>
  <c r="O75" i="43"/>
  <c r="O56" i="43"/>
  <c r="O57" i="43"/>
  <c r="O58" i="43"/>
  <c r="O59" i="43"/>
  <c r="O60" i="43"/>
  <c r="O61" i="43"/>
  <c r="O62" i="43"/>
  <c r="O63" i="43"/>
  <c r="O64" i="43"/>
  <c r="O65" i="43"/>
  <c r="O6" i="43"/>
  <c r="N162" i="43"/>
  <c r="M162" i="43"/>
  <c r="L162" i="43"/>
  <c r="K162" i="43"/>
  <c r="J162" i="43"/>
  <c r="I162" i="43"/>
  <c r="H162" i="43"/>
  <c r="G162" i="43"/>
  <c r="F162" i="43"/>
  <c r="E162" i="43"/>
  <c r="D162" i="43"/>
  <c r="C162" i="43"/>
  <c r="B162" i="43"/>
  <c r="N66" i="43"/>
  <c r="O162" i="43" l="1"/>
  <c r="O152" i="43"/>
  <c r="O157" i="43"/>
  <c r="O51" i="43"/>
  <c r="H160" i="43"/>
  <c r="O236" i="43"/>
  <c r="O323" i="43" s="1"/>
  <c r="I38" i="20" s="1"/>
  <c r="L47" i="31" s="1"/>
  <c r="C161" i="43"/>
  <c r="K161" i="43"/>
  <c r="B160" i="43"/>
  <c r="F160" i="43"/>
  <c r="J160" i="43"/>
  <c r="N160" i="43"/>
  <c r="E161" i="43"/>
  <c r="M161" i="43"/>
  <c r="K321" i="43"/>
  <c r="B322" i="43"/>
  <c r="F322" i="43"/>
  <c r="J322" i="43"/>
  <c r="N322" i="43"/>
  <c r="N325" i="43" s="1"/>
  <c r="I161" i="43"/>
  <c r="D160" i="43"/>
  <c r="L160" i="43"/>
  <c r="G161" i="43"/>
  <c r="E160" i="43"/>
  <c r="I160" i="43"/>
  <c r="M160" i="43"/>
  <c r="D161" i="43"/>
  <c r="H161" i="43"/>
  <c r="L161" i="43"/>
  <c r="C322" i="43"/>
  <c r="G322" i="43"/>
  <c r="K322" i="43"/>
  <c r="O313" i="43"/>
  <c r="O319" i="43"/>
  <c r="H321" i="43"/>
  <c r="L321" i="43"/>
  <c r="C321" i="43"/>
  <c r="D321" i="43"/>
  <c r="G321" i="43"/>
  <c r="B321" i="43"/>
  <c r="F321" i="43"/>
  <c r="F325" i="43" s="1"/>
  <c r="J321" i="43"/>
  <c r="J325" i="43" s="1"/>
  <c r="E322" i="43"/>
  <c r="I322" i="43"/>
  <c r="M322" i="43"/>
  <c r="C160" i="43"/>
  <c r="G160" i="43"/>
  <c r="K160" i="43"/>
  <c r="B161" i="43"/>
  <c r="F161" i="43"/>
  <c r="J161" i="43"/>
  <c r="N161" i="43"/>
  <c r="E321" i="43"/>
  <c r="I321" i="43"/>
  <c r="M321" i="43"/>
  <c r="D322" i="43"/>
  <c r="H322" i="43"/>
  <c r="L322" i="43"/>
  <c r="B325" i="43" l="1"/>
  <c r="G325" i="43"/>
  <c r="E325" i="43"/>
  <c r="I164" i="43"/>
  <c r="I325" i="43"/>
  <c r="D325" i="43"/>
  <c r="C325" i="43"/>
  <c r="L325" i="43"/>
  <c r="M325" i="43"/>
  <c r="H325" i="43"/>
  <c r="K325" i="43"/>
  <c r="E164" i="43"/>
  <c r="N164" i="43"/>
  <c r="O161" i="43"/>
  <c r="K164" i="43"/>
  <c r="M164" i="43"/>
  <c r="J164" i="43"/>
  <c r="D164" i="43"/>
  <c r="B164" i="43"/>
  <c r="O160" i="43"/>
  <c r="C164" i="43"/>
  <c r="H164" i="43"/>
  <c r="G164" i="43"/>
  <c r="L164" i="43"/>
  <c r="F164" i="43"/>
  <c r="L48" i="31"/>
  <c r="O322" i="43"/>
  <c r="H38" i="20" s="1"/>
  <c r="O164" i="43" l="1"/>
  <c r="G9" i="20"/>
  <c r="F109" i="20" l="1"/>
  <c r="M85" i="34"/>
  <c r="M84" i="45"/>
  <c r="M84" i="46"/>
  <c r="Q32" i="23" l="1"/>
  <c r="T32" i="23" s="1"/>
  <c r="Q33" i="23"/>
  <c r="T33" i="23" s="1"/>
  <c r="Q34" i="23"/>
  <c r="T34" i="23" s="1"/>
  <c r="Q40" i="23" l="1"/>
  <c r="T40" i="23"/>
  <c r="U27" i="23"/>
  <c r="J205" i="20" s="1"/>
  <c r="P45" i="44"/>
  <c r="P44" i="44"/>
  <c r="P52" i="44"/>
  <c r="P54" i="44"/>
  <c r="P55" i="44"/>
  <c r="J206" i="20" l="1"/>
  <c r="C72" i="41"/>
  <c r="H72" i="41"/>
  <c r="H68" i="41"/>
  <c r="C68" i="41"/>
  <c r="H64" i="41"/>
  <c r="C64" i="41"/>
  <c r="C60" i="41"/>
  <c r="H60" i="41"/>
  <c r="O177" i="43"/>
  <c r="O176" i="43"/>
  <c r="O175" i="43"/>
  <c r="O174" i="43"/>
  <c r="O173" i="43"/>
  <c r="O69" i="43"/>
  <c r="O76" i="43" s="1"/>
  <c r="I9" i="20" s="1"/>
  <c r="L31" i="31" s="1"/>
  <c r="L273" i="31" s="1"/>
  <c r="L282" i="31" s="1"/>
  <c r="O55" i="43"/>
  <c r="O66" i="43" s="1"/>
  <c r="O213" i="43" l="1"/>
  <c r="O321" i="43" s="1"/>
  <c r="L33" i="31"/>
  <c r="L258" i="31" s="1"/>
  <c r="L260" i="31" s="1"/>
  <c r="L261" i="31" s="1"/>
  <c r="H9" i="20"/>
  <c r="H73" i="41"/>
  <c r="J99" i="20" s="1"/>
  <c r="C73" i="41"/>
  <c r="G38" i="20" l="1"/>
  <c r="F38" i="20" s="1"/>
  <c r="O325" i="43"/>
  <c r="C74" i="41"/>
  <c r="J98" i="20"/>
  <c r="J100" i="20" s="1"/>
  <c r="P6" i="44" l="1"/>
  <c r="P8" i="44"/>
  <c r="P9" i="44"/>
  <c r="D114" i="34" l="1"/>
  <c r="G122" i="34"/>
  <c r="G123" i="34" s="1"/>
  <c r="G124" i="34" s="1"/>
  <c r="G125" i="34" s="1"/>
  <c r="G126" i="34" s="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25" i="44"/>
  <c r="L110" i="31"/>
  <c r="L111" i="31" s="1"/>
  <c r="K244" i="20"/>
  <c r="K243" i="20"/>
  <c r="H178" i="31" l="1"/>
  <c r="K247" i="20"/>
  <c r="H110" i="31" l="1"/>
  <c r="J147" i="20"/>
  <c r="Q214" i="20" l="1"/>
  <c r="H84" i="31" l="1"/>
  <c r="H86" i="31" s="1"/>
  <c r="P50" i="44"/>
  <c r="P51" i="44"/>
  <c r="P58" i="44" l="1"/>
  <c r="J95" i="46" l="1"/>
  <c r="J96" i="45"/>
  <c r="J113" i="34"/>
  <c r="J115" i="34" s="1"/>
  <c r="W11" i="23"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E86" i="38" l="1"/>
  <c r="H177" i="3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J110" i="31" l="1"/>
  <c r="J53" i="31" l="1"/>
  <c r="J130" i="31"/>
  <c r="H267" i="31"/>
  <c r="F16" i="5"/>
  <c r="E55" i="20"/>
  <c r="E61" i="20" s="1"/>
  <c r="H49" i="41"/>
  <c r="H45" i="41"/>
  <c r="H41" i="41"/>
  <c r="H37" i="41"/>
  <c r="I49" i="41"/>
  <c r="I45" i="41"/>
  <c r="I41" i="41"/>
  <c r="I37" i="41"/>
  <c r="G89" i="34"/>
  <c r="G90" i="34"/>
  <c r="G91" i="34"/>
  <c r="G88" i="34"/>
  <c r="G80" i="34"/>
  <c r="F24" i="41"/>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J78" i="31"/>
  <c r="Q215" i="20"/>
  <c r="F224" i="20"/>
  <c r="J224" i="20" s="1"/>
  <c r="J96" i="31" s="1"/>
  <c r="F229" i="20"/>
  <c r="J229" i="20" s="1"/>
  <c r="J97" i="31" s="1"/>
  <c r="H97" i="31" s="1"/>
  <c r="J92" i="31"/>
  <c r="D216" i="20"/>
  <c r="E216" i="20"/>
  <c r="F216" i="20"/>
  <c r="G216" i="20"/>
  <c r="H216" i="20"/>
  <c r="I216" i="20"/>
  <c r="J216" i="20"/>
  <c r="K216" i="20"/>
  <c r="L216" i="20"/>
  <c r="M216" i="20"/>
  <c r="N216" i="20"/>
  <c r="O216" i="20"/>
  <c r="P216" i="20"/>
  <c r="J148" i="31"/>
  <c r="K148" i="31" s="1"/>
  <c r="J143" i="31"/>
  <c r="J141" i="31"/>
  <c r="K15" i="19"/>
  <c r="G22" i="22"/>
  <c r="K12" i="31"/>
  <c r="K13" i="31" s="1"/>
  <c r="K53" i="31"/>
  <c r="K92" i="31"/>
  <c r="K98" i="31"/>
  <c r="K133" i="31"/>
  <c r="K156" i="31"/>
  <c r="K141" i="31"/>
  <c r="H79" i="45"/>
  <c r="J79" i="45" s="1"/>
  <c r="K293" i="31"/>
  <c r="B35" i="19"/>
  <c r="J126" i="31"/>
  <c r="J129" i="31"/>
  <c r="P26" i="44"/>
  <c r="P27" i="44"/>
  <c r="P28" i="44"/>
  <c r="H182" i="31" s="1"/>
  <c r="P22" i="44"/>
  <c r="C46" i="2"/>
  <c r="D46" i="2"/>
  <c r="E65" i="2"/>
  <c r="H68" i="2" s="1"/>
  <c r="H71" i="2" s="1"/>
  <c r="G10" i="2" s="1"/>
  <c r="I43" i="2"/>
  <c r="I32" i="34"/>
  <c r="I33" i="34" s="1"/>
  <c r="C44" i="34"/>
  <c r="D247" i="20"/>
  <c r="J137" i="20"/>
  <c r="J138" i="20"/>
  <c r="J139" i="20"/>
  <c r="J140" i="20"/>
  <c r="J141" i="20"/>
  <c r="J142" i="20"/>
  <c r="J143" i="20"/>
  <c r="J144" i="20"/>
  <c r="J145" i="20"/>
  <c r="J148" i="20"/>
  <c r="D8" i="38"/>
  <c r="D88" i="38" s="1"/>
  <c r="C8" i="38"/>
  <c r="C88" i="38" s="1"/>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C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5" i="20"/>
  <c r="H163" i="3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H134" i="2"/>
  <c r="H136" i="2" s="1"/>
  <c r="H138" i="2" s="1"/>
  <c r="G40" i="22"/>
  <c r="D134" i="2"/>
  <c r="D136" i="2" s="1"/>
  <c r="E64" i="2"/>
  <c r="F68" i="2" s="1"/>
  <c r="F71" i="2" s="1"/>
  <c r="E210" i="31"/>
  <c r="I228"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4" i="41"/>
  <c r="I20" i="41"/>
  <c r="I16" i="41"/>
  <c r="I12" i="41"/>
  <c r="J24" i="41"/>
  <c r="J12" i="41"/>
  <c r="G24" i="41"/>
  <c r="G20" i="41"/>
  <c r="G12" i="41"/>
  <c r="G16" i="41"/>
  <c r="H24" i="41"/>
  <c r="H20" i="41"/>
  <c r="H16" i="41"/>
  <c r="H12" i="41"/>
  <c r="H247" i="20"/>
  <c r="F247" i="20"/>
  <c r="G247" i="20"/>
  <c r="A1" i="22"/>
  <c r="A1" i="5"/>
  <c r="A1" i="3"/>
  <c r="A1" i="2"/>
  <c r="C272" i="31"/>
  <c r="E129" i="31"/>
  <c r="A2" i="40"/>
  <c r="C221" i="20"/>
  <c r="A1" i="20"/>
  <c r="C235" i="20"/>
  <c r="H233" i="20" s="1"/>
  <c r="G35" i="22"/>
  <c r="G34" i="22"/>
  <c r="G33" i="22"/>
  <c r="F78" i="31"/>
  <c r="J149" i="20"/>
  <c r="J136" i="20"/>
  <c r="E13" i="33"/>
  <c r="E16" i="33"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3" i="20"/>
  <c r="B16" i="19"/>
  <c r="J76" i="20"/>
  <c r="H222" i="20"/>
  <c r="H227" i="20"/>
  <c r="J84" i="20"/>
  <c r="J70" i="20"/>
  <c r="C229"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c r="L10" i="19" l="1"/>
  <c r="D6" i="19" s="1"/>
  <c r="F7" i="5" s="1"/>
  <c r="D7" i="5" s="1"/>
  <c r="I134" i="2"/>
  <c r="F106" i="2"/>
  <c r="E70" i="3"/>
  <c r="G71" i="3" s="1"/>
  <c r="H50" i="31"/>
  <c r="H52" i="31" s="1"/>
  <c r="H179" i="31"/>
  <c r="P29" i="44"/>
  <c r="H180" i="31"/>
  <c r="I106" i="2"/>
  <c r="I109" i="2" s="1"/>
  <c r="H11" i="2" s="1"/>
  <c r="A29" i="22"/>
  <c r="A33" i="22" s="1"/>
  <c r="A34" i="22" s="1"/>
  <c r="A35" i="22" s="1"/>
  <c r="A36" i="22" s="1"/>
  <c r="A37" i="22" s="1"/>
  <c r="E29" i="22"/>
  <c r="A19" i="31"/>
  <c r="A20" i="31" s="1"/>
  <c r="A22" i="31" s="1"/>
  <c r="G50" i="41"/>
  <c r="A5" i="38"/>
  <c r="A6" i="38" s="1"/>
  <c r="J197" i="20"/>
  <c r="L197"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C49" i="41"/>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C45" i="41"/>
  <c r="G85" i="46"/>
  <c r="H85" i="46" s="1"/>
  <c r="J85" i="46" s="1"/>
  <c r="E27" i="22"/>
  <c r="E43" i="2"/>
  <c r="E46" i="2" s="1"/>
  <c r="A12" i="31"/>
  <c r="F13" i="31" s="1"/>
  <c r="C37" i="41"/>
  <c r="G79" i="46"/>
  <c r="H79" i="46" s="1"/>
  <c r="J79" i="46" s="1"/>
  <c r="K158" i="31"/>
  <c r="C41" i="41"/>
  <c r="E68" i="2"/>
  <c r="E71" i="2" s="1"/>
  <c r="K111" i="31"/>
  <c r="J54" i="31"/>
  <c r="J38" i="31"/>
  <c r="J39" i="31" s="1"/>
  <c r="H120" i="20"/>
  <c r="K259" i="31" s="1"/>
  <c r="H259" i="31" s="1"/>
  <c r="L13" i="19"/>
  <c r="K54" i="31"/>
  <c r="K38" i="31"/>
  <c r="K50" i="41"/>
  <c r="E8" i="38"/>
  <c r="H50" i="41"/>
  <c r="G25" i="41"/>
  <c r="J133" i="20"/>
  <c r="L133" i="20" s="1"/>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6"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F26" i="3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H59" i="31" s="1"/>
  <c r="J47" i="31"/>
  <c r="J37" i="31"/>
  <c r="J31" i="31"/>
  <c r="G82" i="34"/>
  <c r="H80" i="34"/>
  <c r="J80" i="34" s="1"/>
  <c r="G97" i="34"/>
  <c r="H97" i="34" s="1"/>
  <c r="J97" i="34" s="1"/>
  <c r="G83" i="34"/>
  <c r="G86" i="34"/>
  <c r="H84" i="46"/>
  <c r="J84" i="46" s="1"/>
  <c r="H91" i="34"/>
  <c r="J91" i="34" s="1"/>
  <c r="C12" i="41"/>
  <c r="G81" i="34"/>
  <c r="C16" i="41"/>
  <c r="G84" i="34"/>
  <c r="C20" i="41"/>
  <c r="G87" i="34"/>
  <c r="C24" i="41"/>
  <c r="E74" i="3" l="1"/>
  <c r="J273" i="3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J204"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3" i="20"/>
  <c r="K149" i="20"/>
  <c r="K99" i="20"/>
  <c r="C29" i="41"/>
  <c r="E88"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M46" i="45" s="1"/>
  <c r="O44" i="46"/>
  <c r="M159" i="45"/>
  <c r="A49" i="22"/>
  <c r="A51" i="22" s="1"/>
  <c r="E9" i="22" s="1"/>
  <c r="H32" i="31" l="1"/>
  <c r="H18" i="31"/>
  <c r="H19" i="31" s="1"/>
  <c r="L149" i="20"/>
  <c r="L198" i="20" s="1"/>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J72" i="31"/>
  <c r="H72" i="31"/>
  <c r="H215" i="31"/>
  <c r="L25" i="31"/>
  <c r="L102" i="31"/>
  <c r="L247" i="31" s="1"/>
  <c r="H33" i="3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K18" i="31" l="1"/>
  <c r="L18" i="31" s="1"/>
  <c r="L19" i="31" s="1"/>
  <c r="H16" i="31"/>
  <c r="H17" i="31" s="1"/>
  <c r="H20" i="31" s="1"/>
  <c r="H43" i="31"/>
  <c r="H258" i="31"/>
  <c r="H260" i="31" s="1"/>
  <c r="H261" i="31" s="1"/>
  <c r="J43" i="31"/>
  <c r="J22" i="31" s="1"/>
  <c r="E22" i="33"/>
  <c r="E26" i="33" s="1"/>
  <c r="I109" i="20"/>
  <c r="J125" i="31"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09" i="20"/>
  <c r="L125" i="31" s="1"/>
  <c r="L127" i="31" s="1"/>
  <c r="L135" i="31" s="1"/>
  <c r="L249" i="31" s="1"/>
  <c r="H86" i="45"/>
  <c r="J86" i="45" s="1"/>
  <c r="J16" i="31" l="1"/>
  <c r="K16" i="31" s="1"/>
  <c r="L16" i="31" s="1"/>
  <c r="L17" i="31" s="1"/>
  <c r="L23" i="31" s="1"/>
  <c r="K19" i="31"/>
  <c r="H61" i="31"/>
  <c r="H25" i="31" s="1"/>
  <c r="H22" i="31"/>
  <c r="H23" i="31" s="1"/>
  <c r="H109" i="20"/>
  <c r="E25" i="33"/>
  <c r="E27" i="33"/>
  <c r="F123" i="34"/>
  <c r="I122" i="34"/>
  <c r="J122" i="34" s="1"/>
  <c r="G24" i="22"/>
  <c r="K217" i="31"/>
  <c r="K246" i="31"/>
  <c r="K127" i="31"/>
  <c r="J61" i="31"/>
  <c r="J91" i="46"/>
  <c r="F95" i="46" s="1"/>
  <c r="G25" i="22"/>
  <c r="J127" i="31"/>
  <c r="C45" i="39"/>
  <c r="C46" i="39"/>
  <c r="H87" i="45"/>
  <c r="J87" i="45" s="1"/>
  <c r="A40" i="31"/>
  <c r="A41" i="31" s="1"/>
  <c r="K17" i="31" l="1"/>
  <c r="K23" i="31" s="1"/>
  <c r="J17" i="31"/>
  <c r="J20" i="31" s="1"/>
  <c r="L20" i="31"/>
  <c r="L26" i="31" s="1"/>
  <c r="F3" i="19" s="1"/>
  <c r="J25" i="31"/>
  <c r="J245" i="31"/>
  <c r="H125" i="31"/>
  <c r="H127" i="31" s="1"/>
  <c r="G27" i="22"/>
  <c r="F19" i="3"/>
  <c r="F40" i="3" s="1"/>
  <c r="G40" i="3" s="1"/>
  <c r="F252" i="20"/>
  <c r="F14" i="3"/>
  <c r="G15" i="2"/>
  <c r="G16" i="2" s="1"/>
  <c r="I16" i="2" s="1"/>
  <c r="H245" i="31"/>
  <c r="H26" i="31"/>
  <c r="K204" i="20" s="1"/>
  <c r="L204" i="20" s="1"/>
  <c r="K20" i="31"/>
  <c r="K26" i="31" s="1"/>
  <c r="E3" i="19" s="1"/>
  <c r="E8" i="19" s="1"/>
  <c r="G8" i="5" s="1"/>
  <c r="E30" i="33"/>
  <c r="E33" i="33" s="1"/>
  <c r="E32" i="33"/>
  <c r="F124" i="34"/>
  <c r="I123" i="34"/>
  <c r="J123" i="34" s="1"/>
  <c r="K135" i="31"/>
  <c r="J23" i="31"/>
  <c r="K252" i="31"/>
  <c r="C47" i="39"/>
  <c r="C48" i="39"/>
  <c r="A43" i="31"/>
  <c r="F43" i="31"/>
  <c r="H88" i="45"/>
  <c r="J88" i="45" s="1"/>
  <c r="F41" i="31"/>
  <c r="H66" i="31" l="1"/>
  <c r="H67" i="31" s="1"/>
  <c r="G19" i="3"/>
  <c r="F18" i="3"/>
  <c r="F17" i="3" s="1"/>
  <c r="F253" i="20"/>
  <c r="H253" i="20" s="1"/>
  <c r="H252" i="20"/>
  <c r="H132" i="31"/>
  <c r="H133" i="31" s="1"/>
  <c r="J133" i="31" s="1"/>
  <c r="H231" i="31"/>
  <c r="H232" i="31" s="1"/>
  <c r="G43" i="22" s="1"/>
  <c r="E9" i="19"/>
  <c r="G9" i="5" s="1"/>
  <c r="G10" i="5" s="1"/>
  <c r="G22" i="5" s="1"/>
  <c r="H8" i="5"/>
  <c r="F9" i="19"/>
  <c r="H9" i="5" s="1"/>
  <c r="F125" i="34"/>
  <c r="I124" i="34"/>
  <c r="J124" i="34" s="1"/>
  <c r="K249" i="31"/>
  <c r="J26" i="31"/>
  <c r="C49" i="39"/>
  <c r="C50" i="39"/>
  <c r="A47" i="31"/>
  <c r="F22" i="31"/>
  <c r="H89" i="45"/>
  <c r="J89" i="45" s="1"/>
  <c r="H90" i="45"/>
  <c r="J90" i="45" s="1"/>
  <c r="K266" i="31" l="1"/>
  <c r="H255" i="20"/>
  <c r="J66" i="31"/>
  <c r="J67" i="31" s="1"/>
  <c r="G18" i="3"/>
  <c r="G42" i="22"/>
  <c r="J132" i="31"/>
  <c r="H10" i="5"/>
  <c r="H22" i="5" s="1"/>
  <c r="F126" i="34"/>
  <c r="I125" i="34"/>
  <c r="J125" i="34" s="1"/>
  <c r="D3" i="19"/>
  <c r="C52" i="39"/>
  <c r="C51" i="39"/>
  <c r="F16" i="3"/>
  <c r="F15" i="3" s="1"/>
  <c r="G17" i="3"/>
  <c r="J91" i="45"/>
  <c r="F96" i="45" s="1"/>
  <c r="A48" i="31"/>
  <c r="F48" i="31"/>
  <c r="F273" i="31"/>
  <c r="F282" i="31"/>
  <c r="L266" i="31" l="1"/>
  <c r="H235" i="3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2"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155" i="34"/>
  <c r="F142" i="34"/>
  <c r="A92" i="31"/>
  <c r="A93" i="31" s="1"/>
  <c r="E18" i="33" l="1"/>
  <c r="J157" i="34"/>
  <c r="I142" i="34"/>
  <c r="J142" i="34" s="1"/>
  <c r="F143" i="34" s="1"/>
  <c r="A96" i="31"/>
  <c r="F93" i="31"/>
  <c r="J109" i="31" l="1"/>
  <c r="H109" i="31" s="1"/>
  <c r="H111" i="31" s="1"/>
  <c r="H135" i="31" s="1"/>
  <c r="H91" i="31" s="1"/>
  <c r="H93" i="31" s="1"/>
  <c r="I143" i="34"/>
  <c r="J143" i="34" s="1"/>
  <c r="F144" i="34" s="1"/>
  <c r="A97" i="31"/>
  <c r="A221" i="20"/>
  <c r="F98" i="31"/>
  <c r="J111" i="31" l="1"/>
  <c r="J135" i="31" s="1"/>
  <c r="J249" i="31" s="1"/>
  <c r="H249" i="31"/>
  <c r="I144" i="34"/>
  <c r="J144" i="34" s="1"/>
  <c r="F145" i="34" s="1"/>
  <c r="A98" i="31"/>
  <c r="A226"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2"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E43" i="22" s="1"/>
  <c r="F232" i="31"/>
  <c r="A238" i="31" l="1"/>
  <c r="A240" i="31" s="1"/>
  <c r="A245" i="31" l="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5"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3" i="20" l="1"/>
  <c r="L203" i="20" s="1"/>
  <c r="L206" i="20"/>
  <c r="L208" i="20" l="1"/>
  <c r="H75" i="31" l="1"/>
  <c r="H76" i="31" s="1"/>
  <c r="J75" i="31"/>
  <c r="J76" i="31" s="1"/>
  <c r="J100" i="31" s="1"/>
  <c r="J102" i="31" l="1"/>
  <c r="J247" i="31" s="1"/>
  <c r="J246" i="31"/>
  <c r="H100" i="31"/>
  <c r="H246" i="31" s="1"/>
  <c r="H102" i="31" l="1"/>
  <c r="H247" i="31" s="1"/>
  <c r="H217" i="31" l="1"/>
  <c r="H238" i="31" s="1"/>
  <c r="H240" i="31" s="1"/>
  <c r="H253" i="31" s="1"/>
  <c r="G14" i="22"/>
  <c r="G29" i="22" s="1"/>
  <c r="G49" i="22" s="1"/>
  <c r="G51" i="22" s="1"/>
  <c r="K103" i="31"/>
  <c r="L103" i="31"/>
  <c r="J103" i="31"/>
  <c r="J240" i="31" l="1"/>
  <c r="J253" i="31" s="1"/>
  <c r="H252" i="31"/>
  <c r="H255" i="31" s="1"/>
  <c r="H262" i="31" s="1"/>
  <c r="H263" i="31" s="1"/>
  <c r="L240" i="31"/>
  <c r="L253" i="31" s="1"/>
  <c r="K240" i="31"/>
  <c r="K253" i="31" s="1"/>
  <c r="K255" i="31" s="1"/>
  <c r="K262" i="31" s="1"/>
  <c r="K263" i="31" s="1"/>
  <c r="K269" i="31" s="1"/>
  <c r="K286" i="31" s="1"/>
  <c r="G9" i="22"/>
  <c r="J217" i="31"/>
  <c r="J252" i="31" s="1"/>
  <c r="L217" i="31"/>
  <c r="L252" i="31" s="1"/>
  <c r="H280" i="31" l="1"/>
  <c r="J280" i="31" s="1"/>
  <c r="J255" i="31"/>
  <c r="J262" i="31" s="1"/>
  <c r="J263" i="31" s="1"/>
  <c r="J272" i="31" s="1"/>
  <c r="L255" i="31"/>
  <c r="L262" i="31" s="1"/>
  <c r="L263" i="31" s="1"/>
  <c r="L269" i="31" s="1"/>
  <c r="L286" i="31" s="1"/>
  <c r="L290" i="31" s="1"/>
  <c r="L294" i="31" s="1"/>
  <c r="L295" i="31" s="1"/>
  <c r="K272" i="31"/>
  <c r="K274" i="31" s="1"/>
  <c r="K279" i="31"/>
  <c r="H276" i="31"/>
  <c r="I12" i="39" s="1"/>
  <c r="H275" i="31"/>
  <c r="I8" i="39" s="1"/>
  <c r="H279" i="31"/>
  <c r="H274" i="31"/>
  <c r="H269" i="31"/>
  <c r="H286" i="31" s="1"/>
  <c r="H272" i="31"/>
  <c r="H137" i="45"/>
  <c r="D96" i="45"/>
  <c r="H96" i="45" s="1"/>
  <c r="L96" i="45" s="1"/>
  <c r="F103" i="45" s="1"/>
  <c r="L280" i="31" l="1"/>
  <c r="H281" i="31"/>
  <c r="H283" i="31" s="1"/>
  <c r="K280" i="31"/>
  <c r="J269" i="31"/>
  <c r="J286" i="31" s="1"/>
  <c r="I156" i="34" s="1"/>
  <c r="I157" i="34" s="1"/>
  <c r="C185" i="34" s="1"/>
  <c r="D189" i="34" s="1"/>
  <c r="J279" i="31"/>
  <c r="J281" i="31" s="1"/>
  <c r="J284" i="31" s="1"/>
  <c r="J9" i="39" s="1"/>
  <c r="H136" i="46"/>
  <c r="H137" i="46" s="1"/>
  <c r="L279" i="31"/>
  <c r="L272" i="31"/>
  <c r="L276" i="31" s="1"/>
  <c r="L12" i="39" s="1"/>
  <c r="K275" i="31"/>
  <c r="K8" i="39" s="1"/>
  <c r="K276" i="31"/>
  <c r="K12" i="39" s="1"/>
  <c r="K281" i="31"/>
  <c r="K284" i="31" s="1"/>
  <c r="K9" i="39" s="1"/>
  <c r="J275" i="31"/>
  <c r="J8" i="39" s="1"/>
  <c r="G26" i="39" s="1"/>
  <c r="J276" i="31"/>
  <c r="J12" i="39" s="1"/>
  <c r="J274" i="31"/>
  <c r="F104" i="45"/>
  <c r="I103" i="45"/>
  <c r="J103" i="45" s="1"/>
  <c r="L281" i="31" l="1"/>
  <c r="L283" i="31" s="1"/>
  <c r="H284" i="31"/>
  <c r="I9" i="39" s="1"/>
  <c r="I10" i="39" s="1"/>
  <c r="J283" i="31"/>
  <c r="L275" i="31"/>
  <c r="L8" i="39" s="1"/>
  <c r="L274" i="31"/>
  <c r="K10" i="39"/>
  <c r="K283" i="31"/>
  <c r="J10" i="39"/>
  <c r="G27" i="39" s="1"/>
  <c r="L284" i="31"/>
  <c r="L9"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10" i="39" l="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87" i="31" l="1"/>
  <c r="H290" i="31" s="1"/>
  <c r="H138" i="45"/>
  <c r="K290" i="31" l="1"/>
  <c r="K294" i="31" s="1"/>
  <c r="K295" i="31" s="1"/>
</calcChain>
</file>

<file path=xl/sharedStrings.xml><?xml version="1.0" encoding="utf-8"?>
<sst xmlns="http://schemas.openxmlformats.org/spreadsheetml/2006/main" count="3153" uniqueCount="1375">
  <si>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</si>
  <si>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</si>
  <si>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</si>
  <si>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</si>
  <si>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</si>
  <si>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</si>
  <si>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</si>
  <si>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</si>
  <si>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</si>
  <si>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</si>
  <si>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</si>
  <si>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</si>
  <si>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</si>
  <si>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</si>
  <si>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</si>
  <si>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</si>
  <si>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</si>
  <si>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</si>
  <si>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</si>
  <si>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</si>
  <si>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</si>
  <si>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</si>
  <si>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</si>
  <si>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</si>
  <si>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</si>
  <si>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</si>
  <si>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</si>
  <si>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</si>
  <si>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</si>
  <si>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</si>
  <si>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</si>
  <si>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</si>
  <si>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</si>
  <si>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</si>
  <si>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</si>
  <si>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</si>
  <si>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</si>
  <si>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</si>
  <si>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</si>
  <si>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</si>
  <si>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</si>
  <si>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</si>
  <si>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</si>
  <si>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</si>
  <si>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</si>
  <si>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</si>
  <si>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</si>
  <si>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</si>
  <si>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</si>
  <si>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</si>
  <si>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</si>
  <si>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</si>
  <si>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</si>
  <si>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</si>
  <si>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</si>
  <si>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</si>
  <si>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</si>
  <si>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</si>
  <si>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</si>
  <si>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</si>
  <si>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</si>
  <si>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</si>
  <si>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</si>
  <si>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</si>
  <si>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</si>
  <si>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</si>
  <si>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</si>
  <si>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</si>
  <si>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</si>
  <si>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</si>
  <si>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</si>
  <si>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</si>
  <si>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</si>
  <si>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</si>
  <si>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</si>
  <si>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</si>
  <si>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</si>
  <si>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</si>
  <si>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</si>
  <si>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</si>
  <si>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</si>
  <si>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</si>
  <si>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</si>
  <si>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</si>
  <si>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</si>
  <si>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</si>
  <si>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</si>
  <si>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</si>
  <si>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</si>
  <si>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</si>
  <si>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</si>
  <si>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</si>
  <si>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</si>
  <si>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</si>
  <si>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</si>
  <si>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</si>
  <si>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</si>
  <si>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</si>
  <si>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</si>
  <si>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</si>
  <si>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</si>
  <si>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</si>
  <si>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</si>
  <si>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</si>
  <si>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</si>
  <si>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</si>
  <si>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</si>
  <si>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</si>
  <si>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</si>
  <si>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</si>
  <si>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</si>
  <si>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</si>
  <si>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</si>
  <si>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</si>
  <si>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</si>
  <si>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</si>
  <si>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</si>
  <si>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</si>
  <si>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</si>
  <si>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</si>
  <si>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</si>
  <si>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</si>
  <si>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</si>
  <si>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</si>
  <si>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</si>
  <si>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</si>
  <si>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</si>
  <si>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</si>
  <si>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</si>
  <si>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</si>
  <si>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</si>
  <si>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</si>
  <si>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</si>
  <si>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</si>
  <si>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</si>
  <si>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</si>
  <si>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</si>
  <si>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</si>
  <si>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</si>
  <si>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</si>
  <si>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</si>
  <si>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</si>
  <si>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</si>
  <si>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</si>
  <si>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</si>
  <si>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</si>
  <si>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</si>
  <si>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</si>
  <si>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</si>
  <si>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</si>
  <si>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</si>
  <si>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</si>
  <si>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Tesoro</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</si>
  <si>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</si>
  <si>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</si>
  <si>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</si>
  <si>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</si>
  <si>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</si>
  <si>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</si>
  <si>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</si>
  <si>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</si>
  <si>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</si>
  <si>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</si>
  <si>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</si>
  <si>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</si>
  <si>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</si>
  <si>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</si>
  <si>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</si>
  <si>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</si>
  <si>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</si>
  <si>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</si>
  <si>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</si>
  <si>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</si>
  <si>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</si>
  <si>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</si>
  <si>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</si>
  <si>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</si>
  <si>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</si>
  <si>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</si>
  <si>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</si>
  <si>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</si>
  <si>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</si>
  <si>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</si>
  <si>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</si>
  <si>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</si>
  <si>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</si>
  <si>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</si>
  <si>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</si>
  <si>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</si>
  <si>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</si>
  <si>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</si>
  <si>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</si>
  <si>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</si>
  <si>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</si>
  <si>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</si>
  <si>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</si>
  <si>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</si>
  <si>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</si>
  <si>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</si>
  <si>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</si>
  <si>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</si>
  <si>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</si>
  <si>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</si>
  <si>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</si>
  <si>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</si>
  <si>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</si>
  <si>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</si>
  <si>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</si>
  <si>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</si>
  <si>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</si>
  <si>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</si>
  <si>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</si>
  <si>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</si>
  <si>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</si>
  <si>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</si>
  <si>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</si>
  <si>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</si>
  <si>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</si>
  <si>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</si>
  <si>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</si>
  <si>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</si>
  <si>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</si>
  <si>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</si>
  <si>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</si>
  <si>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</si>
  <si>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</si>
  <si>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</si>
  <si>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</si>
  <si>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</si>
  <si>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</si>
  <si>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</si>
  <si>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</si>
  <si>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</si>
  <si>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</si>
  <si>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</si>
  <si>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</si>
  <si>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</si>
  <si>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</si>
  <si>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</si>
  <si>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</si>
  <si>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</si>
  <si>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</si>
  <si>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</si>
  <si>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</si>
  <si>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</si>
  <si>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</si>
  <si>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</si>
  <si>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</si>
  <si>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</si>
  <si>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</si>
  <si>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</si>
  <si>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</si>
  <si>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</si>
  <si>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</si>
  <si>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</si>
  <si>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</si>
  <si>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</si>
  <si>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</si>
  <si>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</si>
  <si>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</si>
  <si>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</si>
  <si>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</si>
  <si>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</si>
  <si>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</si>
  <si>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</si>
  <si>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</si>
  <si>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</si>
  <si>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</si>
  <si>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</si>
  <si>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</si>
  <si>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</si>
  <si>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</si>
  <si>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</si>
  <si>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</si>
  <si>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</si>
  <si>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</si>
  <si>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</si>
  <si>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</si>
  <si>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</si>
  <si>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</si>
  <si>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</si>
  <si>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</si>
  <si>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</si>
  <si>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</si>
  <si>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</si>
  <si>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</si>
  <si>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</si>
  <si>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</si>
  <si>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</si>
  <si>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</si>
  <si>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</si>
  <si>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</si>
  <si>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</si>
  <si>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</si>
  <si>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</si>
  <si>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</si>
  <si>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</si>
  <si>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</si>
  <si>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</si>
  <si>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</si>
  <si>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</si>
  <si>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</si>
  <si>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</si>
  <si>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</si>
  <si>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</si>
  <si>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</si>
  <si>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</si>
  <si>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</si>
  <si>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</si>
  <si>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</si>
  <si>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</si>
  <si>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</si>
  <si>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</si>
  <si>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</si>
  <si>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</si>
  <si>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</si>
  <si>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</si>
  <si>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</si>
  <si>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</si>
  <si>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</si>
  <si>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</si>
  <si>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</si>
  <si>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</si>
  <si>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</si>
  <si>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</si>
  <si>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</si>
  <si>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</si>
  <si>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</si>
  <si>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</si>
  <si>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</si>
  <si>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</si>
  <si>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</si>
  <si>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</si>
  <si>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</si>
  <si>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</si>
  <si>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</si>
  <si>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</si>
  <si>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</si>
  <si>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</si>
  <si>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</si>
  <si>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</si>
  <si>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</si>
  <si>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</si>
  <si>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</si>
  <si>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</si>
  <si>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</si>
  <si>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</si>
  <si>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</si>
  <si>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</si>
  <si>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</si>
  <si>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</si>
  <si>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</si>
  <si>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</si>
  <si>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</si>
  <si>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</si>
  <si>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</si>
  <si>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</si>
  <si>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</si>
  <si>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</si>
  <si>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</si>
  <si>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</si>
  <si>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</si>
  <si>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</si>
  <si>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</si>
  <si>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</si>
  <si>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</si>
  <si>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</si>
  <si>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</si>
  <si>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</si>
  <si>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</si>
  <si>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</si>
  <si>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</si>
  <si>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</si>
  <si>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</si>
  <si>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</si>
  <si>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</si>
  <si>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</si>
  <si>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</si>
  <si>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</si>
  <si>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</si>
  <si>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</si>
  <si>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</si>
  <si>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</si>
  <si>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</si>
  <si>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</si>
  <si>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</si>
  <si>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</si>
  <si>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</si>
  <si>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</si>
  <si>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</si>
  <si>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</si>
  <si>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</si>
  <si>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</si>
  <si>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</si>
  <si>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</si>
  <si>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</si>
  <si>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</si>
  <si>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</si>
  <si>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</si>
  <si>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</si>
  <si>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</si>
  <si>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</si>
  <si>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</si>
  <si>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</si>
  <si>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</si>
  <si>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</si>
  <si>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</si>
  <si>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</si>
  <si>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</si>
  <si>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</si>
  <si>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</si>
  <si>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</si>
  <si>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</si>
  <si>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</si>
  <si>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</si>
  <si>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</si>
  <si>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</si>
  <si>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</si>
  <si>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</si>
  <si>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</si>
  <si>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</si>
  <si>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</si>
  <si>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</si>
  <si>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</si>
  <si>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</si>
  <si>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</si>
  <si>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</si>
  <si>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</si>
  <si>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</si>
  <si>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</si>
  <si>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</si>
  <si>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</si>
  <si>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</si>
  <si>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</si>
  <si>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</si>
  <si>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</si>
  <si>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</si>
  <si>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</si>
  <si>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</si>
  <si>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</si>
  <si>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</si>
  <si>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</si>
  <si>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</si>
  <si>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</si>
  <si>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</si>
  <si>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</si>
  <si>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</si>
  <si>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</si>
  <si>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</si>
  <si>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</si>
  <si>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</si>
  <si>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</si>
  <si>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</si>
  <si>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</si>
  <si>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</si>
  <si>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</si>
  <si>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</si>
  <si>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</si>
  <si>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</si>
  <si>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</si>
  <si>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</si>
  <si>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</si>
  <si>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</si>
  <si>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</si>
  <si>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</si>
  <si>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</si>
  <si>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</si>
  <si>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</si>
  <si>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</si>
  <si>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</si>
  <si>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</si>
  <si>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</si>
  <si>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</si>
  <si>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</si>
  <si>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</si>
  <si>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</si>
  <si>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</si>
  <si>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</si>
  <si>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</si>
  <si>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</si>
  <si>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</si>
  <si>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</si>
  <si>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</si>
  <si>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</si>
  <si>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</si>
  <si>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</si>
  <si>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</si>
  <si>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</si>
  <si>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</si>
  <si>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</si>
  <si>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</si>
  <si>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</si>
  <si>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</si>
  <si>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</si>
  <si>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</si>
  <si>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</si>
  <si>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</si>
  <si>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</si>
  <si>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</si>
  <si>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</si>
  <si>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</si>
  <si>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</si>
  <si>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</si>
  <si>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</si>
  <si>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</si>
  <si>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</si>
  <si>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</si>
  <si>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</si>
  <si>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</si>
  <si>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</si>
  <si>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</si>
  <si>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</si>
  <si>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</si>
  <si>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</si>
  <si>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</si>
  <si>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</si>
  <si>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</si>
  <si>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</si>
  <si>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</si>
  <si>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</si>
  <si>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</si>
  <si>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</si>
  <si>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</si>
  <si>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Bonneville Power Admin</t>
  </si>
  <si>
    <t>Macquarie Energy, LLC</t>
  </si>
  <si>
    <t>Morgan Stanley Capital</t>
  </si>
  <si>
    <t>Shell Energy North America</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</si>
  <si>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</si>
  <si>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</si>
  <si>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</si>
  <si>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</si>
  <si>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</si>
  <si>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</si>
  <si>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</si>
  <si>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</si>
  <si>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</si>
  <si>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</si>
  <si>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</si>
  <si>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</si>
  <si>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</si>
  <si>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</si>
  <si>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</si>
  <si>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</si>
  <si>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</si>
  <si>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</si>
  <si>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</si>
  <si>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</si>
  <si>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</si>
  <si>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</si>
  <si>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</si>
  <si>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</si>
  <si>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</si>
  <si>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</si>
  <si>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</si>
  <si>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</si>
  <si>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</si>
  <si>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</si>
  <si>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</si>
  <si>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</si>
  <si>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</si>
  <si>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</si>
  <si>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</si>
  <si>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</si>
  <si>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</si>
  <si>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</si>
  <si>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</si>
  <si>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</si>
  <si>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</si>
  <si>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</si>
  <si>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</si>
  <si>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</si>
  <si>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</si>
  <si>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</si>
  <si>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</si>
  <si>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</si>
  <si>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</si>
  <si>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</si>
  <si>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</si>
  <si>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</si>
  <si>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</si>
  <si>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</si>
  <si>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</si>
  <si>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</si>
  <si>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</si>
  <si>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</si>
  <si>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</si>
  <si>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</si>
  <si>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</si>
  <si>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</si>
  <si>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</si>
  <si>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</si>
  <si>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</si>
  <si>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</si>
  <si>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</si>
  <si>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</si>
  <si>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</si>
  <si>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</si>
  <si>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</si>
  <si>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</si>
  <si>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</si>
  <si>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</si>
  <si>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</si>
  <si>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</si>
  <si>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</si>
  <si>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</si>
  <si>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</si>
  <si>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</si>
  <si>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</si>
  <si>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</si>
  <si>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</si>
  <si>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</si>
  <si>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</si>
  <si>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</si>
  <si>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</si>
  <si>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</si>
  <si>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</si>
  <si>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</si>
  <si>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</si>
  <si>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</si>
  <si>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</si>
  <si>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</si>
  <si>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</si>
  <si>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</si>
  <si>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</si>
  <si>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</si>
  <si>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</si>
  <si>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</si>
  <si>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</si>
  <si>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</si>
  <si>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</si>
  <si>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</si>
  <si>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</si>
  <si>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</si>
  <si>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</si>
  <si>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</si>
  <si>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</si>
  <si>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</si>
  <si>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</si>
  <si>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</si>
  <si>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</si>
  <si>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</si>
  <si>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</si>
  <si>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</si>
  <si>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</si>
  <si>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</si>
  <si>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</si>
  <si>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</si>
  <si>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</si>
  <si>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</si>
  <si>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</si>
  <si>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</si>
  <si>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</si>
  <si>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</si>
  <si>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</si>
  <si>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</si>
  <si>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</si>
  <si>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</si>
  <si>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</si>
  <si>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</si>
  <si>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</si>
  <si>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</si>
  <si>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</si>
  <si>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</si>
  <si>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</si>
  <si>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</si>
  <si>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</si>
  <si>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</si>
  <si>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</si>
  <si>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</si>
  <si>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</si>
  <si>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</si>
  <si>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</si>
  <si>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</si>
  <si>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</si>
  <si>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</si>
  <si>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</si>
  <si>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</si>
  <si>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</si>
  <si>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</si>
  <si>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</si>
  <si>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</si>
  <si>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</si>
  <si>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</si>
  <si>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</si>
  <si>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</si>
  <si>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</si>
  <si>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</si>
  <si>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</si>
  <si>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</si>
  <si>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</si>
  <si>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</si>
  <si>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</si>
  <si>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</si>
  <si>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</si>
  <si>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</si>
  <si>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</si>
  <si>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</si>
  <si>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</si>
  <si>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</si>
  <si>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</si>
  <si>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</si>
  <si>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</si>
  <si>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</si>
  <si>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</si>
  <si>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</si>
  <si>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</si>
  <si>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</si>
  <si>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</si>
  <si>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</si>
  <si>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</si>
  <si>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</si>
  <si>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</si>
  <si>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</si>
  <si>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</si>
  <si>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</si>
  <si>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</si>
  <si>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</si>
  <si>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</si>
  <si>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</si>
  <si>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</si>
  <si>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</si>
  <si>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</si>
  <si>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</si>
  <si>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</si>
  <si>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</si>
  <si>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</si>
  <si>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</si>
  <si>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</si>
  <si>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</si>
  <si>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</si>
  <si>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</si>
  <si>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</si>
  <si>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</si>
  <si>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</si>
  <si>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</si>
  <si>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</si>
  <si>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</si>
  <si>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</si>
  <si>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</si>
  <si>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</si>
  <si>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</si>
  <si>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</si>
  <si>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</si>
  <si>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</si>
  <si>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</si>
  <si>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</si>
  <si>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</si>
  <si>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</si>
  <si>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</si>
  <si>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</si>
  <si>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</si>
  <si>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</si>
  <si>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</si>
  <si>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</si>
  <si>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</si>
  <si>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</si>
  <si>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</si>
  <si>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</si>
  <si>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</si>
  <si>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</si>
  <si>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</si>
  <si>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</si>
  <si>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</si>
  <si>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</si>
  <si>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</si>
  <si>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</si>
  <si>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</si>
  <si>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</si>
  <si>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</si>
  <si>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</si>
  <si>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</si>
  <si>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</si>
  <si>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</si>
  <si>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</si>
  <si>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</si>
  <si>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</si>
  <si>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</si>
  <si>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</si>
  <si>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</si>
  <si>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</si>
  <si>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</si>
  <si>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</si>
  <si>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</si>
  <si>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</si>
  <si>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</si>
  <si>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</si>
  <si>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</si>
  <si>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</si>
  <si>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</si>
  <si>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</si>
  <si>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</si>
  <si>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</si>
  <si>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</si>
  <si>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</si>
  <si>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</si>
  <si>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</si>
  <si>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</si>
  <si>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</si>
  <si>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</si>
  <si>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</si>
  <si>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</si>
  <si>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</si>
  <si>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</si>
  <si>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</si>
  <si>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</si>
  <si>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</si>
  <si>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</si>
  <si>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</si>
  <si>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</si>
  <si>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</si>
  <si>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</si>
  <si>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</si>
  <si>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</si>
  <si>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</si>
  <si>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</si>
  <si>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</si>
  <si>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</si>
  <si>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</si>
  <si>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</si>
  <si>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</si>
  <si>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</si>
  <si>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</si>
  <si>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</si>
  <si>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</si>
  <si>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</si>
  <si>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</si>
  <si>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</si>
  <si>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</si>
  <si>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</si>
  <si>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</si>
  <si>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</si>
  <si>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</si>
  <si>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</si>
  <si>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</si>
  <si>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</si>
  <si>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</si>
  <si>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</si>
  <si>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</si>
  <si>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</si>
  <si>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</si>
  <si>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</si>
  <si>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</si>
  <si>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</si>
  <si>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</si>
  <si>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</si>
  <si>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</si>
  <si>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</si>
  <si>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</si>
  <si>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</si>
  <si>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</si>
  <si>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</si>
  <si>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</si>
  <si>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</si>
  <si>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</si>
  <si>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</si>
  <si>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</si>
  <si>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</si>
  <si>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</si>
  <si>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</si>
  <si>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</si>
  <si>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</si>
  <si>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</si>
  <si>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</si>
  <si>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</si>
  <si>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</si>
  <si>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</si>
  <si>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</si>
  <si>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</si>
  <si>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</si>
  <si>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</si>
  <si>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</si>
  <si>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</si>
  <si>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</si>
  <si>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</si>
  <si>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</si>
  <si>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</si>
  <si>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</si>
  <si>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</si>
  <si>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</si>
  <si>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</si>
  <si>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</si>
  <si>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</si>
  <si>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</si>
  <si>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</si>
  <si>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</si>
  <si>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</si>
  <si>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</si>
  <si>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</si>
  <si>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</si>
  <si>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</si>
  <si>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</si>
  <si>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</si>
  <si>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</si>
  <si>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</si>
  <si>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</si>
  <si>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</si>
  <si>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</si>
  <si>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</si>
  <si>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</si>
  <si>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</si>
  <si>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</si>
  <si>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</si>
  <si>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</si>
  <si>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</si>
  <si>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</si>
  <si>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</si>
  <si>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</si>
  <si>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</si>
  <si>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</si>
  <si>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</si>
  <si>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</si>
  <si>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</si>
  <si>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</si>
  <si>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</si>
  <si>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</si>
  <si>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</si>
  <si>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</si>
  <si>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</si>
  <si>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</si>
  <si>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</si>
  <si>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</si>
  <si>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</si>
  <si>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</si>
  <si>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</si>
  <si>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</si>
  <si>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</si>
  <si>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</si>
  <si>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</si>
  <si>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</si>
  <si>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</si>
  <si>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</si>
  <si>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</si>
  <si>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</si>
  <si>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</si>
  <si>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</si>
  <si>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</si>
  <si>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</si>
  <si>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</si>
  <si>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</si>
  <si>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</si>
  <si>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</si>
  <si>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</si>
  <si>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</si>
  <si>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</si>
  <si>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</si>
  <si>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</si>
  <si>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</si>
  <si>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</si>
  <si>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</si>
  <si>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</si>
  <si>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</si>
  <si>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</si>
  <si>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</si>
  <si>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</si>
  <si>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</si>
  <si>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</si>
  <si>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</si>
  <si>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</si>
  <si>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</si>
  <si>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</si>
  <si>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</si>
  <si>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</si>
  <si>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</si>
  <si>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</si>
  <si>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</si>
  <si>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</si>
  <si>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</si>
  <si>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</si>
  <si>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</si>
  <si>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</si>
  <si>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</si>
  <si>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</si>
  <si>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</si>
  <si>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</si>
  <si>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</si>
  <si>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</si>
  <si>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</si>
  <si>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</si>
  <si>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</si>
  <si>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</si>
  <si>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</si>
  <si>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</si>
  <si>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</si>
  <si>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</si>
  <si>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</si>
  <si>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</si>
  <si>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</si>
  <si>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</si>
  <si>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</si>
  <si>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</si>
  <si>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</si>
  <si>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</si>
  <si>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</si>
  <si>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</si>
  <si>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</si>
  <si>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</si>
  <si>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</si>
  <si>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</si>
  <si>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</si>
  <si>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</si>
  <si>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</si>
  <si>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</si>
  <si>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</si>
  <si>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</si>
  <si>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</si>
  <si>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</si>
  <si>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</si>
  <si>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</si>
  <si>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</si>
  <si>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</si>
  <si>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</si>
  <si>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</si>
  <si>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</si>
  <si>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</si>
  <si>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</si>
  <si>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</si>
  <si>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</si>
  <si>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</si>
  <si>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</si>
  <si>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</si>
  <si>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</si>
  <si>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</si>
  <si>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</si>
  <si>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</si>
  <si>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</si>
  <si>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</si>
  <si>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</si>
  <si>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</si>
  <si>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</si>
  <si>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</si>
  <si>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</si>
  <si>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</si>
  <si>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</si>
  <si>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</si>
  <si>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</si>
  <si>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</si>
  <si>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</si>
  <si>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</si>
  <si>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</si>
  <si>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</si>
  <si>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</si>
  <si>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</si>
  <si>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</si>
  <si>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</si>
  <si>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</si>
  <si>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</si>
  <si>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</si>
  <si>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</si>
  <si>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</si>
  <si>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</si>
  <si>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</si>
  <si>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</si>
  <si>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</si>
  <si>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</si>
  <si>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</si>
  <si>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</si>
  <si>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</si>
  <si>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</si>
  <si>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</si>
  <si>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</si>
  <si>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</si>
  <si>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</si>
  <si>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</si>
  <si>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</si>
  <si>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</si>
  <si>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</si>
  <si>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</si>
  <si>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</si>
  <si>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Prepaid Gas Options</t>
  </si>
  <si>
    <t>AMCOR Rigid Plastics USA</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</si>
  <si>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</si>
  <si>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</si>
  <si>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</si>
  <si>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</si>
  <si>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</si>
  <si>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</si>
  <si>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</si>
  <si>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</si>
  <si>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</si>
  <si>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</si>
  <si>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</si>
  <si>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</si>
  <si>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</si>
  <si>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</si>
  <si>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</si>
  <si>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</si>
  <si>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</si>
  <si>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</si>
  <si>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</si>
  <si>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</si>
  <si>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</si>
  <si>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</si>
  <si>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</si>
  <si>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</si>
  <si>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</si>
  <si>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</si>
  <si>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</si>
  <si>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</si>
  <si>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</si>
  <si>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</si>
  <si>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</si>
  <si>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</si>
  <si>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</si>
  <si>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</si>
  <si>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</si>
  <si>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</si>
  <si>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</si>
  <si>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</si>
  <si>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</si>
  <si>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</si>
  <si>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</si>
  <si>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</si>
  <si>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</si>
  <si>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</si>
  <si>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</si>
  <si>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</si>
  <si>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</si>
  <si>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</si>
  <si>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</si>
  <si>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</si>
  <si>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</si>
  <si>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</si>
  <si>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</si>
  <si>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</si>
  <si>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</si>
  <si>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</si>
  <si>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</si>
  <si>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</si>
  <si>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</si>
  <si>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</si>
  <si>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</si>
  <si>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</si>
  <si>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</si>
  <si>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</si>
  <si>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</si>
  <si>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</si>
  <si>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</si>
  <si>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</si>
  <si>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</si>
  <si>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</si>
  <si>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</si>
  <si>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</si>
  <si>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</si>
  <si>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</si>
  <si>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</si>
  <si>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</si>
  <si>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</si>
  <si>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</si>
  <si>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</si>
  <si>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</si>
  <si>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</si>
  <si>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</si>
  <si>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</si>
  <si>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</si>
  <si>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</si>
  <si>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</si>
  <si>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</si>
  <si>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</si>
  <si>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</si>
  <si>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</si>
  <si>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</si>
  <si>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PSE/16502382</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</si>
  <si>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</si>
  <si>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</si>
  <si>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</si>
  <si>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</si>
  <si>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</si>
  <si>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</si>
  <si>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</si>
  <si>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</si>
  <si>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</si>
  <si>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</si>
  <si>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</si>
  <si>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</si>
  <si>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</si>
  <si>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</si>
  <si>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</si>
  <si>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</si>
  <si>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</si>
  <si>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</si>
  <si>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</si>
  <si>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</si>
  <si>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</si>
  <si>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LSR U.S. Treasury Grants</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</si>
  <si>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</si>
  <si>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</si>
  <si>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</si>
  <si>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</si>
  <si>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</si>
  <si>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</si>
  <si>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</si>
  <si>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</si>
  <si>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</si>
  <si>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</si>
  <si>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</si>
  <si>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</si>
  <si>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</si>
  <si>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</si>
  <si>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</si>
  <si>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</si>
  <si>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</si>
  <si>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</si>
  <si>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</si>
  <si>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</si>
  <si>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</si>
  <si>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</si>
  <si>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</si>
  <si>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</si>
  <si>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</si>
  <si>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</si>
  <si>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</si>
  <si>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</si>
  <si>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</si>
  <si>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</si>
  <si>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</si>
  <si>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</si>
  <si>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</si>
  <si>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</si>
  <si>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</si>
  <si>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</si>
  <si>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</si>
  <si>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</si>
  <si>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</si>
  <si>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</si>
  <si>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</si>
  <si>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</si>
  <si>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</si>
  <si>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</si>
  <si>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</si>
  <si>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</si>
  <si>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</si>
  <si>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</si>
  <si>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</si>
  <si>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PSE/16504112</t>
  </si>
  <si>
    <t xml:space="preserve">Prepaid - Gas Options </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</si>
  <si>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</si>
  <si>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</si>
  <si>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</si>
  <si>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</si>
  <si>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</si>
  <si>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</si>
  <si>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</si>
  <si>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</si>
  <si>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</si>
  <si>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</si>
  <si>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</si>
  <si>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</si>
  <si>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</si>
  <si>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</si>
  <si>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</si>
  <si>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</si>
  <si>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</si>
  <si>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</si>
  <si>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</si>
  <si>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</si>
  <si>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</si>
  <si>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</si>
  <si>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</si>
  <si>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</si>
  <si>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</si>
  <si>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</si>
  <si>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</si>
  <si>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</si>
  <si>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</si>
  <si>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</si>
  <si>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</si>
  <si>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</si>
  <si>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</si>
  <si>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</si>
  <si>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</si>
  <si>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NERC Standards Compliance Loss Reserve</t>
  </si>
  <si>
    <t>Accrued - 401(k) ER Contributions %</t>
  </si>
  <si>
    <t>Accrual - 401(k) Match on Incentive Plan</t>
  </si>
  <si>
    <t>Article 507 - Loon Surveys &amp; Non-Game Species</t>
  </si>
  <si>
    <t>Electric - Town of Concrete Funding - BakLicImp</t>
  </si>
  <si>
    <t>Electric - Upper Skagit Tribe MOU - BakLicImp</t>
  </si>
  <si>
    <t>Electric - Sauk-Suiattle Agmt - BakLicImp</t>
  </si>
  <si>
    <t>Electric - Swinomish Tribe Agmt - BakLicImp</t>
  </si>
  <si>
    <t>Accrued - Sale of Transf Frequency Response - Elec</t>
  </si>
  <si>
    <t>Article 602 - O&amp;M Habitat Enhance, Rstr, Cons Fund</t>
  </si>
  <si>
    <t>Powerex Microsoft</t>
  </si>
  <si>
    <t>Exelon Generation</t>
  </si>
  <si>
    <t>BP Products North America Inc</t>
  </si>
  <si>
    <t>PSE/16504573</t>
  </si>
  <si>
    <t xml:space="preserve">Prepaid - Permits &amp; Fees </t>
  </si>
  <si>
    <t>PSE/16504553</t>
  </si>
  <si>
    <t>PSE/16504563</t>
  </si>
  <si>
    <t xml:space="preserve">Prepaid - Hardware/Software </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</si>
  <si>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</si>
  <si>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</si>
  <si>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</si>
  <si>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</si>
  <si>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</si>
  <si>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WA</t>
  </si>
  <si>
    <t>OR</t>
  </si>
  <si>
    <t>Dynasty Power Inc</t>
  </si>
  <si>
    <t>Morgan Stanley Capital Group, Inc.</t>
  </si>
  <si>
    <t>Portland General Electric Company</t>
  </si>
  <si>
    <t>Center Drive Owners Association</t>
  </si>
  <si>
    <t>HollyFrontier Puget Sound Refining</t>
  </si>
  <si>
    <t>Tesoro Refining &amp; Marketing CMP</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</si>
  <si>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</si>
  <si>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</si>
  <si>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</si>
  <si>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</si>
  <si>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</si>
  <si>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</si>
  <si>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</si>
  <si>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</si>
  <si>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</si>
  <si>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</si>
  <si>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</si>
  <si>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Reversal of Excess Deferred Taxes Plant Related</t>
  </si>
  <si>
    <t>Guzman Energy</t>
  </si>
  <si>
    <t>Avangrid Renewables</t>
  </si>
  <si>
    <t>CP Energy Marketing</t>
  </si>
  <si>
    <t>Mercuria Energy</t>
  </si>
  <si>
    <t>Rainbow Energy Marketing</t>
  </si>
  <si>
    <t>Vitol, Inc.</t>
  </si>
  <si>
    <t>PSE/16502673</t>
  </si>
  <si>
    <t>Prepaid Applications</t>
  </si>
  <si>
    <t xml:space="preserve">Prepaid - Goldendale </t>
  </si>
  <si>
    <t>FERC 355 Poles and Fixtures (p.207.52.g)</t>
  </si>
  <si>
    <t>Electric - WUTC SQI Penalty</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</si>
  <si>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</si>
  <si>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</si>
  <si>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</si>
  <si>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</si>
  <si>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</si>
  <si>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</si>
  <si>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</si>
  <si>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</si>
  <si>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</si>
  <si>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</si>
  <si>
    <t>E3537 TSM Sub Eq, Sumas OP-SMS</t>
  </si>
  <si>
    <t>Prepaid - Colstrip Gen</t>
  </si>
  <si>
    <t>Prepaid Powerex Capacity</t>
  </si>
  <si>
    <t>Rent from Colstrip #3 and #4</t>
  </si>
  <si>
    <t>Other Electric Revenues - CEIP</t>
  </si>
  <si>
    <t>Landlord Incentives</t>
  </si>
  <si>
    <t>Article 516 # Mountain Goats Required Funding</t>
  </si>
  <si>
    <t>Pole Expense Accrual</t>
  </si>
  <si>
    <t>12/31/2023 Excess/Deficient ADIT Balance</t>
  </si>
  <si>
    <t>Excess/Deficient ADIT Reversal in 2024</t>
  </si>
  <si>
    <t>12/31/2024
Gross-Up on column (K)</t>
  </si>
  <si>
    <t>E3559 (GIF) Poles, Snoqualmie 1</t>
  </si>
  <si>
    <t>E3536 TSM Sta Eq, Encogen</t>
  </si>
  <si>
    <t>Accumulated Depreciation 12/31/2024</t>
  </si>
  <si>
    <t>Original Cost 12/31/2024</t>
  </si>
  <si>
    <t>Additional Revenue from Redirect LT to ST</t>
  </si>
  <si>
    <t>Altop Energy Trading LLC</t>
  </si>
  <si>
    <t>BP Energy Company</t>
  </si>
  <si>
    <t>Brookfield Renewables.</t>
  </si>
  <si>
    <t>Conoco-Phillips Company</t>
  </si>
  <si>
    <t>Shell Energy North America.</t>
  </si>
  <si>
    <t>Dynasty Power Inc.</t>
  </si>
  <si>
    <t>Mercuria Energy.</t>
  </si>
  <si>
    <t>Morgan Stanley Capital Group, Inc</t>
  </si>
  <si>
    <t>Portland General Electric</t>
  </si>
  <si>
    <t>Avangrid Renewable, LLC</t>
  </si>
  <si>
    <t>Powerex.</t>
  </si>
  <si>
    <t>Seattle City Light.</t>
  </si>
  <si>
    <t>The Energy Authority.</t>
  </si>
  <si>
    <t>TransAlta Energy.</t>
  </si>
  <si>
    <t>Turlock Irrigation Distric</t>
  </si>
  <si>
    <t>Avista Corporation</t>
  </si>
  <si>
    <t>Tacoma Power..</t>
  </si>
  <si>
    <t xml:space="preserve">Exelon Generation </t>
  </si>
  <si>
    <t>HollyFrontier Puget Sound</t>
  </si>
  <si>
    <t>Rainbow Energy Marketing Corporation</t>
  </si>
  <si>
    <t>Snohomish Co. PUD</t>
  </si>
  <si>
    <t>5150 - Article 315 - LB Trail maintenan</t>
  </si>
  <si>
    <t>Net Plant 12/31/2024</t>
  </si>
  <si>
    <t>For 2023</t>
  </si>
  <si>
    <t>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</si>
</sst>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 numFmtId="190" formatCode="* #,##0;* \(#,##0\);* &quot;—&quot;;_(@_)"/>
  </numFmts>
  <fonts count="1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
      <sz val="10"/>
      <name val="Arial"/>
      <family val="2"/>
    </font>
    <font>
      <sz val="8"/>
      <color theme="1"/>
      <name val="Calibri"/>
      <family val="2"/>
      <scheme val="minor"/>
    </font>
  </fonts>
  <fills count="7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
      <patternFill patternType="solid">
        <fgColor rgb="FFFFFF99"/>
        <bgColor indexed="64"/>
      </patternFill>
    </fill>
    <fill>
      <patternFill patternType="solid">
        <fgColor rgb="FFFFFFFF"/>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3" fillId="71" borderId="82" applyNumberFormat="0" applyAlignment="0" applyProtection="0">
      <alignment horizontal="left" vertical="center" indent="1"/>
    </xf>
    <xf numFmtId="188" fontId="164"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2033">
    <xf numFmtId="0" fontId="0" fillId="0" borderId="0" xfId="0"/>
    <xf numFmtId="0" fontId="10" fillId="0" borderId="0" xfId="0" applyFont="1"/>
    <xf numFmtId="0" fontId="0" fillId="0" borderId="0" xfId="0" applyFill="1"/>
    <xf numFmtId="0" fontId="10" fillId="0" borderId="0" xfId="0" applyNumberFormat="1" applyFont="1" applyFill="1" applyAlignment="1"/>
    <xf numFmtId="0" fontId="12" fillId="0" borderId="0" xfId="0" applyNumberFormat="1" applyFont="1" applyAlignment="1">
      <alignment horizontal="center"/>
    </xf>
    <xf numFmtId="0" fontId="12" fillId="0" borderId="0" xfId="0" applyFont="1" applyAlignment="1"/>
    <xf numFmtId="0" fontId="10" fillId="0" borderId="12" xfId="0" applyFont="1" applyBorder="1"/>
    <xf numFmtId="173" fontId="10" fillId="0" borderId="0" xfId="633" applyNumberFormat="1" applyFont="1" applyAlignment="1"/>
    <xf numFmtId="0" fontId="10" fillId="0" borderId="12" xfId="0" applyNumberFormat="1" applyFont="1" applyFill="1" applyBorder="1" applyAlignment="1"/>
    <xf numFmtId="0" fontId="10" fillId="0" borderId="13" xfId="0" applyNumberFormat="1" applyFont="1" applyFill="1" applyBorder="1" applyAlignment="1"/>
    <xf numFmtId="0" fontId="10" fillId="0" borderId="13" xfId="0" applyFont="1" applyBorder="1"/>
    <xf numFmtId="0" fontId="10" fillId="0" borderId="0" xfId="0" applyNumberFormat="1" applyFont="1" applyFill="1" applyBorder="1" applyAlignment="1"/>
    <xf numFmtId="0" fontId="12" fillId="0" borderId="0" xfId="0" applyFont="1"/>
    <xf numFmtId="0" fontId="12" fillId="0" borderId="0" xfId="0" applyNumberFormat="1" applyFont="1" applyAlignment="1">
      <alignment horizontal="left"/>
    </xf>
    <xf numFmtId="0" fontId="12" fillId="0" borderId="0" xfId="0" applyFont="1" applyFill="1" applyAlignment="1"/>
    <xf numFmtId="0" fontId="12" fillId="0" borderId="0" xfId="0" applyFont="1" applyFill="1"/>
    <xf numFmtId="0" fontId="12" fillId="0" borderId="12" xfId="0" applyNumberFormat="1" applyFont="1" applyFill="1" applyBorder="1" applyAlignment="1">
      <alignment horizontal="left"/>
    </xf>
    <xf numFmtId="0" fontId="12" fillId="0" borderId="12" xfId="0" applyFont="1" applyFill="1" applyBorder="1" applyAlignment="1"/>
    <xf numFmtId="0" fontId="12" fillId="0" borderId="12" xfId="0" applyFont="1" applyBorder="1"/>
    <xf numFmtId="0" fontId="12" fillId="0" borderId="12" xfId="0" applyFont="1" applyFill="1" applyBorder="1"/>
    <xf numFmtId="0" fontId="12" fillId="0" borderId="12" xfId="0" applyFont="1" applyBorder="1" applyAlignment="1"/>
    <xf numFmtId="0" fontId="12" fillId="0" borderId="0" xfId="0" applyFont="1" applyBorder="1" applyAlignment="1"/>
    <xf numFmtId="0" fontId="12" fillId="0" borderId="0" xfId="0" applyNumberFormat="1" applyFont="1" applyFill="1" applyAlignment="1">
      <alignment horizontal="center"/>
    </xf>
    <xf numFmtId="0" fontId="12" fillId="0" borderId="0" xfId="0" applyNumberFormat="1" applyFont="1" applyBorder="1" applyAlignment="1">
      <alignment horizontal="center"/>
    </xf>
    <xf numFmtId="0" fontId="12" fillId="0" borderId="0" xfId="0" applyNumberFormat="1" applyFont="1" applyBorder="1" applyAlignment="1">
      <alignment horizontal="left"/>
    </xf>
    <xf numFmtId="0" fontId="12" fillId="0" borderId="0" xfId="0" applyFont="1" applyFill="1" applyBorder="1" applyAlignment="1"/>
    <xf numFmtId="0" fontId="12" fillId="0" borderId="0" xfId="0" applyFont="1" applyBorder="1"/>
    <xf numFmtId="0" fontId="10" fillId="0" borderId="0" xfId="0" applyNumberFormat="1" applyFont="1" applyBorder="1" applyAlignment="1"/>
    <xf numFmtId="0" fontId="10" fillId="0" borderId="12" xfId="0" applyNumberFormat="1" applyFont="1" applyBorder="1" applyAlignment="1"/>
    <xf numFmtId="0" fontId="26" fillId="30" borderId="0" xfId="0" applyFont="1" applyFill="1" applyBorder="1" applyAlignment="1"/>
    <xf numFmtId="0" fontId="26" fillId="30" borderId="0" xfId="0" applyFont="1" applyFill="1" applyBorder="1" applyAlignment="1">
      <alignment horizontal="left"/>
    </xf>
    <xf numFmtId="0" fontId="12" fillId="0" borderId="0" xfId="0" applyFont="1" applyAlignment="1">
      <alignment horizontal="center"/>
    </xf>
    <xf numFmtId="0" fontId="12" fillId="0" borderId="14" xfId="0" applyFont="1" applyFill="1" applyBorder="1" applyAlignment="1">
      <alignment horizontal="left"/>
    </xf>
    <xf numFmtId="0" fontId="12" fillId="0" borderId="14" xfId="0" applyNumberFormat="1" applyFont="1" applyBorder="1" applyAlignment="1">
      <alignment horizontal="left"/>
    </xf>
    <xf numFmtId="0" fontId="12" fillId="0" borderId="0" xfId="0" applyFont="1" applyFill="1" applyBorder="1" applyAlignment="1">
      <alignment horizontal="left"/>
    </xf>
    <xf numFmtId="0" fontId="12" fillId="0" borderId="14" xfId="0" applyFont="1" applyBorder="1" applyAlignment="1"/>
    <xf numFmtId="0" fontId="12" fillId="0" borderId="0" xfId="0" applyFont="1" applyFill="1" applyBorder="1"/>
    <xf numFmtId="0" fontId="10" fillId="0" borderId="13" xfId="0" applyFont="1" applyBorder="1" applyAlignment="1"/>
    <xf numFmtId="0" fontId="12" fillId="0" borderId="13" xfId="0" applyFont="1" applyBorder="1"/>
    <xf numFmtId="168" fontId="10" fillId="0" borderId="13" xfId="0" applyNumberFormat="1" applyFont="1" applyBorder="1" applyAlignment="1">
      <alignment horizontal="left"/>
    </xf>
    <xf numFmtId="0" fontId="12" fillId="30" borderId="0" xfId="0" applyFont="1" applyFill="1" applyBorder="1" applyAlignment="1"/>
    <xf numFmtId="0" fontId="12" fillId="30" borderId="0" xfId="0" applyFont="1" applyFill="1" applyBorder="1"/>
    <xf numFmtId="0" fontId="12" fillId="0" borderId="13" xfId="0" applyFont="1" applyFill="1" applyBorder="1" applyAlignment="1"/>
    <xf numFmtId="0" fontId="26" fillId="0" borderId="0" xfId="0" applyFont="1" applyFill="1" applyBorder="1" applyAlignment="1"/>
    <xf numFmtId="0" fontId="12" fillId="30" borderId="0" xfId="0" applyFont="1" applyFill="1" applyAlignment="1"/>
    <xf numFmtId="0" fontId="12" fillId="30" borderId="0" xfId="0" applyFont="1" applyFill="1"/>
    <xf numFmtId="0" fontId="12" fillId="30" borderId="0" xfId="0" applyFont="1" applyFill="1" applyBorder="1" applyAlignment="1">
      <alignment horizontal="center" wrapText="1"/>
    </xf>
    <xf numFmtId="0" fontId="10" fillId="0" borderId="0" xfId="0" applyFont="1" applyBorder="1" applyAlignment="1"/>
    <xf numFmtId="168" fontId="10" fillId="0" borderId="0" xfId="0" applyNumberFormat="1" applyFont="1" applyBorder="1" applyAlignment="1">
      <alignment horizontal="left"/>
    </xf>
    <xf numFmtId="0" fontId="10" fillId="0" borderId="12" xfId="0" applyNumberFormat="1" applyFont="1" applyBorder="1" applyAlignment="1">
      <alignment horizontal="left"/>
    </xf>
    <xf numFmtId="0" fontId="10" fillId="0" borderId="12" xfId="0" applyFont="1" applyFill="1" applyBorder="1" applyAlignment="1"/>
    <xf numFmtId="0" fontId="12" fillId="30" borderId="0" xfId="0" applyNumberFormat="1" applyFont="1" applyFill="1" applyAlignment="1">
      <alignment horizontal="center"/>
    </xf>
    <xf numFmtId="0" fontId="26" fillId="30" borderId="0" xfId="0" applyNumberFormat="1" applyFont="1" applyFill="1" applyAlignment="1">
      <alignment horizontal="left"/>
    </xf>
    <xf numFmtId="0" fontId="11" fillId="0" borderId="0" xfId="0" applyFont="1"/>
    <xf numFmtId="0" fontId="28" fillId="0" borderId="15" xfId="0" applyNumberFormat="1" applyFont="1" applyBorder="1" applyAlignment="1">
      <alignment horizontal="center"/>
    </xf>
    <xf numFmtId="0" fontId="21" fillId="0" borderId="16" xfId="0" applyNumberFormat="1" applyFont="1" applyBorder="1" applyAlignment="1">
      <alignment horizontal="center"/>
    </xf>
    <xf numFmtId="164" fontId="12" fillId="0" borderId="0" xfId="381" applyNumberFormat="1" applyFont="1"/>
    <xf numFmtId="0" fontId="12" fillId="0" borderId="14" xfId="0" applyNumberFormat="1" applyFont="1" applyFill="1" applyBorder="1" applyAlignment="1">
      <alignment horizontal="left"/>
    </xf>
    <xf numFmtId="0" fontId="21" fillId="0" borderId="0" xfId="0" applyNumberFormat="1" applyFont="1" applyBorder="1" applyAlignment="1">
      <alignment horizontal="center"/>
    </xf>
    <xf numFmtId="0" fontId="10" fillId="0" borderId="0" xfId="0" applyNumberFormat="1" applyFont="1" applyBorder="1" applyAlignment="1">
      <alignment horizontal="left"/>
    </xf>
    <xf numFmtId="0" fontId="12" fillId="0" borderId="14" xfId="0" applyNumberFormat="1"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2" fillId="0" borderId="14" xfId="0" applyNumberFormat="1" applyFont="1" applyFill="1" applyBorder="1" applyAlignment="1">
      <alignment horizontal="center"/>
    </xf>
    <xf numFmtId="0" fontId="12" fillId="0" borderId="12" xfId="0" applyFont="1" applyFill="1" applyBorder="1" applyAlignment="1">
      <alignment horizontal="center"/>
    </xf>
    <xf numFmtId="0" fontId="12" fillId="0" borderId="14" xfId="0" applyFont="1" applyBorder="1" applyAlignment="1">
      <alignment horizontal="center"/>
    </xf>
    <xf numFmtId="0" fontId="10" fillId="0" borderId="0" xfId="0" applyFont="1" applyBorder="1" applyAlignment="1">
      <alignment horizontal="center"/>
    </xf>
    <xf numFmtId="0" fontId="12" fillId="0" borderId="0" xfId="0" applyNumberFormat="1" applyFont="1" applyFill="1" applyBorder="1" applyAlignment="1">
      <alignment horizontal="center"/>
    </xf>
    <xf numFmtId="3" fontId="10" fillId="0" borderId="12" xfId="0" applyNumberFormat="1" applyFont="1" applyBorder="1" applyAlignment="1">
      <alignment horizontal="center"/>
    </xf>
    <xf numFmtId="0" fontId="14" fillId="0" borderId="0" xfId="0" applyFont="1" applyFill="1" applyBorder="1" applyAlignment="1">
      <alignment horizontal="center"/>
    </xf>
    <xf numFmtId="0" fontId="14" fillId="0" borderId="14" xfId="0" applyFont="1" applyFill="1" applyBorder="1" applyAlignment="1"/>
    <xf numFmtId="0" fontId="14" fillId="0" borderId="14" xfId="0" applyFont="1" applyFill="1" applyBorder="1" applyAlignment="1">
      <alignment horizontal="center"/>
    </xf>
    <xf numFmtId="0" fontId="12" fillId="0" borderId="0" xfId="0" applyFont="1" applyFill="1" applyBorder="1" applyAlignment="1">
      <alignment horizontal="center"/>
    </xf>
    <xf numFmtId="0" fontId="28" fillId="0" borderId="0" xfId="0" applyNumberFormat="1" applyFont="1" applyBorder="1" applyAlignment="1">
      <alignment horizontal="center"/>
    </xf>
    <xf numFmtId="0" fontId="10" fillId="0" borderId="0" xfId="0" applyFont="1" applyFill="1"/>
    <xf numFmtId="0" fontId="10" fillId="0" borderId="0" xfId="0" applyFont="1" applyFill="1" applyBorder="1"/>
    <xf numFmtId="3" fontId="10" fillId="0" borderId="0" xfId="0" applyNumberFormat="1" applyFont="1" applyFill="1" applyBorder="1"/>
    <xf numFmtId="0" fontId="16" fillId="0" borderId="0" xfId="0" applyNumberFormat="1" applyFont="1" applyFill="1" applyBorder="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applyFill="1"/>
    <xf numFmtId="0" fontId="0" fillId="0" borderId="0" xfId="0" applyAlignment="1"/>
    <xf numFmtId="164" fontId="8" fillId="0" borderId="0" xfId="381" applyNumberFormat="1" applyAlignment="1"/>
    <xf numFmtId="0" fontId="31" fillId="0" borderId="0" xfId="0" applyFont="1" applyFill="1" applyAlignment="1">
      <alignment horizontal="center"/>
    </xf>
    <xf numFmtId="0" fontId="35" fillId="0" borderId="0" xfId="0" applyFont="1" applyBorder="1"/>
    <xf numFmtId="0" fontId="31" fillId="0" borderId="0" xfId="0" applyFont="1" applyAlignment="1">
      <alignment horizontal="center"/>
    </xf>
    <xf numFmtId="0" fontId="0" fillId="0" borderId="0" xfId="0" applyAlignment="1">
      <alignment horizontal="right"/>
    </xf>
    <xf numFmtId="0" fontId="31" fillId="0" borderId="0" xfId="0" applyFont="1" applyFill="1" applyAlignment="1">
      <alignment horizontal="right"/>
    </xf>
    <xf numFmtId="0" fontId="17" fillId="0" borderId="0" xfId="0" applyFont="1"/>
    <xf numFmtId="0" fontId="37" fillId="0" borderId="0" xfId="0" applyFont="1" applyAlignment="1">
      <alignment horizontal="center"/>
    </xf>
    <xf numFmtId="0" fontId="30" fillId="0" borderId="0" xfId="0" applyFont="1" applyFill="1" applyBorder="1" applyAlignment="1">
      <alignment horizontal="left"/>
    </xf>
    <xf numFmtId="0" fontId="10" fillId="0" borderId="0" xfId="0" applyFont="1" applyFill="1" applyBorder="1" applyAlignment="1">
      <alignment horizontal="center" wrapText="1"/>
    </xf>
    <xf numFmtId="0" fontId="12" fillId="0" borderId="14" xfId="0" applyFont="1" applyBorder="1"/>
    <xf numFmtId="0" fontId="0" fillId="0" borderId="0" xfId="0" applyBorder="1"/>
    <xf numFmtId="0" fontId="36" fillId="0" borderId="0" xfId="0" applyFont="1" applyFill="1" applyAlignment="1">
      <alignment horizontal="center"/>
    </xf>
    <xf numFmtId="0" fontId="18" fillId="0" borderId="0" xfId="0" applyNumberFormat="1" applyFont="1" applyFill="1" applyBorder="1" applyAlignment="1">
      <alignment horizontal="left"/>
    </xf>
    <xf numFmtId="0" fontId="29" fillId="0" borderId="0" xfId="0" applyNumberFormat="1" applyFont="1" applyFill="1" applyBorder="1" applyAlignment="1">
      <alignment horizontal="center"/>
    </xf>
    <xf numFmtId="0" fontId="26" fillId="30" borderId="0" xfId="0" applyFont="1" applyFill="1" applyBorder="1" applyAlignment="1">
      <alignment horizontal="center"/>
    </xf>
    <xf numFmtId="0" fontId="10"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3" fontId="12" fillId="0" borderId="0" xfId="0" applyNumberFormat="1" applyFont="1" applyAlignment="1">
      <alignment horizontal="center"/>
    </xf>
    <xf numFmtId="0" fontId="21" fillId="0" borderId="0" xfId="0" applyFont="1" applyAlignment="1">
      <alignment horizontal="center"/>
    </xf>
    <xf numFmtId="37" fontId="0" fillId="0" borderId="0" xfId="0" applyNumberFormat="1" applyFill="1"/>
    <xf numFmtId="37" fontId="0" fillId="0" borderId="0" xfId="0" applyNumberFormat="1" applyFill="1" applyAlignment="1">
      <alignment horizontal="right" wrapText="1"/>
    </xf>
    <xf numFmtId="0" fontId="11" fillId="0" borderId="0" xfId="0" applyFont="1" applyFill="1"/>
    <xf numFmtId="0" fontId="0" fillId="0" borderId="0" xfId="0" applyAlignment="1">
      <alignment horizontal="left"/>
    </xf>
    <xf numFmtId="0" fontId="43" fillId="0" borderId="0" xfId="0" applyFont="1"/>
    <xf numFmtId="0" fontId="18" fillId="0" borderId="0" xfId="0" applyFont="1" applyFill="1" applyAlignment="1"/>
    <xf numFmtId="0" fontId="18"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0" fontId="14" fillId="0" borderId="14" xfId="0" applyFont="1" applyBorder="1" applyAlignment="1">
      <alignment horizontal="center"/>
    </xf>
    <xf numFmtId="0" fontId="31" fillId="0" borderId="0" xfId="0" applyFont="1" applyFill="1"/>
    <xf numFmtId="41" fontId="0" fillId="0" borderId="0" xfId="0" applyNumberFormat="1" applyFill="1" applyBorder="1" applyAlignment="1">
      <alignment horizontal="right"/>
    </xf>
    <xf numFmtId="0" fontId="11" fillId="0" borderId="0" xfId="0" applyFont="1" applyFill="1" applyBorder="1"/>
    <xf numFmtId="0" fontId="0" fillId="0" borderId="0" xfId="0" applyFill="1" applyAlignment="1">
      <alignment horizontal="right"/>
    </xf>
    <xf numFmtId="164" fontId="0" fillId="0" borderId="0" xfId="381" applyNumberFormat="1" applyFont="1" applyFill="1" applyAlignment="1">
      <alignment horizontal="right"/>
    </xf>
    <xf numFmtId="41" fontId="0" fillId="0" borderId="0" xfId="0" applyNumberFormat="1" applyFill="1" applyAlignment="1">
      <alignment horizontal="right"/>
    </xf>
    <xf numFmtId="164" fontId="0" fillId="0" borderId="0" xfId="0" applyNumberFormat="1" applyFill="1"/>
    <xf numFmtId="0" fontId="0" fillId="0" borderId="0" xfId="0" applyFill="1" applyAlignment="1">
      <alignment horizontal="left"/>
    </xf>
    <xf numFmtId="0" fontId="9" fillId="0" borderId="0" xfId="0" applyFont="1" applyFill="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Fill="1" applyBorder="1"/>
    <xf numFmtId="164" fontId="8" fillId="0" borderId="17" xfId="381" applyNumberFormat="1" applyFill="1" applyBorder="1" applyAlignment="1">
      <alignment horizontal="right"/>
    </xf>
    <xf numFmtId="0" fontId="17" fillId="0" borderId="0" xfId="0" applyFont="1" applyBorder="1"/>
    <xf numFmtId="0" fontId="11" fillId="0" borderId="0" xfId="0" applyFont="1" applyBorder="1"/>
    <xf numFmtId="0" fontId="32" fillId="0" borderId="0" xfId="0" applyFont="1" applyBorder="1" applyAlignment="1">
      <alignment horizontal="center"/>
    </xf>
    <xf numFmtId="0" fontId="0" fillId="0" borderId="0" xfId="0" applyBorder="1" applyAlignment="1"/>
    <xf numFmtId="0" fontId="0" fillId="0" borderId="0" xfId="0" applyBorder="1" applyAlignment="1">
      <alignment horizontal="left"/>
    </xf>
    <xf numFmtId="0" fontId="34" fillId="0" borderId="0" xfId="0" applyFont="1" applyFill="1" applyBorder="1"/>
    <xf numFmtId="0" fontId="0" fillId="0" borderId="0" xfId="0" applyFill="1" applyBorder="1" applyAlignment="1">
      <alignment wrapText="1"/>
    </xf>
    <xf numFmtId="0" fontId="45" fillId="0" borderId="0" xfId="0" applyFont="1" applyBorder="1"/>
    <xf numFmtId="41" fontId="9" fillId="0" borderId="0" xfId="0" applyNumberFormat="1" applyFont="1" applyBorder="1" applyAlignment="1">
      <alignment horizontal="center"/>
    </xf>
    <xf numFmtId="41" fontId="9" fillId="0" borderId="0" xfId="0" applyNumberFormat="1" applyFont="1" applyFill="1" applyBorder="1" applyAlignment="1">
      <alignment horizontal="center"/>
    </xf>
    <xf numFmtId="0" fontId="20" fillId="0" borderId="0" xfId="0" applyFont="1" applyFill="1" applyBorder="1" applyAlignment="1">
      <alignment wrapText="1"/>
    </xf>
    <xf numFmtId="0" fontId="34" fillId="0" borderId="0" xfId="0" applyFont="1" applyFill="1" applyBorder="1" applyAlignment="1">
      <alignment horizontal="left"/>
    </xf>
    <xf numFmtId="0" fontId="0" fillId="0" borderId="12" xfId="0" applyBorder="1"/>
    <xf numFmtId="0" fontId="0" fillId="0" borderId="14" xfId="0" applyBorder="1"/>
    <xf numFmtId="37" fontId="0" fillId="0" borderId="0" xfId="0" applyNumberFormat="1" applyFill="1" applyBorder="1"/>
    <xf numFmtId="0" fontId="0" fillId="0" borderId="14" xfId="0" applyFill="1" applyBorder="1"/>
    <xf numFmtId="37" fontId="0" fillId="0" borderId="0" xfId="0" applyNumberFormat="1" applyFill="1" applyBorder="1" applyAlignment="1">
      <alignment horizontal="center"/>
    </xf>
    <xf numFmtId="0" fontId="0" fillId="0" borderId="0" xfId="0" applyFill="1" applyAlignment="1"/>
    <xf numFmtId="0" fontId="42" fillId="0" borderId="0" xfId="0" applyFont="1" applyFill="1" applyBorder="1"/>
    <xf numFmtId="37" fontId="18" fillId="0" borderId="0" xfId="0" applyNumberFormat="1" applyFont="1" applyFill="1"/>
    <xf numFmtId="0" fontId="17" fillId="0" borderId="0" xfId="0" applyFont="1" applyAlignment="1">
      <alignment horizontal="center"/>
    </xf>
    <xf numFmtId="164" fontId="12" fillId="0" borderId="0" xfId="381" applyNumberFormat="1" applyFont="1" applyFill="1"/>
    <xf numFmtId="0" fontId="38" fillId="0" borderId="0" xfId="0" applyFont="1" applyFill="1" applyBorder="1"/>
    <xf numFmtId="0" fontId="0" fillId="0" borderId="0" xfId="0" applyAlignment="1">
      <alignment vertical="top"/>
    </xf>
    <xf numFmtId="164" fontId="8" fillId="0" borderId="0" xfId="381" applyNumberFormat="1" applyBorder="1"/>
    <xf numFmtId="0" fontId="9" fillId="0" borderId="0" xfId="0" applyFont="1" applyAlignment="1">
      <alignment horizontal="center"/>
    </xf>
    <xf numFmtId="0" fontId="0" fillId="31" borderId="0" xfId="0" applyFill="1"/>
    <xf numFmtId="164" fontId="8" fillId="0" borderId="17" xfId="381" applyNumberFormat="1" applyBorder="1"/>
    <xf numFmtId="0" fontId="0" fillId="0" borderId="17" xfId="0" applyFill="1" applyBorder="1" applyAlignment="1">
      <alignment wrapText="1"/>
    </xf>
    <xf numFmtId="0" fontId="18" fillId="0" borderId="19" xfId="0" applyFont="1" applyFill="1" applyBorder="1"/>
    <xf numFmtId="0" fontId="20" fillId="0" borderId="17" xfId="0" applyFont="1" applyFill="1" applyBorder="1" applyAlignment="1">
      <alignment wrapText="1"/>
    </xf>
    <xf numFmtId="0" fontId="21" fillId="0" borderId="0" xfId="0" applyFont="1" applyBorder="1" applyAlignment="1">
      <alignment horizontal="centerContinuous"/>
    </xf>
    <xf numFmtId="0" fontId="0" fillId="0" borderId="0" xfId="0" applyBorder="1" applyAlignment="1">
      <alignment horizontal="centerContinuous"/>
    </xf>
    <xf numFmtId="0" fontId="0" fillId="0" borderId="0" xfId="0" applyFill="1" applyBorder="1" applyAlignment="1">
      <alignment horizontal="centerContinuous"/>
    </xf>
    <xf numFmtId="0" fontId="0" fillId="0" borderId="0" xfId="0" applyFill="1" applyAlignment="1">
      <alignment vertical="top"/>
    </xf>
    <xf numFmtId="0" fontId="32" fillId="0" borderId="0" xfId="0" applyFont="1" applyFill="1" applyAlignment="1">
      <alignment horizontal="center"/>
    </xf>
    <xf numFmtId="0" fontId="41" fillId="0" borderId="0" xfId="0" applyFont="1" applyAlignment="1"/>
    <xf numFmtId="37" fontId="0" fillId="0" borderId="0" xfId="0" applyNumberFormat="1" applyFill="1" applyBorder="1" applyAlignment="1">
      <alignment wrapText="1"/>
    </xf>
    <xf numFmtId="164" fontId="0" fillId="0" borderId="0" xfId="0" applyNumberFormat="1" applyFill="1" applyBorder="1" applyAlignment="1">
      <alignment wrapText="1"/>
    </xf>
    <xf numFmtId="0" fontId="32" fillId="0" borderId="0" xfId="0" applyFont="1" applyFill="1" applyAlignment="1">
      <alignment horizontal="centerContinuous"/>
    </xf>
    <xf numFmtId="0" fontId="0" fillId="0" borderId="0" xfId="0" applyFill="1" applyAlignment="1">
      <alignment horizontal="centerContinuous"/>
    </xf>
    <xf numFmtId="164" fontId="43" fillId="0" borderId="0" xfId="0" applyNumberFormat="1" applyFont="1" applyFill="1"/>
    <xf numFmtId="0" fontId="0" fillId="0" borderId="0" xfId="0" applyFill="1" applyAlignment="1">
      <alignment horizontal="center"/>
    </xf>
    <xf numFmtId="164" fontId="18" fillId="0" borderId="0" xfId="381" applyNumberFormat="1" applyFont="1" applyFill="1" applyAlignment="1"/>
    <xf numFmtId="0" fontId="8" fillId="0" borderId="0" xfId="0" applyFont="1" applyFill="1"/>
    <xf numFmtId="164" fontId="0" fillId="0" borderId="0" xfId="381" applyNumberFormat="1" applyFont="1" applyFill="1"/>
    <xf numFmtId="0" fontId="8" fillId="0" borderId="0" xfId="0" applyFont="1" applyFill="1" applyAlignment="1">
      <alignment horizontal="right"/>
    </xf>
    <xf numFmtId="0" fontId="0" fillId="0" borderId="0" xfId="0" applyFill="1" applyAlignment="1">
      <alignment horizontal="left" wrapText="1"/>
    </xf>
    <xf numFmtId="0" fontId="9" fillId="0" borderId="0" xfId="0" applyFont="1" applyFill="1"/>
    <xf numFmtId="3" fontId="0" fillId="0" borderId="0" xfId="0" applyNumberFormat="1" applyFill="1" applyAlignment="1">
      <alignment horizontal="left"/>
    </xf>
    <xf numFmtId="164" fontId="8" fillId="0" borderId="0" xfId="381" applyNumberFormat="1" applyFont="1" applyFill="1" applyAlignment="1"/>
    <xf numFmtId="0" fontId="8" fillId="0" borderId="0" xfId="0" applyFont="1"/>
    <xf numFmtId="164" fontId="8" fillId="0" borderId="0" xfId="381" applyNumberFormat="1" applyFont="1"/>
    <xf numFmtId="0" fontId="8" fillId="0" borderId="0" xfId="0" applyFont="1" applyFill="1" applyBorder="1"/>
    <xf numFmtId="0" fontId="32" fillId="0" borderId="0" xfId="0" applyFont="1" applyBorder="1" applyAlignment="1">
      <alignment horizontal="left"/>
    </xf>
    <xf numFmtId="0" fontId="9" fillId="0" borderId="0" xfId="0" applyFont="1" applyFill="1" applyBorder="1" applyAlignment="1">
      <alignment horizontal="left"/>
    </xf>
    <xf numFmtId="37" fontId="10" fillId="0" borderId="0" xfId="0" applyNumberFormat="1" applyFont="1" applyBorder="1" applyAlignment="1">
      <alignment horizontal="right"/>
    </xf>
    <xf numFmtId="0" fontId="18" fillId="0" borderId="0" xfId="465" applyFont="1"/>
    <xf numFmtId="0" fontId="18" fillId="0" borderId="0" xfId="465" applyNumberFormat="1" applyFont="1" applyFill="1" applyBorder="1" applyAlignment="1"/>
    <xf numFmtId="0" fontId="18" fillId="0" borderId="0" xfId="465" applyFont="1" applyBorder="1" applyAlignment="1"/>
    <xf numFmtId="0" fontId="18" fillId="0" borderId="0" xfId="465" applyFont="1" applyFill="1" applyBorder="1" applyAlignment="1">
      <alignment horizontal="center" wrapText="1"/>
    </xf>
    <xf numFmtId="0" fontId="18" fillId="0" borderId="0" xfId="465" applyFont="1" applyBorder="1"/>
    <xf numFmtId="3" fontId="12" fillId="0" borderId="0" xfId="465" applyNumberFormat="1" applyFont="1" applyFill="1" applyBorder="1" applyAlignment="1"/>
    <xf numFmtId="3" fontId="18" fillId="0" borderId="0" xfId="465" applyNumberFormat="1" applyFont="1" applyBorder="1" applyAlignment="1">
      <alignment horizontal="center"/>
    </xf>
    <xf numFmtId="0" fontId="18" fillId="0" borderId="20" xfId="465" applyNumberFormat="1" applyFont="1" applyFill="1" applyBorder="1" applyAlignment="1">
      <alignment horizontal="center"/>
    </xf>
    <xf numFmtId="0" fontId="18" fillId="0" borderId="0" xfId="465" applyNumberFormat="1" applyFont="1" applyBorder="1" applyAlignment="1">
      <alignment horizontal="center"/>
    </xf>
    <xf numFmtId="0" fontId="18" fillId="0" borderId="0" xfId="465" applyNumberFormat="1" applyFont="1" applyFill="1" applyBorder="1" applyAlignment="1">
      <alignment horizontal="left"/>
    </xf>
    <xf numFmtId="0" fontId="18" fillId="0" borderId="21" xfId="465" applyFont="1" applyBorder="1" applyAlignment="1"/>
    <xf numFmtId="0" fontId="18" fillId="0" borderId="14" xfId="465" applyNumberFormat="1" applyFont="1" applyFill="1" applyBorder="1" applyAlignment="1">
      <alignment horizontal="left"/>
    </xf>
    <xf numFmtId="3" fontId="12" fillId="0" borderId="14" xfId="465" applyNumberFormat="1" applyFont="1" applyFill="1" applyBorder="1" applyAlignment="1"/>
    <xf numFmtId="0" fontId="9" fillId="0" borderId="0" xfId="465" applyNumberFormat="1" applyFont="1" applyFill="1" applyBorder="1" applyAlignment="1">
      <alignment horizontal="left"/>
    </xf>
    <xf numFmtId="0" fontId="20" fillId="0" borderId="0" xfId="465" applyNumberFormat="1" applyFont="1" applyFill="1" applyBorder="1" applyAlignment="1">
      <alignment horizontal="center"/>
    </xf>
    <xf numFmtId="0" fontId="18" fillId="0" borderId="21" xfId="465" applyNumberFormat="1" applyFont="1" applyFill="1" applyBorder="1" applyAlignment="1">
      <alignment horizontal="left"/>
    </xf>
    <xf numFmtId="0" fontId="18" fillId="0" borderId="22" xfId="465" applyNumberFormat="1" applyFont="1" applyFill="1" applyBorder="1" applyAlignment="1">
      <alignment horizontal="center"/>
    </xf>
    <xf numFmtId="0" fontId="18" fillId="0" borderId="10" xfId="465" applyNumberFormat="1" applyFont="1" applyBorder="1" applyAlignment="1">
      <alignment horizontal="center"/>
    </xf>
    <xf numFmtId="0" fontId="18" fillId="0" borderId="10" xfId="465" applyNumberFormat="1" applyFont="1" applyFill="1" applyBorder="1" applyAlignment="1">
      <alignment horizontal="left"/>
    </xf>
    <xf numFmtId="0" fontId="18" fillId="0" borderId="23" xfId="465" applyNumberFormat="1" applyFont="1" applyFill="1" applyBorder="1" applyAlignment="1">
      <alignment horizontal="left"/>
    </xf>
    <xf numFmtId="0" fontId="18" fillId="0" borderId="0" xfId="465" applyNumberFormat="1" applyFont="1" applyFill="1" applyBorder="1" applyAlignment="1">
      <alignment horizontal="center"/>
    </xf>
    <xf numFmtId="164" fontId="18" fillId="0" borderId="0" xfId="390" applyNumberFormat="1" applyFont="1" applyFill="1" applyBorder="1" applyAlignment="1">
      <alignment horizontal="right"/>
    </xf>
    <xf numFmtId="0" fontId="18" fillId="0" borderId="0" xfId="465" applyFont="1" applyFill="1" applyBorder="1" applyAlignment="1"/>
    <xf numFmtId="0" fontId="35" fillId="0" borderId="0" xfId="465" applyFont="1"/>
    <xf numFmtId="0" fontId="18" fillId="0" borderId="0" xfId="465"/>
    <xf numFmtId="0" fontId="35" fillId="0" borderId="20" xfId="465" applyNumberFormat="1" applyFont="1" applyFill="1" applyBorder="1" applyAlignment="1">
      <alignment horizontal="center"/>
    </xf>
    <xf numFmtId="0" fontId="35" fillId="0" borderId="0" xfId="465" applyFont="1" applyFill="1" applyBorder="1" applyAlignment="1">
      <alignment horizontal="left"/>
    </xf>
    <xf numFmtId="0" fontId="39" fillId="0" borderId="0" xfId="465" applyNumberFormat="1" applyFont="1" applyFill="1" applyBorder="1" applyAlignment="1">
      <alignment horizontal="left"/>
    </xf>
    <xf numFmtId="0" fontId="35" fillId="0" borderId="0" xfId="465" applyFont="1" applyFill="1" applyBorder="1"/>
    <xf numFmtId="0" fontId="35" fillId="0" borderId="20" xfId="465" applyFont="1" applyFill="1" applyBorder="1" applyAlignment="1">
      <alignment horizontal="center"/>
    </xf>
    <xf numFmtId="0" fontId="35" fillId="0" borderId="0" xfId="465" applyFont="1" applyFill="1" applyBorder="1" applyAlignment="1"/>
    <xf numFmtId="0" fontId="35" fillId="0" borderId="21" xfId="465" applyFont="1" applyFill="1" applyBorder="1" applyAlignment="1"/>
    <xf numFmtId="3" fontId="35" fillId="0" borderId="0" xfId="465" applyNumberFormat="1" applyFont="1" applyFill="1" applyBorder="1" applyAlignment="1">
      <alignment horizontal="center"/>
    </xf>
    <xf numFmtId="0" fontId="35" fillId="0" borderId="0" xfId="465" applyFont="1" applyFill="1" applyBorder="1" applyAlignment="1">
      <alignment horizontal="left" wrapText="1"/>
    </xf>
    <xf numFmtId="0" fontId="29" fillId="0" borderId="0" xfId="465" applyNumberFormat="1" applyFont="1" applyFill="1" applyBorder="1" applyAlignment="1">
      <alignment horizontal="center"/>
    </xf>
    <xf numFmtId="0" fontId="29" fillId="0" borderId="0" xfId="465" applyNumberFormat="1" applyFont="1" applyFill="1" applyBorder="1" applyAlignment="1">
      <alignment horizontal="right"/>
    </xf>
    <xf numFmtId="0" fontId="29" fillId="0" borderId="0" xfId="465" applyNumberFormat="1" applyFont="1" applyFill="1" applyBorder="1" applyAlignment="1">
      <alignment horizontal="left"/>
    </xf>
    <xf numFmtId="0" fontId="29" fillId="0" borderId="0" xfId="465" applyFont="1" applyFill="1" applyBorder="1" applyAlignment="1"/>
    <xf numFmtId="0" fontId="29" fillId="0" borderId="0" xfId="465" applyNumberFormat="1" applyFont="1" applyFill="1" applyBorder="1" applyAlignment="1"/>
    <xf numFmtId="0" fontId="18" fillId="0" borderId="24" xfId="465" applyNumberFormat="1" applyFont="1" applyFill="1" applyBorder="1" applyAlignment="1">
      <alignment horizontal="center"/>
    </xf>
    <xf numFmtId="0" fontId="20" fillId="0" borderId="0" xfId="465" applyFont="1" applyFill="1" applyBorder="1" applyAlignment="1"/>
    <xf numFmtId="0" fontId="9" fillId="0" borderId="0" xfId="465" applyNumberFormat="1" applyFont="1" applyFill="1" applyBorder="1" applyAlignment="1"/>
    <xf numFmtId="0" fontId="18" fillId="0" borderId="21" xfId="465" applyFont="1" applyBorder="1"/>
    <xf numFmtId="3" fontId="18" fillId="0" borderId="0" xfId="465" applyNumberFormat="1" applyFont="1" applyFill="1" applyBorder="1" applyAlignment="1">
      <alignment horizontal="center"/>
    </xf>
    <xf numFmtId="0" fontId="18" fillId="0" borderId="21" xfId="465" applyFont="1" applyFill="1" applyBorder="1" applyAlignment="1"/>
    <xf numFmtId="0" fontId="18" fillId="0" borderId="0" xfId="465" applyFont="1" applyFill="1"/>
    <xf numFmtId="0" fontId="18" fillId="0" borderId="10" xfId="465" applyNumberFormat="1" applyFont="1" applyFill="1" applyBorder="1" applyAlignment="1">
      <alignment horizontal="center"/>
    </xf>
    <xf numFmtId="0" fontId="18" fillId="0" borderId="10" xfId="465" applyFont="1" applyFill="1" applyBorder="1"/>
    <xf numFmtId="3" fontId="18" fillId="0" borderId="23" xfId="465" applyNumberFormat="1" applyFont="1" applyFill="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Font="1" applyFill="1" applyBorder="1" applyAlignment="1">
      <alignment horizontal="center"/>
    </xf>
    <xf numFmtId="0" fontId="18" fillId="0" borderId="0" xfId="465" applyFont="1" applyFill="1" applyBorder="1" applyAlignment="1">
      <alignment horizontal="left"/>
    </xf>
    <xf numFmtId="0" fontId="18" fillId="0" borderId="10" xfId="465" applyNumberFormat="1" applyFont="1" applyFill="1" applyBorder="1" applyAlignment="1">
      <alignment horizontal="right"/>
    </xf>
    <xf numFmtId="0" fontId="18" fillId="0" borderId="0" xfId="465" applyFont="1" applyFill="1" applyBorder="1"/>
    <xf numFmtId="0" fontId="18" fillId="0" borderId="10" xfId="465" applyFont="1" applyFill="1" applyBorder="1" applyAlignment="1"/>
    <xf numFmtId="0" fontId="9" fillId="0" borderId="0" xfId="465" applyFont="1" applyFill="1" applyBorder="1" applyAlignment="1"/>
    <xf numFmtId="0" fontId="9" fillId="0" borderId="0" xfId="465" applyFont="1" applyFill="1" applyBorder="1" applyAlignment="1">
      <alignment horizontal="center"/>
    </xf>
    <xf numFmtId="0" fontId="18" fillId="0" borderId="20" xfId="465" applyFont="1" applyFill="1" applyBorder="1"/>
    <xf numFmtId="164" fontId="18" fillId="0" borderId="0" xfId="465" applyNumberFormat="1" applyFont="1" applyFill="1" applyBorder="1" applyAlignment="1">
      <alignment horizontal="center"/>
    </xf>
    <xf numFmtId="0" fontId="9" fillId="0" borderId="20" xfId="465" applyFont="1" applyFill="1" applyBorder="1" applyAlignment="1"/>
    <xf numFmtId="0" fontId="9" fillId="0" borderId="0" xfId="465" applyNumberFormat="1" applyFont="1" applyFill="1" applyBorder="1" applyAlignment="1">
      <alignment horizontal="center"/>
    </xf>
    <xf numFmtId="0" fontId="18" fillId="0" borderId="0" xfId="465" applyFont="1" applyFill="1" applyBorder="1" applyAlignment="1">
      <alignment horizontal="center"/>
    </xf>
    <xf numFmtId="0" fontId="12" fillId="0" borderId="0" xfId="465" applyFont="1" applyFill="1" applyAlignment="1">
      <alignment horizontal="center"/>
    </xf>
    <xf numFmtId="0" fontId="12" fillId="0" borderId="0" xfId="465" applyFont="1" applyFill="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Fill="1" applyAlignment="1">
      <alignment horizontal="left"/>
    </xf>
    <xf numFmtId="0" fontId="12" fillId="0" borderId="0" xfId="465" applyFont="1" applyFill="1" applyAlignment="1">
      <alignment wrapText="1"/>
    </xf>
    <xf numFmtId="0" fontId="12" fillId="0" borderId="0" xfId="465" applyNumberFormat="1" applyFont="1" applyFill="1" applyAlignment="1">
      <alignment horizontal="center"/>
    </xf>
    <xf numFmtId="0" fontId="12" fillId="0" borderId="0" xfId="465" applyNumberFormat="1" applyFont="1" applyFill="1" applyBorder="1" applyAlignment="1">
      <alignment horizontal="left"/>
    </xf>
    <xf numFmtId="0" fontId="12" fillId="0" borderId="0" xfId="465" applyFont="1" applyFill="1" applyBorder="1"/>
    <xf numFmtId="3" fontId="12" fillId="0" borderId="0" xfId="465" applyNumberFormat="1" applyFont="1" applyFill="1" applyAlignment="1"/>
    <xf numFmtId="171" fontId="12" fillId="0" borderId="0" xfId="465" applyNumberFormat="1" applyFont="1" applyFill="1" applyAlignment="1"/>
    <xf numFmtId="3" fontId="12" fillId="0" borderId="0" xfId="465" applyNumberFormat="1" applyFont="1" applyFill="1" applyAlignment="1">
      <alignment horizontal="left"/>
    </xf>
    <xf numFmtId="3" fontId="12" fillId="0" borderId="0" xfId="465" applyNumberFormat="1" applyFont="1" applyFill="1" applyAlignment="1">
      <alignment horizontal="center"/>
    </xf>
    <xf numFmtId="0" fontId="14" fillId="0" borderId="0" xfId="465" applyNumberFormat="1" applyFont="1" applyFill="1" applyAlignment="1"/>
    <xf numFmtId="0" fontId="12" fillId="0" borderId="0" xfId="465" applyFont="1" applyFill="1" applyAlignment="1"/>
    <xf numFmtId="3" fontId="12" fillId="0" borderId="0" xfId="465" quotePrefix="1" applyNumberFormat="1" applyFont="1" applyFill="1" applyAlignment="1">
      <alignment horizontal="right"/>
    </xf>
    <xf numFmtId="0" fontId="12" fillId="0" borderId="0" xfId="465" applyFont="1" applyFill="1" applyAlignment="1">
      <alignment horizontal="right"/>
    </xf>
    <xf numFmtId="0" fontId="12" fillId="0" borderId="14" xfId="465" applyNumberFormat="1" applyFont="1" applyFill="1" applyBorder="1" applyAlignment="1">
      <alignment horizontal="center"/>
    </xf>
    <xf numFmtId="0" fontId="12" fillId="0" borderId="14" xfId="465" applyNumberFormat="1" applyFont="1" applyFill="1" applyBorder="1" applyAlignment="1">
      <alignment horizontal="left"/>
    </xf>
    <xf numFmtId="0" fontId="12" fillId="0" borderId="14" xfId="465" applyFont="1" applyFill="1" applyBorder="1"/>
    <xf numFmtId="3" fontId="12" fillId="0" borderId="14" xfId="465" applyNumberFormat="1" applyFont="1" applyFill="1" applyBorder="1" applyAlignment="1">
      <alignment horizontal="right"/>
    </xf>
    <xf numFmtId="166" fontId="12" fillId="0" borderId="14" xfId="465" applyNumberFormat="1" applyFont="1" applyFill="1" applyBorder="1" applyAlignment="1"/>
    <xf numFmtId="0" fontId="10" fillId="0" borderId="0" xfId="465" applyNumberFormat="1" applyFont="1" applyFill="1" applyBorder="1" applyAlignment="1"/>
    <xf numFmtId="3" fontId="10" fillId="0" borderId="0" xfId="465" quotePrefix="1" applyNumberFormat="1" applyFont="1" applyFill="1" applyBorder="1" applyAlignment="1">
      <alignment horizontal="right"/>
    </xf>
    <xf numFmtId="166" fontId="10" fillId="0" borderId="0" xfId="465" applyNumberFormat="1" applyFont="1" applyFill="1" applyAlignment="1"/>
    <xf numFmtId="0" fontId="10" fillId="0" borderId="0" xfId="465" applyNumberFormat="1" applyFont="1" applyFill="1" applyAlignment="1">
      <alignment horizontal="center"/>
    </xf>
    <xf numFmtId="0" fontId="10" fillId="0" borderId="0" xfId="465" applyFont="1" applyFill="1" applyBorder="1" applyAlignment="1">
      <alignment horizontal="center"/>
    </xf>
    <xf numFmtId="3" fontId="10" fillId="0" borderId="0" xfId="465" applyNumberFormat="1" applyFont="1" applyFill="1" applyBorder="1" applyAlignment="1"/>
    <xf numFmtId="168" fontId="10" fillId="0" borderId="13" xfId="465" applyNumberFormat="1" applyFont="1" applyFill="1" applyBorder="1" applyAlignment="1">
      <alignment horizontal="left"/>
    </xf>
    <xf numFmtId="0" fontId="12" fillId="0" borderId="13" xfId="465" applyFont="1" applyFill="1" applyBorder="1"/>
    <xf numFmtId="3" fontId="10" fillId="0" borderId="13" xfId="465" applyNumberFormat="1" applyFont="1" applyFill="1" applyBorder="1" applyAlignment="1"/>
    <xf numFmtId="169" fontId="10" fillId="0" borderId="13" xfId="465" applyNumberFormat="1" applyFont="1" applyFill="1" applyBorder="1" applyAlignment="1">
      <alignment horizontal="center"/>
    </xf>
    <xf numFmtId="0" fontId="12" fillId="0" borderId="0" xfId="465" applyNumberFormat="1" applyFont="1" applyFill="1" applyAlignment="1"/>
    <xf numFmtId="0" fontId="27" fillId="30" borderId="0" xfId="465" applyFont="1" applyFill="1" applyAlignment="1"/>
    <xf numFmtId="0" fontId="24" fillId="30" borderId="0" xfId="465" applyNumberFormat="1" applyFont="1" applyFill="1" applyAlignment="1">
      <alignment horizontal="left"/>
    </xf>
    <xf numFmtId="0" fontId="26" fillId="30" borderId="0" xfId="465" applyFont="1" applyFill="1" applyBorder="1" applyAlignment="1">
      <alignment horizontal="center"/>
    </xf>
    <xf numFmtId="3" fontId="12" fillId="30" borderId="0" xfId="465" applyNumberFormat="1" applyFont="1" applyFill="1" applyBorder="1" applyAlignment="1"/>
    <xf numFmtId="168" fontId="10" fillId="0" borderId="0" xfId="465" applyNumberFormat="1" applyFont="1" applyFill="1" applyBorder="1" applyAlignment="1">
      <alignment horizontal="left"/>
    </xf>
    <xf numFmtId="169" fontId="12" fillId="0" borderId="0" xfId="465" applyNumberFormat="1" applyFont="1" applyFill="1" applyAlignment="1">
      <alignment horizontal="center"/>
    </xf>
    <xf numFmtId="0" fontId="19" fillId="0" borderId="0" xfId="465" applyNumberFormat="1" applyFont="1" applyFill="1"/>
    <xf numFmtId="10" fontId="19" fillId="0" borderId="0" xfId="465" applyNumberFormat="1" applyFont="1" applyFill="1"/>
    <xf numFmtId="0" fontId="14" fillId="0" borderId="0" xfId="465" applyFont="1" applyFill="1" applyBorder="1" applyAlignment="1">
      <alignment horizontal="center"/>
    </xf>
    <xf numFmtId="10" fontId="12" fillId="0" borderId="0" xfId="465" applyNumberFormat="1" applyFont="1" applyFill="1" applyAlignment="1">
      <alignment horizontal="right"/>
    </xf>
    <xf numFmtId="168" fontId="12" fillId="0" borderId="0" xfId="465" applyNumberFormat="1" applyFont="1" applyFill="1" applyAlignment="1">
      <alignment horizontal="center"/>
    </xf>
    <xf numFmtId="168" fontId="12" fillId="0" borderId="0" xfId="465" applyNumberFormat="1" applyFont="1" applyFill="1" applyAlignment="1">
      <alignment horizontal="left"/>
    </xf>
    <xf numFmtId="10" fontId="12" fillId="0" borderId="0" xfId="634" applyNumberFormat="1" applyFont="1" applyFill="1" applyAlignment="1"/>
    <xf numFmtId="0" fontId="12" fillId="0" borderId="0" xfId="465" applyNumberFormat="1" applyFont="1" applyFill="1" applyAlignment="1">
      <alignment horizontal="left"/>
    </xf>
    <xf numFmtId="0" fontId="12" fillId="0" borderId="0" xfId="465" applyNumberFormat="1" applyFont="1" applyFill="1" applyBorder="1" applyAlignment="1">
      <alignment horizontal="center"/>
    </xf>
    <xf numFmtId="0" fontId="23" fillId="0" borderId="14" xfId="465" applyNumberFormat="1" applyFont="1" applyFill="1" applyBorder="1" applyAlignment="1">
      <alignment horizontal="left"/>
    </xf>
    <xf numFmtId="3" fontId="22" fillId="0" borderId="0" xfId="465" applyNumberFormat="1" applyFont="1" applyFill="1" applyBorder="1" applyAlignment="1">
      <alignment horizontal="right"/>
    </xf>
    <xf numFmtId="0" fontId="10" fillId="0" borderId="12" xfId="465" applyNumberFormat="1" applyFont="1" applyFill="1" applyBorder="1" applyAlignment="1">
      <alignment horizontal="left"/>
    </xf>
    <xf numFmtId="0" fontId="38" fillId="0" borderId="12" xfId="465" applyNumberFormat="1" applyFont="1" applyFill="1" applyBorder="1" applyAlignment="1">
      <alignment horizontal="left"/>
    </xf>
    <xf numFmtId="3" fontId="22" fillId="0" borderId="12" xfId="465" applyNumberFormat="1" applyFont="1" applyFill="1" applyBorder="1" applyAlignment="1">
      <alignment horizontal="right"/>
    </xf>
    <xf numFmtId="3" fontId="24" fillId="0" borderId="12" xfId="465" applyNumberFormat="1" applyFont="1" applyFill="1" applyBorder="1" applyAlignment="1">
      <alignment horizontal="right"/>
    </xf>
    <xf numFmtId="0" fontId="10" fillId="0" borderId="0" xfId="465" applyNumberFormat="1" applyFont="1" applyFill="1" applyBorder="1" applyAlignment="1">
      <alignment horizontal="left"/>
    </xf>
    <xf numFmtId="0" fontId="10" fillId="0" borderId="0" xfId="465" applyFont="1" applyFill="1"/>
    <xf numFmtId="164" fontId="10" fillId="0" borderId="0" xfId="390" applyNumberFormat="1" applyFont="1" applyFill="1" applyAlignment="1"/>
    <xf numFmtId="0" fontId="18" fillId="0" borderId="0" xfId="465" applyFill="1"/>
    <xf numFmtId="3" fontId="23" fillId="0" borderId="0" xfId="465" applyNumberFormat="1" applyFont="1" applyFill="1" applyBorder="1" applyAlignment="1">
      <alignment horizontal="right"/>
    </xf>
    <xf numFmtId="0" fontId="10" fillId="0" borderId="13" xfId="465" applyFont="1" applyFill="1" applyBorder="1" applyAlignment="1">
      <alignment horizontal="center"/>
    </xf>
    <xf numFmtId="169" fontId="10" fillId="0" borderId="13" xfId="465" applyNumberFormat="1" applyFont="1" applyFill="1" applyBorder="1" applyAlignment="1"/>
    <xf numFmtId="164" fontId="10" fillId="0" borderId="13" xfId="390" applyNumberFormat="1" applyFont="1" applyFill="1" applyBorder="1" applyAlignment="1">
      <alignment horizontal="right"/>
    </xf>
    <xf numFmtId="3" fontId="12" fillId="0" borderId="0" xfId="465" applyNumberFormat="1" applyFont="1" applyFill="1" applyAlignment="1">
      <alignment horizontal="right"/>
    </xf>
    <xf numFmtId="169" fontId="12" fillId="0" borderId="0" xfId="465" applyNumberFormat="1" applyFont="1" applyFill="1" applyAlignment="1"/>
    <xf numFmtId="0" fontId="18" fillId="0" borderId="0" xfId="465" applyFill="1" applyBorder="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0" fontId="18" fillId="0" borderId="20" xfId="465" applyFont="1" applyBorder="1" applyAlignment="1"/>
    <xf numFmtId="0" fontId="12" fillId="0" borderId="14" xfId="0" applyNumberFormat="1" applyFont="1" applyBorder="1" applyAlignment="1"/>
    <xf numFmtId="173" fontId="0" fillId="0" borderId="0" xfId="0" applyNumberFormat="1" applyBorder="1"/>
    <xf numFmtId="43" fontId="0" fillId="0" borderId="0" xfId="381" applyFont="1" applyBorder="1"/>
    <xf numFmtId="43" fontId="0" fillId="0" borderId="0" xfId="0" applyNumberFormat="1" applyBorder="1"/>
    <xf numFmtId="3" fontId="12" fillId="0" borderId="0" xfId="0" applyNumberFormat="1" applyFont="1" applyBorder="1" applyAlignment="1"/>
    <xf numFmtId="164" fontId="10" fillId="0" borderId="0" xfId="381" applyNumberFormat="1" applyFont="1" applyFill="1" applyBorder="1" applyAlignment="1"/>
    <xf numFmtId="3" fontId="12" fillId="0" borderId="0" xfId="0" applyNumberFormat="1" applyFont="1" applyFill="1" applyBorder="1" applyAlignment="1"/>
    <xf numFmtId="10" fontId="12" fillId="0" borderId="0" xfId="465" applyNumberFormat="1" applyFont="1" applyFill="1" applyAlignment="1"/>
    <xf numFmtId="0" fontId="18" fillId="0" borderId="22" xfId="465" applyFont="1" applyFill="1" applyBorder="1"/>
    <xf numFmtId="0" fontId="9" fillId="0" borderId="20" xfId="465" applyNumberFormat="1" applyFont="1" applyFill="1" applyBorder="1" applyAlignment="1">
      <alignment horizontal="center"/>
    </xf>
    <xf numFmtId="0" fontId="40" fillId="30" borderId="0" xfId="465" applyFont="1" applyFill="1"/>
    <xf numFmtId="0" fontId="26" fillId="30" borderId="0" xfId="465" applyNumberFormat="1" applyFont="1" applyFill="1" applyAlignment="1">
      <alignment horizontal="left"/>
    </xf>
    <xf numFmtId="164" fontId="18" fillId="0" borderId="0" xfId="465" applyNumberFormat="1" applyFont="1" applyFill="1" applyBorder="1" applyAlignment="1"/>
    <xf numFmtId="164" fontId="9" fillId="0" borderId="0" xfId="390" applyNumberFormat="1" applyFont="1" applyFill="1" applyBorder="1"/>
    <xf numFmtId="0" fontId="51" fillId="0" borderId="20" xfId="0" applyFont="1" applyFill="1" applyBorder="1"/>
    <xf numFmtId="164" fontId="51" fillId="0" borderId="0" xfId="381" applyNumberFormat="1" applyFont="1" applyFill="1" applyBorder="1"/>
    <xf numFmtId="0" fontId="51" fillId="0" borderId="21" xfId="0" applyFont="1" applyFill="1" applyBorder="1"/>
    <xf numFmtId="0" fontId="52" fillId="0" borderId="0" xfId="465" applyFont="1"/>
    <xf numFmtId="0" fontId="52" fillId="0" borderId="0" xfId="465" applyFont="1" applyBorder="1"/>
    <xf numFmtId="0" fontId="55" fillId="0" borderId="0" xfId="0" applyFont="1"/>
    <xf numFmtId="0" fontId="53" fillId="0" borderId="0" xfId="0" applyFont="1" applyBorder="1"/>
    <xf numFmtId="0" fontId="54" fillId="0" borderId="0" xfId="0" applyFont="1" applyBorder="1"/>
    <xf numFmtId="0" fontId="52" fillId="0" borderId="0" xfId="465" applyFont="1" applyFill="1" applyBorder="1" applyAlignment="1">
      <alignment horizontal="center" wrapText="1"/>
    </xf>
    <xf numFmtId="0" fontId="52" fillId="0" borderId="22" xfId="465" applyNumberFormat="1" applyFont="1" applyFill="1" applyBorder="1" applyAlignment="1">
      <alignment horizontal="center"/>
    </xf>
    <xf numFmtId="0" fontId="52" fillId="0" borderId="10" xfId="465" applyNumberFormat="1" applyFont="1" applyFill="1" applyBorder="1" applyAlignment="1">
      <alignment horizontal="left"/>
    </xf>
    <xf numFmtId="0" fontId="52" fillId="0" borderId="10" xfId="465" applyFont="1" applyBorder="1" applyAlignment="1">
      <alignment horizontal="center"/>
    </xf>
    <xf numFmtId="0" fontId="18" fillId="0" borderId="21" xfId="465" applyFont="1" applyFill="1" applyBorder="1" applyAlignment="1">
      <alignment horizontal="left" wrapText="1"/>
    </xf>
    <xf numFmtId="0" fontId="18" fillId="0" borderId="20" xfId="465" applyFont="1" applyFill="1" applyBorder="1" applyAlignment="1">
      <alignment horizontal="center"/>
    </xf>
    <xf numFmtId="164" fontId="18" fillId="0" borderId="21" xfId="390" applyNumberFormat="1" applyFont="1" applyFill="1" applyBorder="1" applyAlignment="1">
      <alignment horizontal="right"/>
    </xf>
    <xf numFmtId="0" fontId="18" fillId="0" borderId="23" xfId="465" applyNumberFormat="1" applyFont="1" applyFill="1" applyBorder="1" applyAlignment="1">
      <alignment horizontal="center"/>
    </xf>
    <xf numFmtId="0" fontId="18" fillId="0" borderId="25" xfId="465" applyNumberFormat="1" applyFont="1" applyFill="1" applyBorder="1" applyAlignment="1">
      <alignment horizontal="center"/>
    </xf>
    <xf numFmtId="0" fontId="9" fillId="0" borderId="24" xfId="465" applyNumberFormat="1" applyFont="1" applyFill="1" applyBorder="1" applyAlignment="1">
      <alignment horizontal="left"/>
    </xf>
    <xf numFmtId="0" fontId="18" fillId="0" borderId="24" xfId="465" applyFont="1" applyFill="1" applyBorder="1" applyAlignment="1"/>
    <xf numFmtId="0" fontId="18" fillId="0" borderId="24" xfId="465" applyNumberFormat="1" applyFont="1" applyFill="1" applyBorder="1" applyAlignment="1">
      <alignment horizontal="left"/>
    </xf>
    <xf numFmtId="0" fontId="9" fillId="0" borderId="20" xfId="465" applyFont="1" applyFill="1" applyBorder="1" applyAlignment="1">
      <alignment horizontal="center"/>
    </xf>
    <xf numFmtId="0" fontId="18" fillId="0" borderId="23" xfId="465" applyFont="1" applyFill="1" applyBorder="1" applyAlignment="1">
      <alignment horizontal="left" wrapText="1"/>
    </xf>
    <xf numFmtId="0" fontId="39" fillId="0" borderId="0" xfId="465" applyNumberFormat="1" applyFont="1" applyFill="1" applyBorder="1" applyAlignment="1"/>
    <xf numFmtId="0" fontId="35" fillId="0" borderId="0" xfId="465" applyNumberFormat="1" applyFont="1" applyFill="1" applyBorder="1" applyAlignment="1">
      <alignment horizontal="left"/>
    </xf>
    <xf numFmtId="0" fontId="35" fillId="0" borderId="0" xfId="465" applyNumberFormat="1" applyFont="1" applyFill="1" applyBorder="1" applyAlignment="1">
      <alignment horizontal="center"/>
    </xf>
    <xf numFmtId="0" fontId="35" fillId="0" borderId="21" xfId="465" applyNumberFormat="1" applyFont="1" applyFill="1" applyBorder="1" applyAlignment="1">
      <alignment horizontal="center"/>
    </xf>
    <xf numFmtId="0" fontId="35" fillId="0" borderId="0" xfId="465" applyFont="1" applyFill="1" applyBorder="1" applyAlignment="1">
      <alignment horizontal="center"/>
    </xf>
    <xf numFmtId="3" fontId="35" fillId="0" borderId="21" xfId="465" applyNumberFormat="1" applyFont="1" applyFill="1" applyBorder="1" applyAlignment="1"/>
    <xf numFmtId="0" fontId="35" fillId="0" borderId="10" xfId="465" applyFont="1" applyFill="1" applyBorder="1" applyAlignment="1"/>
    <xf numFmtId="0" fontId="9" fillId="0" borderId="0" xfId="465" applyFont="1" applyFill="1" applyBorder="1" applyAlignment="1">
      <alignment horizontal="left"/>
    </xf>
    <xf numFmtId="0" fontId="18" fillId="0" borderId="0" xfId="465" applyFont="1" applyAlignment="1">
      <alignment horizontal="left"/>
    </xf>
    <xf numFmtId="1" fontId="18" fillId="0" borderId="14" xfId="465" applyNumberFormat="1" applyFont="1" applyFill="1" applyBorder="1" applyAlignment="1">
      <alignment horizontal="center"/>
    </xf>
    <xf numFmtId="3" fontId="18" fillId="0" borderId="0" xfId="465" applyNumberFormat="1" applyFont="1" applyFill="1" applyBorder="1" applyAlignment="1"/>
    <xf numFmtId="0" fontId="44" fillId="0" borderId="0" xfId="465" applyNumberFormat="1" applyFont="1" applyFill="1" applyBorder="1" applyAlignment="1">
      <alignment horizontal="left"/>
    </xf>
    <xf numFmtId="3" fontId="18" fillId="0" borderId="0" xfId="465" applyNumberFormat="1" applyFont="1" applyBorder="1" applyAlignment="1">
      <alignment horizontal="right"/>
    </xf>
    <xf numFmtId="0" fontId="18" fillId="0" borderId="10" xfId="465" applyFont="1" applyBorder="1" applyAlignment="1"/>
    <xf numFmtId="0" fontId="29" fillId="0" borderId="0" xfId="0" applyNumberFormat="1" applyFont="1" applyFill="1" applyBorder="1" applyAlignment="1">
      <alignment horizontal="left"/>
    </xf>
    <xf numFmtId="0" fontId="29" fillId="0" borderId="0" xfId="0" applyFont="1" applyFill="1" applyBorder="1" applyAlignment="1">
      <alignment horizontal="left"/>
    </xf>
    <xf numFmtId="164" fontId="9" fillId="0" borderId="0" xfId="381" applyNumberFormat="1" applyFont="1" applyBorder="1"/>
    <xf numFmtId="164" fontId="9" fillId="0" borderId="10" xfId="381" applyNumberFormat="1" applyFont="1" applyFill="1" applyBorder="1"/>
    <xf numFmtId="0" fontId="10" fillId="0" borderId="0" xfId="0" applyFont="1" applyFill="1" applyBorder="1" applyAlignment="1"/>
    <xf numFmtId="0" fontId="10" fillId="0" borderId="0" xfId="0" applyNumberFormat="1" applyFont="1" applyFill="1" applyBorder="1" applyAlignment="1">
      <alignment horizontal="center"/>
    </xf>
    <xf numFmtId="0" fontId="10" fillId="30" borderId="0" xfId="0" applyNumberFormat="1" applyFont="1" applyFill="1" applyBorder="1" applyAlignment="1">
      <alignment horizontal="center"/>
    </xf>
    <xf numFmtId="3" fontId="12" fillId="0" borderId="13" xfId="0" applyNumberFormat="1" applyFont="1" applyFill="1" applyBorder="1" applyAlignment="1">
      <alignment horizontal="center"/>
    </xf>
    <xf numFmtId="3" fontId="12" fillId="0" borderId="12" xfId="0" applyNumberFormat="1" applyFont="1" applyFill="1" applyBorder="1" applyAlignment="1"/>
    <xf numFmtId="0" fontId="12" fillId="0" borderId="0" xfId="0" applyNumberFormat="1" applyFont="1" applyBorder="1" applyAlignment="1"/>
    <xf numFmtId="3" fontId="12" fillId="0" borderId="0" xfId="0" applyNumberFormat="1" applyFont="1" applyBorder="1" applyAlignment="1">
      <alignment horizontal="center"/>
    </xf>
    <xf numFmtId="0" fontId="10" fillId="0" borderId="12" xfId="0" applyNumberFormat="1" applyFont="1" applyFill="1" applyBorder="1" applyAlignment="1">
      <alignment horizontal="left"/>
    </xf>
    <xf numFmtId="0" fontId="10" fillId="0" borderId="12" xfId="0" applyFont="1" applyFill="1" applyBorder="1"/>
    <xf numFmtId="0" fontId="10" fillId="0" borderId="12" xfId="0" applyFont="1" applyFill="1" applyBorder="1" applyAlignment="1">
      <alignment horizontal="left"/>
    </xf>
    <xf numFmtId="0" fontId="10" fillId="0" borderId="12" xfId="0" applyFont="1" applyFill="1" applyBorder="1" applyAlignment="1">
      <alignment horizontal="center"/>
    </xf>
    <xf numFmtId="0" fontId="10" fillId="0" borderId="0" xfId="0" applyFont="1" applyBorder="1" applyAlignment="1">
      <alignment horizontal="left"/>
    </xf>
    <xf numFmtId="3" fontId="12" fillId="0" borderId="12" xfId="0" applyNumberFormat="1" applyFont="1" applyFill="1" applyBorder="1" applyAlignment="1">
      <alignment horizontal="center"/>
    </xf>
    <xf numFmtId="3" fontId="12" fillId="0" borderId="13" xfId="0" applyNumberFormat="1" applyFont="1" applyBorder="1" applyAlignment="1">
      <alignment horizontal="center"/>
    </xf>
    <xf numFmtId="0" fontId="12" fillId="0" borderId="0" xfId="0" applyNumberFormat="1" applyFont="1" applyFill="1" applyBorder="1" applyAlignment="1">
      <alignment horizontal="left"/>
    </xf>
    <xf numFmtId="0" fontId="10" fillId="0" borderId="13" xfId="0" applyNumberFormat="1" applyFont="1" applyBorder="1" applyAlignment="1">
      <alignment horizontal="left"/>
    </xf>
    <xf numFmtId="0" fontId="10" fillId="0" borderId="13" xfId="0" applyNumberFormat="1" applyFont="1" applyBorder="1" applyAlignment="1">
      <alignment horizontal="center"/>
    </xf>
    <xf numFmtId="0" fontId="12" fillId="0" borderId="0" xfId="0" applyNumberFormat="1" applyFont="1" applyFill="1" applyBorder="1" applyAlignment="1"/>
    <xf numFmtId="168" fontId="12" fillId="0" borderId="0" xfId="0" applyNumberFormat="1" applyFont="1" applyBorder="1" applyAlignment="1">
      <alignment horizontal="left"/>
    </xf>
    <xf numFmtId="0" fontId="21" fillId="0" borderId="15" xfId="0" applyNumberFormat="1" applyFont="1" applyFill="1" applyBorder="1" applyAlignment="1"/>
    <xf numFmtId="0" fontId="21" fillId="0" borderId="15" xfId="0" applyFont="1" applyFill="1" applyBorder="1" applyAlignment="1"/>
    <xf numFmtId="3" fontId="21" fillId="0" borderId="15" xfId="0" applyNumberFormat="1" applyFont="1" applyBorder="1" applyAlignment="1">
      <alignment horizontal="center"/>
    </xf>
    <xf numFmtId="0" fontId="21" fillId="0" borderId="0" xfId="0" applyNumberFormat="1" applyFont="1" applyFill="1" applyBorder="1" applyAlignment="1"/>
    <xf numFmtId="0" fontId="21" fillId="0" borderId="0" xfId="0" applyFont="1" applyFill="1" applyBorder="1" applyAlignment="1"/>
    <xf numFmtId="3" fontId="21" fillId="0" borderId="0" xfId="0" applyNumberFormat="1" applyFont="1" applyBorder="1" applyAlignment="1">
      <alignment horizontal="center"/>
    </xf>
    <xf numFmtId="3" fontId="12" fillId="0" borderId="0" xfId="0" applyNumberFormat="1" applyFont="1" applyFill="1" applyBorder="1"/>
    <xf numFmtId="0" fontId="12" fillId="0" borderId="14" xfId="0" applyNumberFormat="1" applyFont="1" applyFill="1" applyBorder="1" applyAlignment="1"/>
    <xf numFmtId="0" fontId="21" fillId="0" borderId="14" xfId="0" applyFont="1" applyFill="1" applyBorder="1" applyAlignment="1"/>
    <xf numFmtId="10" fontId="12" fillId="0" borderId="0" xfId="633" applyNumberFormat="1" applyFont="1" applyFill="1" applyBorder="1"/>
    <xf numFmtId="0" fontId="15" fillId="0" borderId="0" xfId="0" applyFont="1" applyFill="1" applyBorder="1" applyAlignment="1">
      <alignment horizontal="center"/>
    </xf>
    <xf numFmtId="37" fontId="12" fillId="0" borderId="0" xfId="0" applyNumberFormat="1" applyFont="1" applyBorder="1" applyAlignment="1">
      <alignment horizontal="left"/>
    </xf>
    <xf numFmtId="0" fontId="15" fillId="0" borderId="0" xfId="0" applyFont="1" applyBorder="1" applyAlignment="1">
      <alignment horizontal="center"/>
    </xf>
    <xf numFmtId="0" fontId="10" fillId="0" borderId="0" xfId="0" applyNumberFormat="1" applyFont="1" applyBorder="1" applyAlignment="1">
      <alignment horizontal="center"/>
    </xf>
    <xf numFmtId="37" fontId="12" fillId="0" borderId="0" xfId="0" applyNumberFormat="1" applyFont="1" applyFill="1" applyBorder="1" applyAlignment="1">
      <alignment horizontal="left"/>
    </xf>
    <xf numFmtId="3" fontId="12" fillId="30" borderId="0" xfId="0" applyNumberFormat="1" applyFont="1" applyFill="1" applyAlignment="1">
      <alignment horizontal="center"/>
    </xf>
    <xf numFmtId="49" fontId="61" fillId="0" borderId="0" xfId="0" applyNumberFormat="1" applyFont="1" applyFill="1" applyBorder="1" applyAlignment="1">
      <alignment horizontal="left"/>
    </xf>
    <xf numFmtId="0" fontId="8" fillId="0" borderId="0" xfId="465" applyFont="1" applyFill="1"/>
    <xf numFmtId="0" fontId="8" fillId="0" borderId="0" xfId="465" applyFont="1"/>
    <xf numFmtId="0" fontId="9" fillId="0" borderId="0" xfId="465" applyFont="1" applyFill="1" applyBorder="1" applyAlignment="1">
      <alignment horizontal="center" wrapText="1"/>
    </xf>
    <xf numFmtId="0" fontId="51" fillId="0" borderId="0" xfId="0" applyFont="1" applyFill="1" applyBorder="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applyFont="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Fill="1" applyBorder="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applyFill="1" applyBorder="1" applyAlignment="1"/>
    <xf numFmtId="3" fontId="18" fillId="0" borderId="10" xfId="465" applyNumberFormat="1" applyFont="1" applyFill="1" applyBorder="1" applyAlignment="1">
      <alignment horizontal="left"/>
    </xf>
    <xf numFmtId="0" fontId="12" fillId="0" borderId="12" xfId="0" applyNumberFormat="1" applyFont="1" applyFill="1" applyBorder="1" applyAlignment="1"/>
    <xf numFmtId="164" fontId="12" fillId="30" borderId="0" xfId="381" applyNumberFormat="1" applyFont="1" applyFill="1"/>
    <xf numFmtId="164" fontId="52" fillId="0" borderId="0" xfId="465" applyNumberFormat="1" applyFont="1" applyBorder="1" applyAlignment="1">
      <alignment horizontal="center"/>
    </xf>
    <xf numFmtId="0" fontId="30" fillId="0" borderId="0" xfId="0" applyFont="1" applyAlignment="1">
      <alignment horizontal="left"/>
    </xf>
    <xf numFmtId="0" fontId="14" fillId="0" borderId="14" xfId="0" applyFont="1" applyBorder="1" applyAlignment="1">
      <alignment horizontal="right"/>
    </xf>
    <xf numFmtId="3" fontId="59" fillId="0" borderId="13" xfId="0" applyNumberFormat="1" applyFont="1" applyBorder="1" applyAlignment="1">
      <alignment horizontal="right"/>
    </xf>
    <xf numFmtId="0" fontId="12" fillId="0" borderId="14" xfId="0" applyFont="1" applyFill="1" applyBorder="1"/>
    <xf numFmtId="0" fontId="12" fillId="0" borderId="14" xfId="0" applyFont="1" applyFill="1" applyBorder="1" applyAlignment="1"/>
    <xf numFmtId="0" fontId="0" fillId="30" borderId="0" xfId="0" applyFill="1"/>
    <xf numFmtId="0" fontId="10" fillId="0" borderId="0" xfId="0" applyFont="1" applyBorder="1"/>
    <xf numFmtId="3" fontId="12" fillId="0" borderId="14" xfId="473" applyNumberFormat="1" applyFont="1" applyFill="1" applyBorder="1" applyAlignment="1"/>
    <xf numFmtId="164" fontId="0" fillId="0" borderId="0" xfId="0" applyNumberFormat="1"/>
    <xf numFmtId="0" fontId="51" fillId="0" borderId="0" xfId="0" applyFont="1" applyFill="1"/>
    <xf numFmtId="164" fontId="18" fillId="0" borderId="12" xfId="381" applyNumberFormat="1" applyFont="1" applyFill="1" applyBorder="1" applyAlignment="1">
      <alignment wrapText="1"/>
    </xf>
    <xf numFmtId="167" fontId="0" fillId="0" borderId="0" xfId="0" applyNumberFormat="1" applyFill="1"/>
    <xf numFmtId="164" fontId="8" fillId="0" borderId="0" xfId="381" applyNumberFormat="1" applyFill="1" applyAlignment="1"/>
    <xf numFmtId="164" fontId="8" fillId="0" borderId="0" xfId="381" applyNumberFormat="1" applyFill="1" applyAlignment="1">
      <alignment wrapText="1"/>
    </xf>
    <xf numFmtId="0" fontId="51" fillId="0" borderId="14" xfId="0" applyFont="1" applyFill="1" applyBorder="1"/>
    <xf numFmtId="164" fontId="8" fillId="0" borderId="0" xfId="465" applyNumberFormat="1" applyFont="1" applyFill="1" applyBorder="1" applyAlignment="1">
      <alignment horizontal="center" wrapText="1"/>
    </xf>
    <xf numFmtId="168" fontId="8" fillId="0" borderId="0" xfId="633" applyNumberFormat="1" applyFont="1" applyFill="1" applyBorder="1" applyAlignment="1">
      <alignment horizontal="center" wrapText="1"/>
    </xf>
    <xf numFmtId="3" fontId="18" fillId="0" borderId="0" xfId="465" applyNumberFormat="1" applyFont="1" applyFill="1" applyBorder="1" applyAlignment="1">
      <alignment horizontal="right"/>
    </xf>
    <xf numFmtId="164" fontId="18" fillId="0" borderId="0" xfId="465" applyNumberFormat="1" applyFont="1" applyFill="1" applyBorder="1" applyAlignment="1">
      <alignment horizontal="right"/>
    </xf>
    <xf numFmtId="164" fontId="18" fillId="0" borderId="10" xfId="390" applyNumberFormat="1" applyFont="1" applyFill="1" applyBorder="1" applyAlignment="1">
      <alignment horizontal="right"/>
    </xf>
    <xf numFmtId="0" fontId="52" fillId="0" borderId="0" xfId="465" applyFont="1" applyFill="1" applyBorder="1" applyAlignment="1"/>
    <xf numFmtId="164" fontId="18" fillId="0" borderId="0" xfId="465" applyNumberFormat="1" applyFont="1" applyFill="1" applyBorder="1"/>
    <xf numFmtId="0" fontId="52" fillId="0" borderId="10" xfId="465" applyNumberFormat="1" applyFont="1" applyFill="1" applyBorder="1" applyAlignment="1">
      <alignment horizontal="center"/>
    </xf>
    <xf numFmtId="164" fontId="52" fillId="0" borderId="10" xfId="390" applyNumberFormat="1" applyFont="1" applyFill="1" applyBorder="1" applyAlignment="1">
      <alignment horizontal="right"/>
    </xf>
    <xf numFmtId="0" fontId="51" fillId="0" borderId="25" xfId="0" applyFont="1" applyFill="1" applyBorder="1"/>
    <xf numFmtId="0" fontId="51" fillId="0" borderId="24" xfId="0" applyFont="1" applyFill="1" applyBorder="1"/>
    <xf numFmtId="0" fontId="51" fillId="0" borderId="29" xfId="0" applyFont="1" applyFill="1" applyBorder="1"/>
    <xf numFmtId="41" fontId="51" fillId="0" borderId="0" xfId="381" applyNumberFormat="1" applyFont="1" applyFill="1" applyBorder="1"/>
    <xf numFmtId="9" fontId="51" fillId="0" borderId="21" xfId="633" applyFont="1" applyFill="1" applyBorder="1"/>
    <xf numFmtId="0" fontId="51" fillId="0" borderId="30" xfId="0" applyFont="1" applyFill="1" applyBorder="1"/>
    <xf numFmtId="0" fontId="51" fillId="0" borderId="31" xfId="0" applyFont="1" applyFill="1" applyBorder="1"/>
    <xf numFmtId="0" fontId="48" fillId="0" borderId="20" xfId="0" applyFont="1" applyFill="1" applyBorder="1"/>
    <xf numFmtId="0" fontId="48" fillId="0" borderId="0" xfId="0" applyFont="1" applyFill="1" applyBorder="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Fill="1" applyBorder="1"/>
    <xf numFmtId="0" fontId="51" fillId="0" borderId="10" xfId="0" applyFont="1" applyFill="1" applyBorder="1"/>
    <xf numFmtId="0" fontId="51" fillId="0" borderId="23" xfId="0" applyFont="1" applyFill="1" applyBorder="1"/>
    <xf numFmtId="0" fontId="50" fillId="0" borderId="0" xfId="552" applyFont="1" applyBorder="1" applyAlignment="1">
      <alignment horizontal="center"/>
    </xf>
    <xf numFmtId="0" fontId="9" fillId="0" borderId="14" xfId="0" applyFont="1" applyBorder="1" applyAlignment="1">
      <alignment horizontal="center"/>
    </xf>
    <xf numFmtId="0" fontId="8" fillId="0" borderId="0" xfId="465" applyFont="1" applyBorder="1"/>
    <xf numFmtId="41" fontId="8" fillId="0" borderId="0" xfId="381" applyNumberFormat="1" applyFont="1"/>
    <xf numFmtId="41" fontId="0" fillId="0" borderId="0" xfId="0" applyNumberFormat="1"/>
    <xf numFmtId="0" fontId="8" fillId="0" borderId="0" xfId="465" applyFont="1" applyBorder="1" applyAlignment="1"/>
    <xf numFmtId="41" fontId="8" fillId="0" borderId="0" xfId="381" applyNumberFormat="1" applyFont="1" applyFill="1"/>
    <xf numFmtId="43" fontId="0" fillId="0" borderId="0" xfId="381" applyFont="1"/>
    <xf numFmtId="0" fontId="9" fillId="0" borderId="0" xfId="0" applyFont="1" applyBorder="1" applyAlignment="1">
      <alignment horizontal="center"/>
    </xf>
    <xf numFmtId="0" fontId="9" fillId="0" borderId="0" xfId="0" applyFont="1" applyBorder="1" applyAlignment="1">
      <alignment horizontal="left"/>
    </xf>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Fill="1" applyBorder="1" applyAlignment="1">
      <alignment horizontal="center"/>
    </xf>
    <xf numFmtId="1" fontId="9" fillId="0" borderId="0" xfId="0" applyNumberFormat="1" applyFont="1" applyFill="1" applyBorder="1" applyAlignment="1">
      <alignment horizontal="center"/>
    </xf>
    <xf numFmtId="164" fontId="9" fillId="0" borderId="26" xfId="381" applyNumberFormat="1" applyFont="1" applyFill="1" applyBorder="1" applyAlignment="1">
      <alignment horizontal="center"/>
    </xf>
    <xf numFmtId="1" fontId="9" fillId="0" borderId="26" xfId="0" applyNumberFormat="1" applyFont="1" applyFill="1" applyBorder="1" applyAlignment="1">
      <alignment horizontal="center"/>
    </xf>
    <xf numFmtId="0" fontId="8" fillId="0" borderId="0" xfId="477" applyFont="1" applyFill="1" applyBorder="1"/>
    <xf numFmtId="0" fontId="8" fillId="0" borderId="0" xfId="477" applyFont="1" applyBorder="1" applyAlignment="1"/>
    <xf numFmtId="0" fontId="8" fillId="0" borderId="0" xfId="477" applyFont="1" applyBorder="1"/>
    <xf numFmtId="0" fontId="70" fillId="0" borderId="0" xfId="0" applyFont="1" applyFill="1"/>
    <xf numFmtId="0" fontId="10" fillId="0" borderId="28" xfId="0" applyFont="1" applyFill="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Fill="1" applyBorder="1"/>
    <xf numFmtId="164" fontId="12" fillId="30" borderId="28" xfId="381" applyNumberFormat="1" applyFont="1" applyFill="1" applyBorder="1"/>
    <xf numFmtId="3" fontId="10" fillId="0" borderId="34" xfId="0" applyNumberFormat="1" applyFont="1" applyFill="1" applyBorder="1" applyAlignment="1"/>
    <xf numFmtId="3" fontId="10" fillId="0" borderId="33" xfId="0" applyNumberFormat="1" applyFont="1" applyFill="1" applyBorder="1"/>
    <xf numFmtId="3" fontId="12" fillId="0" borderId="28" xfId="0" applyNumberFormat="1" applyFont="1" applyFill="1" applyBorder="1" applyAlignment="1"/>
    <xf numFmtId="164" fontId="12" fillId="0" borderId="35" xfId="381" applyNumberFormat="1" applyFont="1" applyBorder="1"/>
    <xf numFmtId="164" fontId="10" fillId="0" borderId="28" xfId="381" applyNumberFormat="1" applyFont="1" applyBorder="1"/>
    <xf numFmtId="3" fontId="10" fillId="0" borderId="33" xfId="0" applyNumberFormat="1" applyFont="1" applyBorder="1"/>
    <xf numFmtId="164" fontId="10" fillId="0" borderId="28" xfId="381" applyNumberFormat="1" applyFont="1" applyFill="1" applyBorder="1"/>
    <xf numFmtId="3" fontId="10" fillId="0" borderId="33" xfId="0" applyNumberFormat="1" applyFont="1" applyFill="1" applyBorder="1" applyAlignment="1"/>
    <xf numFmtId="3" fontId="10" fillId="0" borderId="33" xfId="0" applyNumberFormat="1" applyFont="1" applyFill="1" applyBorder="1" applyAlignment="1">
      <alignment horizontal="right"/>
    </xf>
    <xf numFmtId="3" fontId="12" fillId="0" borderId="28" xfId="0" applyNumberFormat="1" applyFont="1" applyBorder="1"/>
    <xf numFmtId="3" fontId="10" fillId="0" borderId="34" xfId="0" applyNumberFormat="1" applyFont="1" applyBorder="1"/>
    <xf numFmtId="3" fontId="21" fillId="0" borderId="36" xfId="0" applyNumberFormat="1" applyFont="1" applyBorder="1"/>
    <xf numFmtId="3" fontId="12" fillId="0" borderId="35" xfId="0" applyNumberFormat="1" applyFont="1" applyFill="1" applyBorder="1"/>
    <xf numFmtId="3" fontId="10" fillId="0" borderId="28" xfId="0" applyNumberFormat="1" applyFont="1" applyFill="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18" fillId="0" borderId="10" xfId="465" applyFont="1" applyFill="1" applyBorder="1" applyAlignment="1">
      <alignment horizontal="center"/>
    </xf>
    <xf numFmtId="0" fontId="39" fillId="0" borderId="0" xfId="465" applyFont="1" applyFill="1" applyBorder="1" applyAlignment="1">
      <alignment horizontal="center" wrapText="1"/>
    </xf>
    <xf numFmtId="0" fontId="35" fillId="0" borderId="0" xfId="465" applyFont="1" applyFill="1" applyBorder="1" applyAlignment="1">
      <alignment horizontal="center" wrapText="1"/>
    </xf>
    <xf numFmtId="0" fontId="35" fillId="0" borderId="21" xfId="465" applyFont="1" applyFill="1" applyBorder="1" applyAlignment="1">
      <alignment horizontal="center" wrapText="1"/>
    </xf>
    <xf numFmtId="0" fontId="39" fillId="0" borderId="21" xfId="465" applyFont="1" applyFill="1" applyBorder="1" applyAlignment="1">
      <alignment horizontal="center" wrapText="1"/>
    </xf>
    <xf numFmtId="0" fontId="9" fillId="0" borderId="24" xfId="465" applyFont="1" applyFill="1" applyBorder="1" applyAlignment="1">
      <alignment horizontal="center" wrapText="1"/>
    </xf>
    <xf numFmtId="164" fontId="12" fillId="0" borderId="35" xfId="381" applyNumberFormat="1" applyFont="1" applyFill="1" applyBorder="1"/>
    <xf numFmtId="0" fontId="8" fillId="0" borderId="0" xfId="465" applyNumberFormat="1" applyFont="1" applyFill="1" applyBorder="1" applyAlignment="1">
      <alignment horizontal="center"/>
    </xf>
    <xf numFmtId="0" fontId="8" fillId="0" borderId="24" xfId="465" applyNumberFormat="1" applyFont="1" applyFill="1" applyBorder="1" applyAlignment="1">
      <alignment horizontal="center"/>
    </xf>
    <xf numFmtId="0" fontId="51" fillId="0" borderId="0" xfId="0" applyFont="1" applyFill="1" applyBorder="1" applyAlignment="1">
      <alignment wrapText="1"/>
    </xf>
    <xf numFmtId="0" fontId="49" fillId="0" borderId="20" xfId="0" applyFont="1" applyFill="1" applyBorder="1"/>
    <xf numFmtId="164" fontId="51" fillId="0" borderId="21" xfId="381" applyNumberFormat="1" applyFont="1" applyFill="1" applyBorder="1"/>
    <xf numFmtId="164" fontId="51" fillId="0" borderId="32" xfId="0" applyNumberFormat="1" applyFont="1" applyFill="1" applyBorder="1"/>
    <xf numFmtId="164" fontId="51" fillId="0" borderId="23" xfId="0" applyNumberFormat="1" applyFont="1" applyFill="1" applyBorder="1"/>
    <xf numFmtId="0" fontId="71" fillId="0" borderId="0" xfId="0" applyFont="1" applyFill="1" applyBorder="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Fill="1" applyBorder="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applyAlignment="1"/>
    <xf numFmtId="164" fontId="8" fillId="31" borderId="0" xfId="381" applyNumberFormat="1" applyFont="1" applyFill="1"/>
    <xf numFmtId="0" fontId="75" fillId="31" borderId="0" xfId="0" applyFont="1" applyFill="1" applyAlignment="1"/>
    <xf numFmtId="0" fontId="8" fillId="31" borderId="0" xfId="0" applyFont="1" applyFill="1"/>
    <xf numFmtId="0" fontId="8" fillId="31" borderId="0" xfId="0" applyFont="1" applyFill="1" applyAlignment="1"/>
    <xf numFmtId="0" fontId="0" fillId="31" borderId="0" xfId="0" applyFill="1" applyAlignment="1"/>
    <xf numFmtId="164" fontId="76" fillId="31" borderId="0" xfId="0" applyNumberFormat="1" applyFont="1" applyFill="1" applyAlignment="1"/>
    <xf numFmtId="0" fontId="76" fillId="31" borderId="0" xfId="0" applyFont="1" applyFill="1" applyAlignment="1"/>
    <xf numFmtId="175" fontId="8" fillId="31" borderId="0" xfId="381" applyNumberFormat="1" applyFont="1" applyFill="1"/>
    <xf numFmtId="44" fontId="8" fillId="31" borderId="0" xfId="421" applyFont="1" applyFill="1"/>
    <xf numFmtId="165" fontId="8" fillId="0" borderId="0" xfId="498" applyNumberFormat="1" applyFont="1" applyFill="1"/>
    <xf numFmtId="44" fontId="8" fillId="0" borderId="0" xfId="421" applyFont="1" applyFill="1"/>
    <xf numFmtId="0" fontId="75" fillId="0" borderId="0" xfId="0" applyFont="1" applyFill="1"/>
    <xf numFmtId="165" fontId="8" fillId="0" borderId="0" xfId="498" applyNumberFormat="1"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Fill="1" applyAlignment="1">
      <alignment horizontal="center"/>
    </xf>
    <xf numFmtId="0" fontId="50" fillId="0" borderId="0" xfId="467" applyFont="1" applyFill="1" applyAlignment="1">
      <alignment horizontal="left"/>
    </xf>
    <xf numFmtId="0" fontId="50" fillId="0" borderId="0" xfId="467" applyFont="1" applyFill="1"/>
    <xf numFmtId="16" fontId="50" fillId="0" borderId="0" xfId="467" applyNumberFormat="1" applyFont="1" applyFill="1" applyAlignment="1">
      <alignment horizontal="center"/>
    </xf>
    <xf numFmtId="0" fontId="50" fillId="0" borderId="0" xfId="467" applyFont="1" applyAlignment="1">
      <alignment horizontal="left"/>
    </xf>
    <xf numFmtId="0" fontId="8" fillId="0" borderId="0" xfId="467" applyAlignment="1"/>
    <xf numFmtId="16" fontId="50" fillId="0" borderId="0" xfId="467" applyNumberFormat="1" applyFont="1" applyAlignment="1">
      <alignment horizontal="center"/>
    </xf>
    <xf numFmtId="0" fontId="83" fillId="0" borderId="0" xfId="467" applyFont="1" applyFill="1" applyAlignment="1">
      <alignment horizontal="left"/>
    </xf>
    <xf numFmtId="164" fontId="50" fillId="0" borderId="0" xfId="391" applyNumberFormat="1" applyFont="1"/>
    <xf numFmtId="167" fontId="50" fillId="32" borderId="0" xfId="422" applyNumberFormat="1" applyFont="1" applyFill="1"/>
    <xf numFmtId="0" fontId="84" fillId="0" borderId="0" xfId="467" applyFont="1" applyFill="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50" fillId="0" borderId="0" xfId="467" applyFont="1" applyBorder="1" applyAlignment="1">
      <alignment horizontal="center"/>
    </xf>
    <xf numFmtId="0" fontId="50" fillId="0" borderId="0" xfId="467" applyFont="1" applyBorder="1"/>
    <xf numFmtId="0" fontId="86" fillId="0" borderId="0" xfId="467" applyFont="1" applyBorder="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50" fillId="0" borderId="0" xfId="467" applyFont="1" applyFill="1" applyAlignment="1"/>
    <xf numFmtId="0" fontId="8" fillId="0" borderId="0" xfId="467" applyFont="1" applyFill="1" applyAlignment="1"/>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applyFill="1"/>
    <xf numFmtId="0" fontId="84" fillId="0" borderId="0" xfId="467" applyFont="1" applyFill="1"/>
    <xf numFmtId="164" fontId="50" fillId="0" borderId="0" xfId="467" applyNumberFormat="1" applyFont="1" applyFill="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0"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Fill="1"/>
    <xf numFmtId="43" fontId="50" fillId="0" borderId="0" xfId="467" applyNumberFormat="1" applyFont="1" applyFill="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Fill="1" applyBorder="1" applyAlignment="1">
      <alignment horizontal="center" wrapText="1"/>
    </xf>
    <xf numFmtId="170" fontId="9" fillId="0" borderId="0" xfId="0" applyNumberFormat="1" applyFont="1" applyBorder="1" applyAlignment="1">
      <alignment horizontal="center" wrapText="1"/>
    </xf>
    <xf numFmtId="0" fontId="0" fillId="0" borderId="0" xfId="0" applyBorder="1" applyAlignment="1">
      <alignment horizontal="center"/>
    </xf>
    <xf numFmtId="170" fontId="0" fillId="0" borderId="0" xfId="0" applyNumberFormat="1" applyFill="1" applyBorder="1"/>
    <xf numFmtId="170" fontId="0" fillId="0" borderId="0" xfId="0" applyNumberFormat="1" applyBorder="1"/>
    <xf numFmtId="0" fontId="9" fillId="0" borderId="0" xfId="0" applyFont="1" applyFill="1" applyBorder="1"/>
    <xf numFmtId="43" fontId="87" fillId="0" borderId="0" xfId="381" applyFont="1" applyBorder="1"/>
    <xf numFmtId="0" fontId="18" fillId="0" borderId="20" xfId="465" applyFont="1" applyFill="1" applyBorder="1" applyAlignment="1"/>
    <xf numFmtId="43" fontId="87" fillId="0" borderId="0" xfId="381" applyFont="1" applyFill="1" applyBorder="1"/>
    <xf numFmtId="0" fontId="18" fillId="0" borderId="21" xfId="465" applyNumberFormat="1" applyFont="1" applyFill="1" applyBorder="1" applyAlignment="1">
      <alignment horizontal="center"/>
    </xf>
    <xf numFmtId="0" fontId="12" fillId="0" borderId="14" xfId="0" applyFont="1" applyFill="1" applyBorder="1" applyAlignment="1">
      <alignment horizontal="center"/>
    </xf>
    <xf numFmtId="164" fontId="9" fillId="0" borderId="0" xfId="381" applyNumberFormat="1" applyFont="1" applyFill="1" applyBorder="1"/>
    <xf numFmtId="0" fontId="12" fillId="0" borderId="20" xfId="0" applyNumberFormat="1" applyFont="1" applyFill="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applyBorder="1" applyAlignment="1"/>
    <xf numFmtId="170" fontId="10" fillId="0" borderId="0" xfId="0" applyNumberFormat="1" applyFont="1" applyFill="1" applyBorder="1"/>
    <xf numFmtId="170" fontId="10" fillId="0" borderId="0" xfId="0" applyNumberFormat="1" applyFont="1" applyBorder="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applyFill="1"/>
    <xf numFmtId="0" fontId="18" fillId="0" borderId="0" xfId="0" applyFont="1" applyFill="1" applyAlignment="1">
      <alignment wrapText="1"/>
    </xf>
    <xf numFmtId="0" fontId="8" fillId="0" borderId="0" xfId="0" applyFont="1" applyFill="1" applyAlignment="1">
      <alignment wrapText="1"/>
    </xf>
    <xf numFmtId="0" fontId="0" fillId="0" borderId="0" xfId="0" applyFill="1" applyAlignment="1">
      <alignment wrapText="1"/>
    </xf>
    <xf numFmtId="37" fontId="35" fillId="0" borderId="0" xfId="0" applyNumberFormat="1" applyFont="1" applyFill="1" applyBorder="1"/>
    <xf numFmtId="164" fontId="35" fillId="0" borderId="0" xfId="381" applyNumberFormat="1" applyFont="1" applyFill="1" applyBorder="1"/>
    <xf numFmtId="3" fontId="12" fillId="0" borderId="0" xfId="0" applyNumberFormat="1" applyFont="1" applyFill="1" applyBorder="1" applyAlignment="1">
      <alignment horizontal="center" wrapText="1"/>
    </xf>
    <xf numFmtId="3" fontId="12" fillId="0" borderId="0" xfId="0" applyNumberFormat="1" applyFont="1" applyBorder="1" applyAlignment="1">
      <alignment horizontal="center" wrapText="1"/>
    </xf>
    <xf numFmtId="0" fontId="12" fillId="0" borderId="0" xfId="0" applyNumberFormat="1" applyFont="1" applyBorder="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applyFill="1" applyBorder="1"/>
    <xf numFmtId="0" fontId="8" fillId="0" borderId="0" xfId="467" applyFont="1" applyAlignment="1">
      <alignment horizontal="center"/>
    </xf>
    <xf numFmtId="0" fontId="21" fillId="0" borderId="0" xfId="467" applyFont="1" applyAlignment="1">
      <alignment horizontal="center"/>
    </xf>
    <xf numFmtId="0" fontId="21" fillId="0" borderId="0" xfId="467" applyFont="1" applyAlignment="1"/>
    <xf numFmtId="0" fontId="9" fillId="0" borderId="0" xfId="467" applyFont="1" applyAlignment="1">
      <alignment horizontal="left"/>
    </xf>
    <xf numFmtId="0" fontId="8" fillId="0" borderId="0" xfId="467" applyFont="1" applyAlignment="1">
      <alignment horizontal="left"/>
    </xf>
    <xf numFmtId="164" fontId="8" fillId="0" borderId="0" xfId="381" applyNumberFormat="1" applyFont="1" applyFill="1"/>
    <xf numFmtId="0" fontId="8" fillId="0" borderId="0" xfId="467" applyFont="1" applyFill="1"/>
    <xf numFmtId="0" fontId="9" fillId="0" borderId="0" xfId="467" applyFont="1" applyFill="1"/>
    <xf numFmtId="0" fontId="8" fillId="0" borderId="0" xfId="467" applyFont="1" applyBorder="1"/>
    <xf numFmtId="164" fontId="8" fillId="0" borderId="0" xfId="381" applyNumberFormat="1" applyFont="1" applyBorder="1"/>
    <xf numFmtId="0" fontId="8" fillId="0" borderId="0" xfId="467" applyFont="1" applyFill="1" applyBorder="1"/>
    <xf numFmtId="0" fontId="8" fillId="0" borderId="10" xfId="467" applyFont="1" applyFill="1" applyBorder="1"/>
    <xf numFmtId="0" fontId="35" fillId="0" borderId="25" xfId="467" applyFont="1" applyFill="1" applyBorder="1"/>
    <xf numFmtId="0" fontId="8" fillId="0" borderId="0" xfId="467" applyFont="1" applyBorder="1" applyAlignment="1">
      <alignment horizontal="center"/>
    </xf>
    <xf numFmtId="0" fontId="35" fillId="0" borderId="25" xfId="467" applyFont="1" applyBorder="1"/>
    <xf numFmtId="0" fontId="8" fillId="0" borderId="0" xfId="467" applyFont="1" applyFill="1" applyAlignment="1">
      <alignment horizontal="center"/>
    </xf>
    <xf numFmtId="0" fontId="35" fillId="0" borderId="20" xfId="467" applyFont="1" applyFill="1" applyBorder="1"/>
    <xf numFmtId="0" fontId="35" fillId="0" borderId="20" xfId="467" applyFont="1" applyFill="1" applyBorder="1" applyAlignment="1">
      <alignment horizontal="center"/>
    </xf>
    <xf numFmtId="0" fontId="39" fillId="0" borderId="20" xfId="467" applyFont="1" applyFill="1" applyBorder="1" applyAlignment="1">
      <alignment horizontal="center"/>
    </xf>
    <xf numFmtId="0" fontId="35" fillId="0" borderId="20" xfId="467" applyFont="1" applyBorder="1"/>
    <xf numFmtId="0" fontId="35" fillId="0" borderId="0" xfId="467" applyFont="1" applyFill="1" applyBorder="1" applyAlignment="1">
      <alignment horizontal="center"/>
    </xf>
    <xf numFmtId="164" fontId="35" fillId="0" borderId="21" xfId="381" applyNumberFormat="1" applyFont="1" applyFill="1" applyBorder="1" applyAlignment="1">
      <alignment horizontal="center"/>
    </xf>
    <xf numFmtId="0" fontId="35" fillId="0" borderId="0" xfId="467" applyFont="1" applyFill="1" applyBorder="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Fill="1" applyBorder="1" applyAlignment="1">
      <alignment horizontal="center"/>
    </xf>
    <xf numFmtId="0" fontId="35" fillId="0" borderId="40" xfId="467" applyFont="1" applyBorder="1" applyAlignment="1">
      <alignment horizontal="center"/>
    </xf>
    <xf numFmtId="164" fontId="35" fillId="0" borderId="0" xfId="467" applyNumberFormat="1" applyFont="1" applyFill="1" applyBorder="1"/>
    <xf numFmtId="167" fontId="35" fillId="0" borderId="40" xfId="420" applyNumberFormat="1" applyFont="1" applyBorder="1"/>
    <xf numFmtId="0" fontId="35" fillId="0" borderId="0" xfId="467" applyFont="1" applyBorder="1"/>
    <xf numFmtId="0" fontId="35" fillId="0" borderId="40" xfId="467" applyFont="1" applyBorder="1"/>
    <xf numFmtId="164" fontId="39" fillId="0" borderId="0" xfId="467" applyNumberFormat="1" applyFont="1" applyBorder="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0" fontId="35" fillId="0" borderId="0" xfId="467" applyFont="1"/>
    <xf numFmtId="0" fontId="35" fillId="0" borderId="0" xfId="467" applyFont="1" applyAlignment="1">
      <alignment horizontal="center"/>
    </xf>
    <xf numFmtId="164" fontId="35" fillId="0" borderId="0" xfId="381" applyNumberFormat="1" applyFont="1"/>
    <xf numFmtId="167" fontId="35" fillId="0" borderId="0" xfId="420" applyNumberFormat="1" applyFont="1"/>
    <xf numFmtId="0" fontId="8" fillId="0" borderId="0" xfId="467" applyFont="1" applyFill="1" applyBorder="1" applyAlignment="1">
      <alignment horizontal="center"/>
    </xf>
    <xf numFmtId="164" fontId="8" fillId="0" borderId="0" xfId="381" applyNumberFormat="1" applyFont="1" applyFill="1" applyBorder="1"/>
    <xf numFmtId="0" fontId="46" fillId="0" borderId="0" xfId="0" applyFont="1" applyFill="1" applyBorder="1" applyAlignment="1">
      <alignment horizontal="center"/>
    </xf>
    <xf numFmtId="0" fontId="8" fillId="0" borderId="0" xfId="0" applyFont="1" applyFill="1" applyBorder="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Fill="1" applyBorder="1" applyAlignment="1">
      <alignment horizontal="center" wrapText="1"/>
    </xf>
    <xf numFmtId="0" fontId="14" fillId="0" borderId="0" xfId="0" applyFont="1" applyFill="1" applyBorder="1" applyAlignment="1"/>
    <xf numFmtId="0" fontId="52" fillId="0" borderId="0" xfId="0" applyFont="1" applyFill="1" applyAlignment="1">
      <alignment horizontal="left" wrapText="1"/>
    </xf>
    <xf numFmtId="0" fontId="0" fillId="0" borderId="0" xfId="0" applyFill="1" applyAlignment="1">
      <alignment horizontal="left" vertical="center" wrapText="1"/>
    </xf>
    <xf numFmtId="0" fontId="8" fillId="0" borderId="0" xfId="465" applyFont="1" applyFill="1" applyBorder="1" applyAlignment="1">
      <alignment horizontal="center" wrapText="1"/>
    </xf>
    <xf numFmtId="0" fontId="52" fillId="0" borderId="0" xfId="465" applyFont="1" applyFill="1" applyBorder="1" applyAlignment="1">
      <alignment horizontal="center"/>
    </xf>
    <xf numFmtId="164" fontId="52" fillId="0" borderId="0" xfId="465" applyNumberFormat="1" applyFont="1" applyFill="1" applyBorder="1" applyAlignment="1"/>
    <xf numFmtId="3" fontId="18" fillId="0" borderId="0" xfId="465" applyNumberFormat="1" applyFont="1" applyFill="1" applyBorder="1" applyAlignment="1">
      <alignment horizontal="left"/>
    </xf>
    <xf numFmtId="0" fontId="8" fillId="0" borderId="0" xfId="465" applyNumberFormat="1" applyFont="1" applyFill="1" applyBorder="1" applyAlignment="1">
      <alignment horizontal="left"/>
    </xf>
    <xf numFmtId="0" fontId="52" fillId="0" borderId="10" xfId="465" applyFont="1" applyFill="1" applyBorder="1" applyAlignment="1">
      <alignment horizontal="center"/>
    </xf>
    <xf numFmtId="43" fontId="56" fillId="0" borderId="0" xfId="381" applyFont="1" applyFill="1" applyBorder="1" applyAlignment="1"/>
    <xf numFmtId="0" fontId="53" fillId="0" borderId="0" xfId="0" applyFont="1" applyFill="1" applyBorder="1"/>
    <xf numFmtId="164" fontId="18" fillId="0" borderId="20" xfId="465" applyNumberFormat="1" applyFont="1" applyFill="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Fill="1" applyBorder="1" applyAlignment="1">
      <alignment horizontal="center" wrapText="1"/>
    </xf>
    <xf numFmtId="0" fontId="8" fillId="0" borderId="21" xfId="465" applyFont="1" applyBorder="1" applyAlignment="1"/>
    <xf numFmtId="164" fontId="8" fillId="0" borderId="0" xfId="390" applyNumberFormat="1" applyFont="1" applyFill="1" applyBorder="1" applyAlignment="1">
      <alignment horizontal="right"/>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xf numFmtId="43" fontId="49" fillId="0" borderId="21" xfId="381" applyFont="1" applyFill="1" applyBorder="1" applyAlignment="1">
      <alignment horizontal="center" wrapText="1"/>
    </xf>
    <xf numFmtId="0" fontId="8" fillId="0" borderId="10" xfId="465" applyFont="1" applyFill="1" applyBorder="1" applyAlignment="1"/>
    <xf numFmtId="0" fontId="8" fillId="0" borderId="23" xfId="465" applyFont="1" applyFill="1" applyBorder="1" applyAlignment="1"/>
    <xf numFmtId="0" fontId="8" fillId="0" borderId="21" xfId="465" applyFont="1" applyBorder="1"/>
    <xf numFmtId="0" fontId="8" fillId="0" borderId="0" xfId="465" applyFont="1" applyFill="1" applyBorder="1"/>
    <xf numFmtId="0" fontId="8" fillId="0" borderId="21" xfId="465" applyFont="1" applyFill="1" applyBorder="1" applyAlignment="1"/>
    <xf numFmtId="0" fontId="8" fillId="0" borderId="10" xfId="465" applyFont="1" applyFill="1" applyBorder="1" applyAlignment="1">
      <alignment wrapText="1"/>
    </xf>
    <xf numFmtId="0" fontId="8" fillId="0" borderId="23" xfId="465" applyFont="1" applyFill="1" applyBorder="1" applyAlignment="1">
      <alignment wrapText="1"/>
    </xf>
    <xf numFmtId="164" fontId="8" fillId="0" borderId="0" xfId="465" applyNumberFormat="1" applyFont="1" applyFill="1" applyBorder="1" applyAlignment="1">
      <alignment horizontal="center"/>
    </xf>
    <xf numFmtId="164" fontId="8" fillId="0" borderId="0" xfId="390" applyNumberFormat="1" applyFont="1" applyFill="1" applyBorder="1" applyAlignment="1">
      <alignment horizontal="left"/>
    </xf>
    <xf numFmtId="0" fontId="8" fillId="0" borderId="0" xfId="465" applyFont="1" applyFill="1" applyBorder="1" applyAlignment="1">
      <alignment horizontal="left"/>
    </xf>
    <xf numFmtId="0" fontId="8" fillId="0" borderId="21" xfId="465" applyFont="1" applyFill="1" applyBorder="1" applyAlignment="1">
      <alignment horizontal="center"/>
    </xf>
    <xf numFmtId="164" fontId="8" fillId="0" borderId="0" xfId="390" applyNumberFormat="1" applyFont="1" applyFill="1" applyBorder="1" applyAlignment="1"/>
    <xf numFmtId="0" fontId="8" fillId="0" borderId="0" xfId="465" applyFont="1" applyFill="1" applyBorder="1" applyAlignment="1">
      <alignment horizontal="center"/>
    </xf>
    <xf numFmtId="0" fontId="52" fillId="0" borderId="21" xfId="465" applyFont="1" applyBorder="1"/>
    <xf numFmtId="0" fontId="90" fillId="0" borderId="0" xfId="0" applyNumberFormat="1" applyFont="1" applyFill="1"/>
    <xf numFmtId="0" fontId="90" fillId="0" borderId="0" xfId="0" applyFont="1" applyFill="1" applyAlignment="1"/>
    <xf numFmtId="0" fontId="90" fillId="0" borderId="0" xfId="0" applyFont="1" applyFill="1" applyBorder="1" applyAlignment="1"/>
    <xf numFmtId="0" fontId="90" fillId="0" borderId="0" xfId="0" applyFont="1" applyBorder="1" applyAlignment="1"/>
    <xf numFmtId="0" fontId="91" fillId="0" borderId="0" xfId="0" applyFont="1" applyBorder="1" applyAlignment="1">
      <alignment horizontal="center"/>
    </xf>
    <xf numFmtId="37" fontId="90" fillId="0" borderId="0" xfId="0" applyNumberFormat="1" applyFont="1" applyBorder="1" applyAlignment="1">
      <alignment horizontal="left"/>
    </xf>
    <xf numFmtId="0" fontId="90" fillId="0" borderId="0" xfId="0" applyFont="1" applyBorder="1"/>
    <xf numFmtId="37" fontId="92" fillId="0" borderId="0" xfId="0" applyNumberFormat="1" applyFont="1" applyBorder="1" applyAlignment="1">
      <alignment horizontal="right"/>
    </xf>
    <xf numFmtId="0" fontId="90" fillId="0" borderId="0" xfId="0" applyFont="1" applyFill="1" applyAlignment="1">
      <alignment horizontal="left"/>
    </xf>
    <xf numFmtId="0" fontId="91" fillId="0" borderId="0" xfId="0" applyFont="1" applyFill="1" applyBorder="1" applyAlignment="1">
      <alignment horizontal="center"/>
    </xf>
    <xf numFmtId="37" fontId="90" fillId="0" borderId="0" xfId="0" applyNumberFormat="1" applyFont="1" applyFill="1" applyBorder="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0" fontId="9" fillId="0" borderId="0" xfId="467" applyFont="1"/>
    <xf numFmtId="13" fontId="8" fillId="0" borderId="0" xfId="467" applyNumberFormat="1" applyFont="1"/>
    <xf numFmtId="49" fontId="8" fillId="0" borderId="0" xfId="467" applyNumberFormat="1" applyFont="1" applyAlignment="1">
      <alignment horizontal="left" indent="1"/>
    </xf>
    <xf numFmtId="17" fontId="8" fillId="0" borderId="0" xfId="467" applyNumberFormat="1" applyFont="1"/>
    <xf numFmtId="43" fontId="12" fillId="0" borderId="12" xfId="0" applyNumberFormat="1" applyFont="1" applyFill="1" applyBorder="1" applyAlignment="1"/>
    <xf numFmtId="167" fontId="35" fillId="0" borderId="0" xfId="420" applyNumberFormat="1" applyFont="1" applyBorder="1"/>
    <xf numFmtId="0" fontId="34" fillId="0" borderId="0" xfId="0" applyFont="1" applyBorder="1"/>
    <xf numFmtId="164" fontId="29" fillId="0" borderId="0" xfId="0" applyNumberFormat="1" applyFont="1" applyFill="1" applyBorder="1" applyAlignment="1">
      <alignment horizontal="center"/>
    </xf>
    <xf numFmtId="164" fontId="29" fillId="0" borderId="0" xfId="381" applyNumberFormat="1" applyFont="1" applyFill="1" applyBorder="1" applyAlignment="1">
      <alignment horizontal="center"/>
    </xf>
    <xf numFmtId="164" fontId="35" fillId="0" borderId="0" xfId="0" applyNumberFormat="1" applyFont="1" applyBorder="1"/>
    <xf numFmtId="0" fontId="9" fillId="0" borderId="0" xfId="0" applyFont="1"/>
    <xf numFmtId="0" fontId="101" fillId="0" borderId="0" xfId="0" applyFont="1" applyFill="1"/>
    <xf numFmtId="0" fontId="0" fillId="0" borderId="17" xfId="0" applyBorder="1" applyAlignment="1">
      <alignment wrapText="1"/>
    </xf>
    <xf numFmtId="0" fontId="0" fillId="0" borderId="17" xfId="0" applyBorder="1" applyAlignment="1">
      <alignment horizontal="center" wrapText="1"/>
    </xf>
    <xf numFmtId="0" fontId="0" fillId="0" borderId="17" xfId="0" applyFill="1" applyBorder="1" applyAlignment="1">
      <alignment horizontal="center" wrapText="1"/>
    </xf>
    <xf numFmtId="0" fontId="0" fillId="0" borderId="34" xfId="0" applyBorder="1"/>
    <xf numFmtId="164" fontId="87" fillId="0" borderId="17" xfId="381" applyNumberFormat="1" applyFont="1"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34" xfId="0" applyFill="1" applyBorder="1"/>
    <xf numFmtId="0" fontId="0" fillId="0" borderId="35" xfId="0" applyFill="1" applyBorder="1"/>
    <xf numFmtId="0" fontId="0" fillId="0" borderId="28" xfId="0" applyFill="1" applyBorder="1"/>
    <xf numFmtId="0" fontId="101" fillId="0" borderId="0" xfId="0" applyFont="1"/>
    <xf numFmtId="0" fontId="0" fillId="0" borderId="0" xfId="0" applyFill="1" applyBorder="1" applyAlignment="1">
      <alignment horizontal="center" wrapText="1"/>
    </xf>
    <xf numFmtId="164" fontId="0" fillId="0" borderId="0" xfId="0" applyNumberFormat="1" applyBorder="1"/>
    <xf numFmtId="0" fontId="102" fillId="0" borderId="0" xfId="0" applyFont="1" applyBorder="1"/>
    <xf numFmtId="0" fontId="9" fillId="0" borderId="0" xfId="0" applyFont="1" applyBorder="1"/>
    <xf numFmtId="173" fontId="0" fillId="0" borderId="0" xfId="0" applyNumberFormat="1" applyFill="1" applyAlignment="1">
      <alignment horizontal="center" wrapText="1"/>
    </xf>
    <xf numFmtId="3" fontId="8" fillId="0" borderId="0" xfId="465" applyNumberFormat="1" applyFont="1" applyFill="1" applyBorder="1" applyAlignment="1">
      <alignment horizontal="right"/>
    </xf>
    <xf numFmtId="0" fontId="0" fillId="0" borderId="0" xfId="0" quotePrefix="1"/>
    <xf numFmtId="43" fontId="0" fillId="0" borderId="0" xfId="381" applyNumberFormat="1" applyFont="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applyAlignment="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applyAlignment="1"/>
    <xf numFmtId="0" fontId="10" fillId="35" borderId="10" xfId="0" applyNumberFormat="1" applyFont="1" applyFill="1" applyBorder="1" applyAlignment="1">
      <alignment horizontal="center"/>
    </xf>
    <xf numFmtId="0" fontId="10" fillId="35" borderId="23" xfId="0" applyFont="1" applyFill="1" applyBorder="1" applyAlignment="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applyBorder="1"/>
    <xf numFmtId="164" fontId="103" fillId="0" borderId="0" xfId="381" applyNumberFormat="1" applyFont="1" applyBorder="1"/>
    <xf numFmtId="43" fontId="12" fillId="0" borderId="0" xfId="381" applyFont="1" applyBorder="1"/>
    <xf numFmtId="0" fontId="115" fillId="0" borderId="0" xfId="0" applyFont="1"/>
    <xf numFmtId="37" fontId="0" fillId="0" borderId="0" xfId="0" applyNumberFormat="1"/>
    <xf numFmtId="37" fontId="0" fillId="0" borderId="12" xfId="0" applyNumberFormat="1" applyBorder="1"/>
    <xf numFmtId="2" fontId="8" fillId="0" borderId="0" xfId="467" applyNumberFormat="1" applyFont="1" applyFill="1"/>
    <xf numFmtId="43" fontId="8" fillId="0" borderId="0" xfId="381" applyNumberFormat="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applyFill="1" applyBorder="1" applyAlignment="1"/>
    <xf numFmtId="0" fontId="8" fillId="0" borderId="0" xfId="467" applyFont="1" applyBorder="1" applyAlignment="1">
      <alignment wrapText="1"/>
    </xf>
    <xf numFmtId="43" fontId="8" fillId="0" borderId="0" xfId="0" applyNumberFormat="1" applyFont="1" applyFill="1" applyBorder="1" applyAlignment="1">
      <alignment horizontal="center"/>
    </xf>
    <xf numFmtId="164" fontId="35" fillId="34" borderId="0" xfId="381" applyNumberFormat="1" applyFont="1" applyFill="1" applyBorder="1" applyAlignment="1"/>
    <xf numFmtId="0" fontId="116" fillId="0" borderId="0" xfId="0" applyFont="1"/>
    <xf numFmtId="0" fontId="9" fillId="0" borderId="0" xfId="0" applyFont="1" applyFill="1" applyAlignment="1">
      <alignment horizontal="left"/>
    </xf>
    <xf numFmtId="164" fontId="9" fillId="0" borderId="26" xfId="381" applyNumberFormat="1" applyFont="1" applyBorder="1"/>
    <xf numFmtId="4" fontId="0" fillId="0" borderId="0" xfId="0" applyNumberFormat="1" applyFill="1"/>
    <xf numFmtId="43" fontId="9" fillId="0" borderId="0" xfId="381" applyFont="1" applyAlignment="1">
      <alignment horizontal="center"/>
    </xf>
    <xf numFmtId="1" fontId="9" fillId="0" borderId="47" xfId="0" applyNumberFormat="1" applyFont="1" applyFill="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175" fontId="50" fillId="34" borderId="0" xfId="381" applyNumberFormat="1" applyFont="1" applyFill="1"/>
    <xf numFmtId="40" fontId="50" fillId="34" borderId="0" xfId="475" applyNumberFormat="1" applyFont="1" applyFill="1" applyBorder="1"/>
    <xf numFmtId="0" fontId="50" fillId="0" borderId="0" xfId="467" applyFont="1" applyFill="1" applyBorder="1"/>
    <xf numFmtId="164" fontId="50" fillId="0" borderId="0" xfId="381" applyNumberFormat="1" applyFont="1" applyFill="1" applyBorder="1"/>
    <xf numFmtId="164" fontId="50" fillId="0" borderId="0" xfId="467" applyNumberFormat="1" applyFont="1" applyFill="1" applyBorder="1"/>
    <xf numFmtId="164" fontId="50" fillId="0" borderId="0" xfId="381" applyNumberFormat="1" applyFont="1" applyBorder="1"/>
    <xf numFmtId="40" fontId="50" fillId="34" borderId="0" xfId="476" applyNumberFormat="1" applyFont="1" applyFill="1" applyBorder="1"/>
    <xf numFmtId="0" fontId="8" fillId="0" borderId="0" xfId="473" applyNumberFormat="1" applyFont="1" applyFill="1" applyBorder="1" applyAlignment="1"/>
    <xf numFmtId="0" fontId="8" fillId="0" borderId="0" xfId="473" applyFont="1" applyFill="1" applyBorder="1" applyAlignment="1">
      <alignment horizontal="left"/>
    </xf>
    <xf numFmtId="0" fontId="8" fillId="0" borderId="0" xfId="473" applyFont="1" applyFill="1" applyBorder="1" applyAlignment="1"/>
    <xf numFmtId="0" fontId="8" fillId="0" borderId="0" xfId="473" applyFont="1" applyBorder="1"/>
    <xf numFmtId="0" fontId="8" fillId="0" borderId="10" xfId="473" applyNumberFormat="1" applyFont="1" applyFill="1" applyBorder="1" applyAlignment="1">
      <alignment horizontal="right"/>
    </xf>
    <xf numFmtId="0" fontId="8" fillId="0" borderId="10" xfId="473" applyNumberFormat="1" applyFont="1" applyFill="1" applyBorder="1" applyAlignment="1">
      <alignment horizontal="left"/>
    </xf>
    <xf numFmtId="0" fontId="8" fillId="0" borderId="10" xfId="473" applyNumberFormat="1" applyFont="1" applyFill="1"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Fill="1" applyBorder="1" applyAlignment="1">
      <alignment horizontal="left"/>
    </xf>
    <xf numFmtId="164" fontId="18" fillId="0" borderId="34" xfId="390" applyNumberFormat="1" applyFont="1" applyFill="1" applyBorder="1" applyAlignment="1">
      <alignment horizontal="right"/>
    </xf>
    <xf numFmtId="0" fontId="18" fillId="0" borderId="28" xfId="465" applyNumberFormat="1" applyFont="1" applyFill="1" applyBorder="1" applyAlignment="1">
      <alignment horizontal="left"/>
    </xf>
    <xf numFmtId="0" fontId="18" fillId="0" borderId="28" xfId="465" applyFont="1" applyFill="1" applyBorder="1" applyAlignment="1"/>
    <xf numFmtId="0" fontId="18" fillId="0" borderId="28" xfId="465" applyFont="1" applyFill="1" applyBorder="1" applyAlignment="1">
      <alignment horizontal="left"/>
    </xf>
    <xf numFmtId="3" fontId="18" fillId="0" borderId="28" xfId="465" applyNumberFormat="1" applyFont="1" applyFill="1" applyBorder="1" applyAlignment="1">
      <alignment horizontal="left"/>
    </xf>
    <xf numFmtId="0" fontId="9" fillId="0" borderId="28" xfId="465" applyFont="1" applyFill="1" applyBorder="1" applyAlignment="1">
      <alignment horizontal="center"/>
    </xf>
    <xf numFmtId="164" fontId="18" fillId="0" borderId="28" xfId="465" applyNumberFormat="1" applyFont="1" applyFill="1" applyBorder="1" applyAlignment="1">
      <alignment horizontal="left"/>
    </xf>
    <xf numFmtId="0" fontId="10" fillId="0" borderId="27" xfId="0" applyFont="1" applyFill="1" applyBorder="1"/>
    <xf numFmtId="0" fontId="12" fillId="0" borderId="27" xfId="0" applyFont="1" applyFill="1" applyBorder="1"/>
    <xf numFmtId="0" fontId="8" fillId="0" borderId="20" xfId="465" applyFont="1" applyFill="1" applyBorder="1"/>
    <xf numFmtId="0" fontId="8" fillId="0" borderId="20" xfId="465" applyNumberFormat="1" applyFont="1" applyFill="1" applyBorder="1" applyAlignment="1">
      <alignment horizontal="left"/>
    </xf>
    <xf numFmtId="0" fontId="8" fillId="0" borderId="22" xfId="465" applyNumberFormat="1" applyFont="1" applyFill="1" applyBorder="1" applyAlignment="1">
      <alignment horizontal="center"/>
    </xf>
    <xf numFmtId="0" fontId="8" fillId="0" borderId="10" xfId="465" applyNumberFormat="1" applyFont="1" applyFill="1" applyBorder="1" applyAlignment="1">
      <alignment horizontal="center"/>
    </xf>
    <xf numFmtId="164" fontId="18" fillId="0" borderId="48" xfId="465" applyNumberFormat="1" applyFont="1" applyFill="1" applyBorder="1" applyAlignment="1"/>
    <xf numFmtId="0" fontId="29" fillId="0" borderId="24" xfId="0" applyNumberFormat="1" applyFont="1" applyFill="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NumberFormat="1" applyFont="1" applyFill="1" applyBorder="1" applyAlignment="1">
      <alignment horizontal="center"/>
    </xf>
    <xf numFmtId="0" fontId="35" fillId="0" borderId="21" xfId="0" applyFont="1" applyBorder="1"/>
    <xf numFmtId="0" fontId="29" fillId="0" borderId="22" xfId="0" applyNumberFormat="1" applyFont="1" applyFill="1" applyBorder="1" applyAlignment="1">
      <alignment horizontal="center"/>
    </xf>
    <xf numFmtId="0" fontId="29" fillId="0" borderId="10" xfId="0" applyNumberFormat="1" applyFont="1" applyFill="1" applyBorder="1" applyAlignment="1">
      <alignment horizontal="center"/>
    </xf>
    <xf numFmtId="0" fontId="29" fillId="0" borderId="10" xfId="0" applyNumberFormat="1" applyFont="1" applyFill="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Fill="1" applyBorder="1" applyAlignment="1">
      <alignment horizontal="center"/>
    </xf>
    <xf numFmtId="0" fontId="29" fillId="0" borderId="42" xfId="0" applyNumberFormat="1" applyFont="1" applyFill="1" applyBorder="1" applyAlignment="1">
      <alignment horizontal="center" wrapText="1"/>
    </xf>
    <xf numFmtId="164" fontId="29" fillId="0" borderId="28" xfId="0" applyNumberFormat="1" applyFont="1" applyFill="1" applyBorder="1" applyAlignment="1">
      <alignment horizontal="center"/>
    </xf>
    <xf numFmtId="0" fontId="29" fillId="0" borderId="42" xfId="0" applyNumberFormat="1" applyFont="1" applyFill="1" applyBorder="1" applyAlignment="1">
      <alignment horizontal="center"/>
    </xf>
    <xf numFmtId="164" fontId="29" fillId="0" borderId="49" xfId="0" applyNumberFormat="1" applyFont="1" applyFill="1" applyBorder="1" applyAlignment="1">
      <alignment horizontal="center"/>
    </xf>
    <xf numFmtId="37" fontId="0" fillId="0" borderId="0" xfId="0" applyNumberFormat="1" applyBorder="1"/>
    <xf numFmtId="0" fontId="0" fillId="0" borderId="10" xfId="0" applyBorder="1"/>
    <xf numFmtId="0" fontId="18" fillId="0" borderId="24" xfId="465" applyFont="1" applyFill="1" applyBorder="1"/>
    <xf numFmtId="0" fontId="8" fillId="0" borderId="24" xfId="465" applyFont="1" applyFill="1" applyBorder="1"/>
    <xf numFmtId="0" fontId="18" fillId="0" borderId="29" xfId="465" applyFont="1" applyFill="1" applyBorder="1"/>
    <xf numFmtId="0" fontId="18" fillId="0" borderId="21" xfId="465" applyFont="1" applyFill="1" applyBorder="1"/>
    <xf numFmtId="0" fontId="8" fillId="0" borderId="21" xfId="0" applyFont="1" applyFill="1" applyBorder="1" applyAlignment="1">
      <alignment horizontal="right"/>
    </xf>
    <xf numFmtId="41" fontId="9" fillId="0" borderId="26" xfId="0" applyNumberFormat="1" applyFont="1" applyBorder="1"/>
    <xf numFmtId="0" fontId="44" fillId="0" borderId="0" xfId="0" applyFont="1" applyAlignment="1">
      <alignment horizontal="center"/>
    </xf>
    <xf numFmtId="184" fontId="44" fillId="0" borderId="0" xfId="0" applyNumberFormat="1" applyFont="1"/>
    <xf numFmtId="0" fontId="12" fillId="0" borderId="0" xfId="0" applyNumberFormat="1" applyFont="1" applyFill="1" applyBorder="1" applyAlignment="1">
      <alignment horizontal="center" wrapText="1"/>
    </xf>
    <xf numFmtId="173" fontId="35" fillId="0" borderId="0" xfId="0" applyNumberFormat="1" applyFont="1" applyFill="1" applyBorder="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3" fontId="12" fillId="0" borderId="28" xfId="0" applyNumberFormat="1" applyFont="1" applyBorder="1" applyAlignment="1"/>
    <xf numFmtId="173" fontId="10" fillId="0" borderId="28" xfId="633" applyNumberFormat="1" applyFont="1" applyFill="1" applyBorder="1" applyAlignment="1"/>
    <xf numFmtId="0" fontId="12" fillId="0" borderId="28" xfId="0" applyFont="1" applyFill="1" applyBorder="1"/>
    <xf numFmtId="0" fontId="12" fillId="30" borderId="28" xfId="0" applyFont="1" applyFill="1" applyBorder="1" applyAlignment="1">
      <alignment horizontal="center" wrapText="1"/>
    </xf>
    <xf numFmtId="0" fontId="12" fillId="0" borderId="28" xfId="0" applyFont="1" applyFill="1" applyBorder="1" applyAlignment="1">
      <alignment horizontal="center" wrapText="1"/>
    </xf>
    <xf numFmtId="3" fontId="12" fillId="0" borderId="35" xfId="0" applyNumberFormat="1" applyFont="1" applyFill="1" applyBorder="1" applyAlignment="1"/>
    <xf numFmtId="3" fontId="10" fillId="0" borderId="28" xfId="0" applyNumberFormat="1" applyFont="1" applyFill="1" applyBorder="1" applyAlignment="1"/>
    <xf numFmtId="3" fontId="63" fillId="0" borderId="28" xfId="0" applyNumberFormat="1" applyFont="1" applyFill="1" applyBorder="1"/>
    <xf numFmtId="0" fontId="12" fillId="30" borderId="28" xfId="0" applyFont="1" applyFill="1" applyBorder="1"/>
    <xf numFmtId="3" fontId="12" fillId="0" borderId="28" xfId="0" applyNumberFormat="1" applyFont="1" applyFill="1" applyBorder="1" applyAlignment="1">
      <alignment horizontal="right"/>
    </xf>
    <xf numFmtId="3" fontId="10" fillId="0" borderId="28" xfId="0" applyNumberFormat="1" applyFont="1" applyFill="1" applyBorder="1" applyAlignment="1">
      <alignment horizontal="right"/>
    </xf>
    <xf numFmtId="173" fontId="12" fillId="0" borderId="28" xfId="0" applyNumberFormat="1" applyFont="1" applyFill="1" applyBorder="1" applyAlignment="1">
      <alignment horizontal="right"/>
    </xf>
    <xf numFmtId="3" fontId="12" fillId="0" borderId="35" xfId="0" applyNumberFormat="1" applyFont="1" applyFill="1" applyBorder="1" applyAlignment="1">
      <alignment horizontal="right"/>
    </xf>
    <xf numFmtId="3" fontId="14" fillId="0" borderId="28" xfId="0" applyNumberFormat="1" applyFont="1" applyFill="1" applyBorder="1" applyAlignment="1">
      <alignment horizontal="right"/>
    </xf>
    <xf numFmtId="173" fontId="12" fillId="0" borderId="28" xfId="0" applyNumberFormat="1" applyFont="1" applyBorder="1" applyAlignment="1">
      <alignment horizontal="right"/>
    </xf>
    <xf numFmtId="173" fontId="12" fillId="0" borderId="35" xfId="0" applyNumberFormat="1" applyFont="1" applyFill="1" applyBorder="1" applyAlignment="1">
      <alignment horizontal="right"/>
    </xf>
    <xf numFmtId="10" fontId="12" fillId="0" borderId="28" xfId="633" applyNumberFormat="1" applyFont="1" applyFill="1" applyBorder="1" applyAlignment="1"/>
    <xf numFmtId="166" fontId="12" fillId="0" borderId="28" xfId="0" applyNumberFormat="1" applyFont="1" applyFill="1" applyBorder="1" applyAlignment="1"/>
    <xf numFmtId="0" fontId="9" fillId="0" borderId="24" xfId="465" applyFont="1" applyFill="1" applyBorder="1" applyAlignment="1">
      <alignment horizontal="center"/>
    </xf>
    <xf numFmtId="0" fontId="18" fillId="0" borderId="24" xfId="465" applyFont="1" applyFill="1" applyBorder="1" applyAlignment="1">
      <alignment horizontal="center" wrapText="1"/>
    </xf>
    <xf numFmtId="166" fontId="12" fillId="0" borderId="35" xfId="0" applyNumberFormat="1" applyFont="1" applyFill="1" applyBorder="1" applyAlignment="1"/>
    <xf numFmtId="166" fontId="10" fillId="0" borderId="28" xfId="0" applyNumberFormat="1" applyFont="1" applyFill="1" applyBorder="1" applyAlignment="1"/>
    <xf numFmtId="166" fontId="10" fillId="0" borderId="28" xfId="0" applyNumberFormat="1" applyFont="1" applyBorder="1" applyAlignment="1"/>
    <xf numFmtId="166" fontId="12" fillId="0" borderId="28" xfId="0" applyNumberFormat="1" applyFont="1" applyBorder="1" applyAlignment="1"/>
    <xf numFmtId="0" fontId="12" fillId="0" borderId="28" xfId="0" applyFont="1" applyBorder="1" applyAlignment="1"/>
    <xf numFmtId="10" fontId="12" fillId="0" borderId="28" xfId="0" applyNumberFormat="1" applyFont="1" applyFill="1" applyBorder="1"/>
    <xf numFmtId="10" fontId="12" fillId="0" borderId="28" xfId="0" applyNumberFormat="1" applyFont="1" applyFill="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3" fontId="12"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Fill="1" applyBorder="1"/>
    <xf numFmtId="164" fontId="12" fillId="0" borderId="0" xfId="381" applyNumberFormat="1" applyFont="1" applyFill="1" applyBorder="1" applyAlignment="1"/>
    <xf numFmtId="0" fontId="12" fillId="0" borderId="25" xfId="0" applyFont="1" applyFill="1" applyBorder="1" applyAlignment="1">
      <alignment horizontal="left"/>
    </xf>
    <xf numFmtId="0" fontId="12" fillId="0" borderId="24" xfId="0" applyFont="1" applyFill="1" applyBorder="1" applyAlignment="1"/>
    <xf numFmtId="0" fontId="10" fillId="0" borderId="24" xfId="0" applyNumberFormat="1" applyFont="1" applyFill="1" applyBorder="1" applyAlignment="1">
      <alignment horizontal="center"/>
    </xf>
    <xf numFmtId="0" fontId="12" fillId="0" borderId="24" xfId="0" applyFont="1" applyFill="1" applyBorder="1"/>
    <xf numFmtId="0" fontId="12" fillId="0" borderId="50" xfId="0" applyFont="1" applyFill="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NumberFormat="1" applyFont="1" applyFill="1" applyBorder="1" applyAlignment="1">
      <alignment horizontal="center"/>
    </xf>
    <xf numFmtId="164" fontId="12" fillId="0" borderId="52" xfId="381" applyNumberFormat="1" applyFont="1" applyBorder="1"/>
    <xf numFmtId="0" fontId="12" fillId="0" borderId="20" xfId="0" applyNumberFormat="1" applyFont="1" applyBorder="1" applyAlignment="1">
      <alignment horizontal="center"/>
    </xf>
    <xf numFmtId="0" fontId="14" fillId="0" borderId="0" xfId="0" applyFont="1" applyFill="1" applyBorder="1" applyAlignment="1">
      <alignment horizontal="left"/>
    </xf>
    <xf numFmtId="3" fontId="12" fillId="0" borderId="53" xfId="0" applyNumberFormat="1" applyFont="1" applyFill="1" applyBorder="1" applyAlignment="1"/>
    <xf numFmtId="173" fontId="10" fillId="0" borderId="54" xfId="633" applyNumberFormat="1" applyFont="1" applyFill="1" applyBorder="1" applyAlignment="1"/>
    <xf numFmtId="3" fontId="12" fillId="0" borderId="0" xfId="0" applyNumberFormat="1" applyFont="1" applyFill="1" applyBorder="1" applyAlignment="1">
      <alignment horizontal="center"/>
    </xf>
    <xf numFmtId="0" fontId="12" fillId="0" borderId="20" xfId="0" applyFont="1" applyBorder="1" applyAlignment="1">
      <alignment horizontal="center"/>
    </xf>
    <xf numFmtId="3" fontId="10" fillId="0" borderId="52" xfId="0" applyNumberFormat="1" applyFont="1" applyFill="1" applyBorder="1" applyAlignment="1"/>
    <xf numFmtId="3" fontId="12" fillId="0" borderId="0" xfId="0" applyNumberFormat="1" applyFont="1" applyBorder="1"/>
    <xf numFmtId="164" fontId="12" fillId="0" borderId="52" xfId="381" applyNumberFormat="1" applyFont="1" applyFill="1" applyBorder="1"/>
    <xf numFmtId="3" fontId="12" fillId="0" borderId="52" xfId="0" applyNumberFormat="1" applyFont="1" applyFill="1" applyBorder="1"/>
    <xf numFmtId="0" fontId="12" fillId="0" borderId="20" xfId="0" applyNumberFormat="1"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Fill="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Fill="1" applyBorder="1" applyAlignment="1"/>
    <xf numFmtId="0" fontId="12" fillId="0" borderId="20" xfId="0" applyFont="1" applyFill="1" applyBorder="1" applyAlignment="1">
      <alignment horizontal="center"/>
    </xf>
    <xf numFmtId="164" fontId="10" fillId="0" borderId="0" xfId="381" applyNumberFormat="1" applyFont="1" applyFill="1" applyBorder="1"/>
    <xf numFmtId="3" fontId="10" fillId="0" borderId="54" xfId="0" applyNumberFormat="1" applyFont="1" applyFill="1" applyBorder="1"/>
    <xf numFmtId="3" fontId="12" fillId="0" borderId="52" xfId="0" applyNumberFormat="1" applyFont="1" applyFill="1" applyBorder="1" applyAlignment="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Fill="1" applyBorder="1"/>
    <xf numFmtId="0" fontId="0" fillId="30" borderId="0" xfId="0" applyFill="1" applyBorder="1"/>
    <xf numFmtId="0" fontId="33" fillId="0" borderId="20" xfId="0" applyFont="1" applyBorder="1" applyAlignment="1">
      <alignment horizontal="left"/>
    </xf>
    <xf numFmtId="0" fontId="33" fillId="0" borderId="0" xfId="0" applyFont="1" applyBorder="1"/>
    <xf numFmtId="0" fontId="12" fillId="0" borderId="0" xfId="0" applyFont="1" applyFill="1" applyBorder="1" applyAlignment="1">
      <alignment horizontal="right"/>
    </xf>
    <xf numFmtId="0" fontId="12" fillId="0" borderId="0" xfId="0" applyNumberFormat="1" applyFont="1" applyFill="1" applyBorder="1" applyAlignment="1">
      <alignment horizontal="right"/>
    </xf>
    <xf numFmtId="0" fontId="58" fillId="0" borderId="0" xfId="0" applyNumberFormat="1" applyFont="1" applyFill="1" applyBorder="1" applyAlignment="1">
      <alignment horizontal="left"/>
    </xf>
    <xf numFmtId="0" fontId="16" fillId="0" borderId="0" xfId="0" applyFont="1" applyFill="1" applyBorder="1" applyAlignment="1">
      <alignment horizontal="center"/>
    </xf>
    <xf numFmtId="0" fontId="14" fillId="0" borderId="0" xfId="0" applyNumberFormat="1" applyFont="1" applyFill="1" applyBorder="1" applyAlignment="1">
      <alignment horizontal="center"/>
    </xf>
    <xf numFmtId="0" fontId="10" fillId="0" borderId="0" xfId="0" applyNumberFormat="1" applyFont="1" applyFill="1" applyBorder="1" applyAlignment="1">
      <alignment horizontal="right"/>
    </xf>
    <xf numFmtId="0" fontId="10" fillId="0" borderId="20" xfId="0" applyFont="1" applyBorder="1"/>
    <xf numFmtId="3" fontId="10" fillId="0" borderId="52" xfId="0" applyNumberFormat="1" applyFont="1" applyFill="1" applyBorder="1"/>
    <xf numFmtId="3" fontId="10" fillId="0" borderId="54" xfId="0" applyNumberFormat="1" applyFont="1" applyBorder="1"/>
    <xf numFmtId="0" fontId="12" fillId="0" borderId="20" xfId="0" applyFont="1" applyBorder="1" applyAlignment="1">
      <alignment horizontal="left"/>
    </xf>
    <xf numFmtId="0" fontId="10" fillId="30" borderId="0" xfId="0" applyNumberFormat="1" applyFont="1" applyFill="1" applyBorder="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4" xfId="0" applyNumberFormat="1" applyFont="1" applyFill="1" applyBorder="1" applyAlignment="1"/>
    <xf numFmtId="0" fontId="10" fillId="0" borderId="20" xfId="0" applyNumberFormat="1" applyFont="1" applyFill="1" applyBorder="1" applyAlignment="1"/>
    <xf numFmtId="0" fontId="12" fillId="0" borderId="0" xfId="0" applyNumberFormat="1" applyFont="1" applyBorder="1" applyAlignment="1">
      <alignment horizontal="right"/>
    </xf>
    <xf numFmtId="3" fontId="10" fillId="0" borderId="52" xfId="0" applyNumberFormat="1" applyFont="1" applyFill="1" applyBorder="1" applyAlignment="1">
      <alignment horizontal="right"/>
    </xf>
    <xf numFmtId="0" fontId="16" fillId="0" borderId="20" xfId="0" applyNumberFormat="1" applyFont="1" applyFill="1" applyBorder="1" applyAlignment="1">
      <alignment horizontal="center"/>
    </xf>
    <xf numFmtId="0" fontId="16" fillId="0" borderId="0" xfId="0" applyNumberFormat="1" applyFont="1" applyFill="1" applyBorder="1" applyAlignment="1"/>
    <xf numFmtId="3" fontId="10" fillId="0" borderId="54" xfId="0" applyNumberFormat="1" applyFont="1" applyFill="1" applyBorder="1" applyAlignment="1">
      <alignment horizontal="right"/>
    </xf>
    <xf numFmtId="164" fontId="10" fillId="0" borderId="52" xfId="381" applyNumberFormat="1" applyFont="1" applyFill="1" applyBorder="1"/>
    <xf numFmtId="0" fontId="10" fillId="0" borderId="20" xfId="0" applyNumberFormat="1" applyFont="1" applyBorder="1" applyAlignment="1">
      <alignment horizontal="center"/>
    </xf>
    <xf numFmtId="0" fontId="12" fillId="0" borderId="20" xfId="0" applyNumberFormat="1" applyFont="1" applyFill="1" applyBorder="1" applyAlignment="1">
      <alignment horizontal="left"/>
    </xf>
    <xf numFmtId="0" fontId="12" fillId="0" borderId="0" xfId="0" applyNumberFormat="1" applyFont="1" applyFill="1" applyBorder="1"/>
    <xf numFmtId="170" fontId="12" fillId="0" borderId="0" xfId="0" applyNumberFormat="1" applyFont="1" applyBorder="1" applyAlignment="1"/>
    <xf numFmtId="168" fontId="12" fillId="0" borderId="0" xfId="0" applyNumberFormat="1" applyFont="1" applyBorder="1" applyAlignment="1">
      <alignment horizontal="center"/>
    </xf>
    <xf numFmtId="3" fontId="12" fillId="0" borderId="52" xfId="0" applyNumberFormat="1" applyFont="1" applyBorder="1"/>
    <xf numFmtId="3" fontId="10" fillId="0" borderId="53" xfId="0" applyNumberFormat="1" applyFont="1" applyBorder="1"/>
    <xf numFmtId="3" fontId="21" fillId="0" borderId="56" xfId="0" applyNumberFormat="1" applyFont="1" applyBorder="1"/>
    <xf numFmtId="0" fontId="21" fillId="0" borderId="20" xfId="0" applyNumberFormat="1" applyFont="1" applyBorder="1" applyAlignment="1">
      <alignment horizontal="center"/>
    </xf>
    <xf numFmtId="3" fontId="12" fillId="0" borderId="55" xfId="0" applyNumberFormat="1" applyFont="1" applyFill="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Fill="1" applyBorder="1" applyAlignment="1"/>
    <xf numFmtId="3" fontId="10" fillId="0" borderId="55" xfId="0" applyNumberFormat="1" applyFont="1" applyFill="1" applyBorder="1" applyAlignment="1"/>
    <xf numFmtId="3" fontId="12" fillId="0" borderId="17" xfId="0" applyNumberFormat="1" applyFont="1" applyFill="1" applyBorder="1" applyAlignment="1"/>
    <xf numFmtId="164" fontId="12" fillId="0" borderId="26" xfId="381" applyNumberFormat="1" applyFont="1" applyFill="1" applyBorder="1"/>
    <xf numFmtId="0" fontId="0" fillId="0" borderId="19" xfId="0" applyBorder="1"/>
    <xf numFmtId="3" fontId="12" fillId="0" borderId="13" xfId="0" applyNumberFormat="1" applyFont="1" applyFill="1" applyBorder="1" applyAlignment="1"/>
    <xf numFmtId="0" fontId="12" fillId="0" borderId="57" xfId="0" applyFont="1" applyFill="1" applyBorder="1"/>
    <xf numFmtId="3" fontId="12" fillId="0" borderId="58" xfId="0" applyNumberFormat="1" applyFont="1" applyBorder="1" applyAlignment="1"/>
    <xf numFmtId="0" fontId="12" fillId="0" borderId="58" xfId="0" applyFont="1" applyFill="1" applyBorder="1"/>
    <xf numFmtId="3" fontId="12" fillId="0" borderId="59" xfId="0" applyNumberFormat="1" applyFont="1" applyFill="1" applyBorder="1" applyAlignment="1"/>
    <xf numFmtId="0" fontId="12" fillId="0" borderId="58" xfId="0" applyFont="1" applyBorder="1" applyAlignment="1"/>
    <xf numFmtId="0" fontId="12" fillId="0" borderId="58" xfId="0" applyFont="1" applyBorder="1"/>
    <xf numFmtId="0" fontId="12" fillId="0" borderId="60" xfId="0" applyFont="1" applyFill="1" applyBorder="1"/>
    <xf numFmtId="3" fontId="12" fillId="0" borderId="58" xfId="0" applyNumberFormat="1" applyFont="1" applyFill="1" applyBorder="1" applyAlignment="1"/>
    <xf numFmtId="3" fontId="12" fillId="0" borderId="19" xfId="0" applyNumberFormat="1" applyFont="1" applyBorder="1" applyAlignment="1"/>
    <xf numFmtId="3" fontId="12" fillId="0" borderId="60" xfId="0" applyNumberFormat="1" applyFont="1" applyFill="1" applyBorder="1" applyAlignment="1"/>
    <xf numFmtId="3" fontId="12" fillId="0" borderId="59" xfId="0" applyNumberFormat="1" applyFont="1" applyBorder="1" applyAlignment="1"/>
    <xf numFmtId="0" fontId="12" fillId="30" borderId="58" xfId="0" applyFont="1" applyFill="1" applyBorder="1"/>
    <xf numFmtId="0" fontId="12" fillId="0" borderId="58" xfId="0" applyFont="1" applyFill="1" applyBorder="1" applyAlignment="1">
      <alignment horizontal="left"/>
    </xf>
    <xf numFmtId="0" fontId="12" fillId="0" borderId="60" xfId="0" applyFont="1" applyFill="1" applyBorder="1" applyAlignment="1">
      <alignment horizontal="left"/>
    </xf>
    <xf numFmtId="3" fontId="12" fillId="0" borderId="60" xfId="0" applyNumberFormat="1" applyFont="1" applyBorder="1" applyAlignment="1"/>
    <xf numFmtId="3" fontId="10" fillId="0" borderId="59" xfId="0" applyNumberFormat="1" applyFont="1" applyFill="1" applyBorder="1" applyAlignment="1"/>
    <xf numFmtId="3" fontId="10" fillId="0" borderId="59" xfId="0" applyNumberFormat="1" applyFont="1" applyBorder="1" applyAlignment="1"/>
    <xf numFmtId="3" fontId="12" fillId="0" borderId="58" xfId="0" applyNumberFormat="1" applyFont="1" applyFill="1" applyBorder="1" applyAlignment="1">
      <alignment horizontal="right"/>
    </xf>
    <xf numFmtId="4" fontId="14" fillId="0" borderId="58" xfId="0" applyNumberFormat="1" applyFont="1" applyFill="1" applyBorder="1" applyAlignment="1">
      <alignment horizontal="right"/>
    </xf>
    <xf numFmtId="3" fontId="14" fillId="0" borderId="58" xfId="0" applyNumberFormat="1" applyFont="1" applyFill="1" applyBorder="1" applyAlignment="1">
      <alignment horizontal="right"/>
    </xf>
    <xf numFmtId="0" fontId="12" fillId="0" borderId="60" xfId="0" applyNumberFormat="1" applyFont="1" applyFill="1" applyBorder="1" applyAlignment="1">
      <alignment horizontal="left"/>
    </xf>
    <xf numFmtId="3" fontId="14" fillId="0" borderId="58" xfId="0" applyNumberFormat="1" applyFont="1" applyBorder="1" applyAlignment="1">
      <alignment horizontal="right"/>
    </xf>
    <xf numFmtId="3" fontId="12" fillId="0" borderId="59" xfId="0" applyNumberFormat="1" applyFont="1" applyFill="1" applyBorder="1" applyAlignment="1">
      <alignment horizontal="right"/>
    </xf>
    <xf numFmtId="0" fontId="12" fillId="0" borderId="58" xfId="0" applyFont="1" applyFill="1" applyBorder="1" applyAlignment="1"/>
    <xf numFmtId="0" fontId="12" fillId="0" borderId="58" xfId="0" applyNumberFormat="1" applyFont="1" applyFill="1" applyBorder="1" applyAlignment="1"/>
    <xf numFmtId="0" fontId="12" fillId="0" borderId="60" xfId="0" applyFont="1" applyFill="1" applyBorder="1" applyAlignment="1"/>
    <xf numFmtId="0" fontId="12" fillId="0" borderId="58" xfId="0" applyNumberFormat="1" applyFont="1" applyFill="1" applyBorder="1" applyAlignment="1">
      <alignment horizontal="left"/>
    </xf>
    <xf numFmtId="3" fontId="10" fillId="0" borderId="58" xfId="0" applyNumberFormat="1" applyFont="1" applyBorder="1" applyAlignment="1"/>
    <xf numFmtId="168" fontId="12" fillId="0" borderId="58" xfId="0" applyNumberFormat="1" applyFont="1" applyBorder="1" applyAlignment="1">
      <alignment horizontal="left"/>
    </xf>
    <xf numFmtId="3" fontId="16" fillId="0" borderId="58" xfId="0" applyNumberFormat="1" applyFont="1" applyBorder="1" applyAlignment="1"/>
    <xf numFmtId="3" fontId="21" fillId="0" borderId="61" xfId="0" applyNumberFormat="1" applyFont="1" applyBorder="1" applyAlignment="1"/>
    <xf numFmtId="0" fontId="12" fillId="0" borderId="35" xfId="0" applyFont="1" applyBorder="1"/>
    <xf numFmtId="0" fontId="0" fillId="0" borderId="33" xfId="0" applyBorder="1"/>
    <xf numFmtId="0" fontId="12" fillId="0" borderId="35" xfId="0" applyFont="1" applyFill="1"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Fill="1" applyBorder="1" applyAlignment="1"/>
    <xf numFmtId="3" fontId="12" fillId="0" borderId="63" xfId="0" applyNumberFormat="1" applyFont="1" applyFill="1" applyBorder="1" applyAlignment="1"/>
    <xf numFmtId="3" fontId="12" fillId="0" borderId="19" xfId="0" applyNumberFormat="1" applyFont="1" applyFill="1" applyBorder="1" applyAlignment="1"/>
    <xf numFmtId="3" fontId="12" fillId="0" borderId="34" xfId="0" applyNumberFormat="1" applyFont="1" applyFill="1" applyBorder="1" applyAlignment="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33" xfId="0" applyNumberFormat="1" applyFont="1" applyBorder="1" applyAlignment="1"/>
    <xf numFmtId="3" fontId="10" fillId="0" borderId="61" xfId="0" applyNumberFormat="1" applyFont="1" applyBorder="1" applyAlignment="1"/>
    <xf numFmtId="0" fontId="10" fillId="0" borderId="15" xfId="0" applyFont="1" applyBorder="1"/>
    <xf numFmtId="0" fontId="21" fillId="0" borderId="15" xfId="0" applyNumberFormat="1" applyFont="1" applyBorder="1" applyAlignment="1">
      <alignment horizontal="left"/>
    </xf>
    <xf numFmtId="0" fontId="21" fillId="0" borderId="15" xfId="0" applyFont="1" applyFill="1" applyBorder="1"/>
    <xf numFmtId="0" fontId="21" fillId="0" borderId="15" xfId="0" applyFont="1" applyBorder="1" applyAlignment="1">
      <alignment horizontal="center"/>
    </xf>
    <xf numFmtId="0" fontId="60" fillId="0" borderId="0" xfId="0" applyFont="1" applyFill="1" applyBorder="1" applyAlignment="1"/>
    <xf numFmtId="0" fontId="12" fillId="0" borderId="22" xfId="0" applyFont="1" applyFill="1" applyBorder="1" applyAlignment="1">
      <alignment horizontal="center"/>
    </xf>
    <xf numFmtId="0" fontId="12" fillId="0" borderId="10" xfId="0" applyNumberFormat="1" applyFont="1" applyFill="1" applyBorder="1" applyAlignment="1">
      <alignment horizontal="center"/>
    </xf>
    <xf numFmtId="0" fontId="12" fillId="0" borderId="10" xfId="0" applyNumberFormat="1" applyFont="1" applyBorder="1" applyAlignment="1">
      <alignment horizontal="left"/>
    </xf>
    <xf numFmtId="0" fontId="12" fillId="0" borderId="10" xfId="0" applyFont="1" applyBorder="1" applyAlignment="1"/>
    <xf numFmtId="0" fontId="15" fillId="0" borderId="10" xfId="0" applyFont="1" applyBorder="1" applyAlignment="1">
      <alignment horizontal="center"/>
    </xf>
    <xf numFmtId="3" fontId="12" fillId="0" borderId="10" xfId="0" applyNumberFormat="1" applyFont="1" applyBorder="1" applyAlignment="1"/>
    <xf numFmtId="0" fontId="0" fillId="0" borderId="49" xfId="0" applyBorder="1"/>
    <xf numFmtId="43" fontId="10" fillId="0" borderId="10" xfId="381" applyFont="1" applyBorder="1"/>
    <xf numFmtId="164" fontId="10" fillId="0" borderId="49" xfId="381" applyNumberFormat="1" applyFont="1" applyBorder="1"/>
    <xf numFmtId="37" fontId="0" fillId="0" borderId="12" xfId="0" applyNumberFormat="1" applyFill="1" applyBorder="1"/>
    <xf numFmtId="0" fontId="0" fillId="0" borderId="13" xfId="0" applyFill="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Fill="1" applyBorder="1"/>
    <xf numFmtId="0" fontId="9" fillId="0" borderId="14" xfId="465" applyNumberFormat="1" applyFont="1" applyFill="1" applyBorder="1" applyAlignment="1">
      <alignment horizontal="left"/>
    </xf>
    <xf numFmtId="3" fontId="18" fillId="0" borderId="14" xfId="465" applyNumberFormat="1" applyFont="1" applyFill="1" applyBorder="1" applyAlignment="1">
      <alignment horizontal="center"/>
    </xf>
    <xf numFmtId="0" fontId="9" fillId="0" borderId="13" xfId="465" applyNumberFormat="1" applyFont="1" applyFill="1" applyBorder="1" applyAlignment="1">
      <alignment horizontal="left"/>
    </xf>
    <xf numFmtId="3" fontId="18" fillId="0" borderId="13" xfId="465" applyNumberFormat="1" applyFont="1" applyFill="1" applyBorder="1" applyAlignment="1"/>
    <xf numFmtId="164" fontId="9" fillId="0" borderId="33" xfId="390" applyNumberFormat="1" applyFont="1" applyFill="1" applyBorder="1" applyAlignment="1">
      <alignment horizontal="right"/>
    </xf>
    <xf numFmtId="168" fontId="8" fillId="0" borderId="0" xfId="465" applyNumberFormat="1" applyFont="1" applyFill="1" applyBorder="1" applyAlignment="1">
      <alignment horizontal="center" wrapText="1"/>
    </xf>
    <xf numFmtId="164" fontId="9" fillId="0" borderId="0" xfId="465" applyNumberFormat="1" applyFont="1" applyFill="1" applyBorder="1" applyAlignment="1">
      <alignment horizontal="center" wrapText="1"/>
    </xf>
    <xf numFmtId="0" fontId="52" fillId="0" borderId="0" xfId="465" applyFont="1" applyFill="1" applyBorder="1"/>
    <xf numFmtId="164" fontId="8" fillId="0" borderId="0" xfId="381" applyNumberFormat="1" applyFont="1" applyFill="1" applyBorder="1" applyAlignment="1"/>
    <xf numFmtId="164" fontId="52" fillId="0" borderId="0" xfId="381" applyNumberFormat="1" applyFont="1" applyFill="1" applyBorder="1"/>
    <xf numFmtId="164" fontId="52" fillId="0" borderId="0" xfId="465"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NumberFormat="1" applyFont="1" applyFill="1" applyBorder="1" applyAlignment="1">
      <alignment horizontal="center"/>
    </xf>
    <xf numFmtId="0" fontId="18" fillId="0" borderId="40" xfId="465" applyNumberFormat="1" applyFont="1" applyFill="1" applyBorder="1" applyAlignment="1">
      <alignment horizontal="left"/>
    </xf>
    <xf numFmtId="0" fontId="18" fillId="0" borderId="41" xfId="465" applyNumberFormat="1" applyFont="1" applyFill="1" applyBorder="1" applyAlignment="1">
      <alignment horizontal="center"/>
    </xf>
    <xf numFmtId="0" fontId="9" fillId="0" borderId="25" xfId="465" applyFont="1" applyFill="1" applyBorder="1" applyAlignment="1">
      <alignment horizontal="center"/>
    </xf>
    <xf numFmtId="173" fontId="49" fillId="0" borderId="0" xfId="633" applyNumberFormat="1" applyFont="1" applyFill="1" applyBorder="1"/>
    <xf numFmtId="0" fontId="89" fillId="0" borderId="24" xfId="0" applyFont="1" applyFill="1" applyBorder="1" applyAlignment="1">
      <alignment horizontal="center"/>
    </xf>
    <xf numFmtId="0" fontId="49" fillId="0" borderId="22" xfId="0" applyFont="1" applyFill="1" applyBorder="1"/>
    <xf numFmtId="173" fontId="49" fillId="0" borderId="40" xfId="633" applyNumberFormat="1" applyFont="1" applyFill="1" applyBorder="1"/>
    <xf numFmtId="0" fontId="51" fillId="0" borderId="40" xfId="0" applyFont="1" applyFill="1" applyBorder="1"/>
    <xf numFmtId="164" fontId="49" fillId="0" borderId="3" xfId="381" applyNumberFormat="1" applyFont="1" applyFill="1" applyBorder="1"/>
    <xf numFmtId="0" fontId="49" fillId="0" borderId="40" xfId="0" applyFont="1" applyFill="1" applyBorder="1"/>
    <xf numFmtId="0" fontId="89" fillId="0" borderId="39" xfId="0" applyFont="1" applyFill="1" applyBorder="1" applyAlignment="1">
      <alignment horizontal="center"/>
    </xf>
    <xf numFmtId="0" fontId="89" fillId="0" borderId="20" xfId="0" applyFont="1" applyFill="1" applyBorder="1"/>
    <xf numFmtId="0" fontId="9" fillId="0" borderId="20" xfId="465" applyFont="1" applyFill="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10" xfId="0" applyFont="1" applyBorder="1"/>
    <xf numFmtId="0" fontId="12" fillId="0" borderId="10" xfId="0" applyFont="1" applyBorder="1" applyAlignment="1">
      <alignment horizontal="center"/>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0" fontId="90" fillId="0" borderId="0" xfId="0" applyFont="1" applyFill="1" applyBorder="1"/>
    <xf numFmtId="37" fontId="92" fillId="0" borderId="0" xfId="0" applyNumberFormat="1" applyFont="1" applyFill="1" applyBorder="1" applyAlignment="1">
      <alignment horizontal="right"/>
    </xf>
    <xf numFmtId="0" fontId="90" fillId="0" borderId="0" xfId="0" applyFont="1" applyFill="1"/>
    <xf numFmtId="37" fontId="10" fillId="0" borderId="0" xfId="0" applyNumberFormat="1" applyFont="1" applyFill="1" applyBorder="1" applyAlignment="1">
      <alignment horizontal="right"/>
    </xf>
    <xf numFmtId="39" fontId="10" fillId="0" borderId="28" xfId="0" applyNumberFormat="1" applyFont="1" applyFill="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applyFill="1" applyBorder="1"/>
    <xf numFmtId="37" fontId="117" fillId="0" borderId="0" xfId="0" applyNumberFormat="1" applyFont="1" applyFill="1" applyBorder="1"/>
    <xf numFmtId="37" fontId="118" fillId="0" borderId="0" xfId="0" applyNumberFormat="1" applyFont="1" applyFill="1" applyBorder="1"/>
    <xf numFmtId="37" fontId="12" fillId="0" borderId="58" xfId="0" applyNumberFormat="1" applyFont="1" applyFill="1" applyBorder="1"/>
    <xf numFmtId="37" fontId="12" fillId="0" borderId="0" xfId="0" applyNumberFormat="1" applyFont="1" applyFill="1" applyBorder="1"/>
    <xf numFmtId="37" fontId="12" fillId="0" borderId="28" xfId="0" applyNumberFormat="1" applyFont="1" applyFill="1" applyBorder="1" applyAlignment="1"/>
    <xf numFmtId="37" fontId="12" fillId="0" borderId="0" xfId="0" applyNumberFormat="1" applyFont="1" applyFill="1" applyBorder="1" applyAlignment="1"/>
    <xf numFmtId="37" fontId="12" fillId="0" borderId="58" xfId="0" applyNumberFormat="1" applyFont="1" applyFill="1" applyBorder="1" applyAlignment="1"/>
    <xf numFmtId="37" fontId="12" fillId="0" borderId="28" xfId="0" applyNumberFormat="1" applyFont="1" applyFill="1" applyBorder="1"/>
    <xf numFmtId="37" fontId="12" fillId="0" borderId="14" xfId="0" applyNumberFormat="1" applyFont="1" applyFill="1" applyBorder="1"/>
    <xf numFmtId="37" fontId="12" fillId="0" borderId="14" xfId="0" applyNumberFormat="1" applyFont="1" applyFill="1" applyBorder="1" applyAlignment="1"/>
    <xf numFmtId="37" fontId="12" fillId="0" borderId="60" xfId="0" applyNumberFormat="1" applyFont="1" applyFill="1" applyBorder="1" applyAlignment="1"/>
    <xf numFmtId="37" fontId="12" fillId="0" borderId="35" xfId="0" applyNumberFormat="1" applyFont="1" applyFill="1" applyBorder="1"/>
    <xf numFmtId="37" fontId="16" fillId="0" borderId="0" xfId="0" applyNumberFormat="1" applyFont="1" applyFill="1" applyBorder="1"/>
    <xf numFmtId="37" fontId="16" fillId="0" borderId="35" xfId="0" applyNumberFormat="1" applyFont="1" applyFill="1" applyBorder="1"/>
    <xf numFmtId="37" fontId="119" fillId="0" borderId="28" xfId="0" applyNumberFormat="1" applyFont="1" applyFill="1" applyBorder="1" applyAlignment="1">
      <alignment horizontal="center"/>
    </xf>
    <xf numFmtId="10" fontId="12" fillId="0" borderId="28" xfId="0" applyNumberFormat="1" applyFont="1" applyFill="1" applyBorder="1" applyAlignment="1"/>
    <xf numFmtId="3" fontId="12" fillId="0" borderId="0" xfId="0" applyNumberFormat="1" applyFont="1" applyFill="1" applyBorder="1" applyAlignment="1">
      <alignment horizontal="left"/>
    </xf>
    <xf numFmtId="0" fontId="12" fillId="0" borderId="0" xfId="0" quotePrefix="1" applyNumberFormat="1" applyFont="1" applyFill="1" applyBorder="1" applyAlignment="1">
      <alignment wrapText="1"/>
    </xf>
    <xf numFmtId="0" fontId="18" fillId="0" borderId="0" xfId="0" applyFont="1" applyFill="1" applyBorder="1"/>
    <xf numFmtId="0" fontId="12" fillId="0" borderId="58" xfId="0" applyFont="1" applyFill="1" applyBorder="1" applyAlignment="1">
      <alignment horizontal="right"/>
    </xf>
    <xf numFmtId="173" fontId="14" fillId="0" borderId="28" xfId="0" applyNumberFormat="1" applyFont="1" applyFill="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Fill="1" applyBorder="1" applyAlignment="1">
      <alignment horizontal="center" wrapText="1"/>
    </xf>
    <xf numFmtId="0" fontId="0" fillId="0" borderId="58" xfId="0" applyFill="1" applyBorder="1"/>
    <xf numFmtId="0" fontId="10" fillId="0" borderId="12" xfId="0" applyNumberFormat="1" applyFont="1" applyFill="1" applyBorder="1" applyAlignment="1">
      <alignment horizontal="center"/>
    </xf>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Fill="1" applyBorder="1" applyAlignment="1">
      <alignment horizontal="center"/>
    </xf>
    <xf numFmtId="0" fontId="10" fillId="0" borderId="24" xfId="0" applyNumberFormat="1" applyFont="1" applyFill="1" applyBorder="1" applyAlignment="1">
      <alignment horizontal="left"/>
    </xf>
    <xf numFmtId="0" fontId="12" fillId="0" borderId="24" xfId="0" applyFont="1" applyBorder="1" applyAlignment="1"/>
    <xf numFmtId="0" fontId="12" fillId="0" borderId="24" xfId="0" applyFont="1" applyFill="1" applyBorder="1" applyAlignment="1">
      <alignment horizontal="right"/>
    </xf>
    <xf numFmtId="0" fontId="12" fillId="0" borderId="57" xfId="0" applyFont="1" applyBorder="1"/>
    <xf numFmtId="0" fontId="0" fillId="0" borderId="24" xfId="0" applyBorder="1"/>
    <xf numFmtId="3" fontId="12" fillId="0" borderId="50" xfId="0" applyNumberFormat="1" applyFont="1" applyBorder="1" applyAlignment="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13" xfId="0" applyFont="1" applyFill="1" applyBorder="1"/>
    <xf numFmtId="0" fontId="10" fillId="0" borderId="13" xfId="0" applyFont="1" applyFill="1" applyBorder="1" applyAlignment="1">
      <alignment horizontal="center"/>
    </xf>
    <xf numFmtId="0" fontId="35" fillId="0" borderId="0" xfId="0" applyFont="1" applyFill="1"/>
    <xf numFmtId="0" fontId="0" fillId="0" borderId="17" xfId="0" applyFill="1" applyBorder="1"/>
    <xf numFmtId="37" fontId="0" fillId="0" borderId="17" xfId="0" applyNumberFormat="1" applyFill="1" applyBorder="1" applyAlignment="1">
      <alignment horizontal="right"/>
    </xf>
    <xf numFmtId="173" fontId="0" fillId="0" borderId="0" xfId="0" applyNumberFormat="1" applyFill="1"/>
    <xf numFmtId="0" fontId="10" fillId="0" borderId="0" xfId="0" applyFont="1" applyFill="1" applyAlignment="1">
      <alignment horizontal="centerContinuous"/>
    </xf>
    <xf numFmtId="0" fontId="0" fillId="0" borderId="0" xfId="0" applyFill="1" applyBorder="1" applyAlignment="1">
      <alignment horizontal="left"/>
    </xf>
    <xf numFmtId="0" fontId="87" fillId="0" borderId="0" xfId="0" applyFont="1" applyFill="1" applyBorder="1" applyAlignment="1">
      <alignment horizontal="left"/>
    </xf>
    <xf numFmtId="0" fontId="87" fillId="0" borderId="0" xfId="0" applyFont="1" applyFill="1"/>
    <xf numFmtId="0" fontId="35" fillId="0" borderId="0" xfId="0" applyFont="1" applyFill="1" applyBorder="1"/>
    <xf numFmtId="0" fontId="21" fillId="0" borderId="0" xfId="0" applyFont="1" applyFill="1" applyBorder="1" applyAlignment="1">
      <alignment horizontal="center"/>
    </xf>
    <xf numFmtId="0" fontId="41" fillId="0" borderId="0" xfId="0" applyFont="1" applyFill="1" applyBorder="1" applyAlignment="1"/>
    <xf numFmtId="0" fontId="0" fillId="0" borderId="0" xfId="0" applyFill="1" applyBorder="1" applyAlignment="1"/>
    <xf numFmtId="0" fontId="21" fillId="0" borderId="0" xfId="0" applyFont="1" applyFill="1" applyBorder="1" applyAlignment="1">
      <alignment horizontal="centerContinuous"/>
    </xf>
    <xf numFmtId="0" fontId="11" fillId="0" borderId="0" xfId="0" applyFont="1" applyFill="1" applyBorder="1" applyAlignment="1">
      <alignment horizontal="centerContinuous"/>
    </xf>
    <xf numFmtId="0" fontId="32" fillId="0" borderId="0" xfId="0" applyFont="1" applyFill="1" applyBorder="1" applyAlignment="1">
      <alignment horizontal="left"/>
    </xf>
    <xf numFmtId="0" fontId="31" fillId="0" borderId="0" xfId="0" applyFont="1" applyFill="1" applyBorder="1"/>
    <xf numFmtId="0" fontId="8" fillId="0" borderId="0" xfId="0" applyFont="1" applyFill="1" applyBorder="1" applyAlignment="1">
      <alignment horizontal="left"/>
    </xf>
    <xf numFmtId="0" fontId="18" fillId="0" borderId="0" xfId="0" applyFont="1" applyFill="1" applyBorder="1" applyAlignment="1">
      <alignment horizontal="left"/>
    </xf>
    <xf numFmtId="0" fontId="0" fillId="0" borderId="17" xfId="0" applyFill="1" applyBorder="1" applyAlignment="1">
      <alignment horizontal="left"/>
    </xf>
    <xf numFmtId="0" fontId="8" fillId="0" borderId="17" xfId="0" applyFont="1" applyFill="1" applyBorder="1"/>
    <xf numFmtId="164" fontId="8" fillId="0" borderId="17" xfId="381" applyNumberFormat="1" applyFont="1" applyFill="1" applyBorder="1"/>
    <xf numFmtId="164" fontId="8" fillId="0" borderId="17" xfId="381" applyNumberFormat="1" applyFill="1" applyBorder="1"/>
    <xf numFmtId="0" fontId="55" fillId="0" borderId="0" xfId="0" applyFont="1" applyFill="1"/>
    <xf numFmtId="42" fontId="18" fillId="0" borderId="0" xfId="0" applyNumberFormat="1" applyFont="1" applyFill="1"/>
    <xf numFmtId="42" fontId="0" fillId="0" borderId="0" xfId="0" applyNumberFormat="1" applyFill="1"/>
    <xf numFmtId="0" fontId="0" fillId="0" borderId="0" xfId="0" applyFill="1" applyAlignment="1">
      <alignment horizontal="right" wrapText="1"/>
    </xf>
    <xf numFmtId="37" fontId="9" fillId="0" borderId="0" xfId="0" applyNumberFormat="1" applyFont="1" applyFill="1" applyAlignment="1">
      <alignment horizontal="right" wrapText="1"/>
    </xf>
    <xf numFmtId="37" fontId="31" fillId="0" borderId="0" xfId="0" applyNumberFormat="1" applyFont="1" applyFill="1"/>
    <xf numFmtId="0" fontId="37" fillId="0" borderId="0" xfId="0" applyFont="1" applyFill="1" applyAlignment="1">
      <alignment horizontal="right"/>
    </xf>
    <xf numFmtId="0" fontId="9" fillId="0" borderId="0" xfId="0" applyFont="1" applyFill="1" applyAlignment="1"/>
    <xf numFmtId="0" fontId="44" fillId="0" borderId="0" xfId="0" applyFont="1" applyFill="1" applyAlignment="1"/>
    <xf numFmtId="0" fontId="44" fillId="0" borderId="0" xfId="465" applyFont="1" applyFill="1" applyBorder="1" applyAlignment="1">
      <alignment horizontal="left"/>
    </xf>
    <xf numFmtId="0" fontId="10" fillId="0" borderId="17" xfId="0" applyFont="1" applyFill="1" applyBorder="1" applyAlignment="1">
      <alignment horizontal="center" wrapText="1"/>
    </xf>
    <xf numFmtId="0" fontId="10" fillId="0" borderId="26" xfId="0" applyFont="1" applyFill="1" applyBorder="1" applyAlignment="1">
      <alignment horizontal="center" wrapText="1"/>
    </xf>
    <xf numFmtId="164" fontId="52" fillId="0" borderId="0" xfId="465" applyNumberFormat="1" applyFont="1" applyFill="1" applyBorder="1" applyAlignment="1">
      <alignment horizontal="center"/>
    </xf>
    <xf numFmtId="164" fontId="52" fillId="0" borderId="0" xfId="390" applyNumberFormat="1" applyFont="1" applyFill="1" applyBorder="1" applyAlignment="1"/>
    <xf numFmtId="3" fontId="52" fillId="0" borderId="0" xfId="465" applyNumberFormat="1" applyFont="1" applyFill="1" applyBorder="1" applyAlignment="1">
      <alignment horizontal="center"/>
    </xf>
    <xf numFmtId="0" fontId="18" fillId="0" borderId="14" xfId="465" applyFont="1" applyFill="1" applyBorder="1" applyAlignment="1"/>
    <xf numFmtId="0" fontId="52" fillId="0" borderId="35" xfId="465" applyFont="1" applyFill="1" applyBorder="1"/>
    <xf numFmtId="3" fontId="18" fillId="0" borderId="13" xfId="465" applyNumberFormat="1" applyFont="1" applyFill="1" applyBorder="1" applyAlignment="1">
      <alignment horizontal="center"/>
    </xf>
    <xf numFmtId="3" fontId="18" fillId="0" borderId="17" xfId="465" applyNumberFormat="1" applyFont="1" applyFill="1" applyBorder="1" applyAlignment="1">
      <alignment horizontal="center" wrapText="1"/>
    </xf>
    <xf numFmtId="3" fontId="18" fillId="0" borderId="17" xfId="465" applyNumberFormat="1" applyFont="1" applyFill="1" applyBorder="1" applyAlignment="1">
      <alignment horizontal="right"/>
    </xf>
    <xf numFmtId="0" fontId="57" fillId="0" borderId="24" xfId="465" applyFont="1" applyFill="1" applyBorder="1" applyAlignment="1">
      <alignment horizontal="center"/>
    </xf>
    <xf numFmtId="0" fontId="18" fillId="0" borderId="25" xfId="465" applyFont="1" applyFill="1" applyBorder="1" applyAlignment="1">
      <alignment horizontal="center" wrapText="1"/>
    </xf>
    <xf numFmtId="0" fontId="52" fillId="0" borderId="24" xfId="465" applyFont="1" applyFill="1" applyBorder="1" applyAlignment="1">
      <alignment horizontal="center" wrapText="1"/>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52" fillId="0" borderId="21" xfId="465" applyFont="1" applyFill="1" applyBorder="1"/>
    <xf numFmtId="43" fontId="49" fillId="0" borderId="0" xfId="381" applyFont="1" applyFill="1" applyBorder="1" applyAlignment="1"/>
    <xf numFmtId="0" fontId="52" fillId="0" borderId="28" xfId="465" applyFont="1" applyFill="1" applyBorder="1"/>
    <xf numFmtId="0" fontId="18" fillId="0" borderId="13" xfId="465" applyFont="1" applyFill="1" applyBorder="1" applyAlignment="1"/>
    <xf numFmtId="0" fontId="52" fillId="0" borderId="10" xfId="465" applyFont="1" applyFill="1" applyBorder="1" applyAlignment="1"/>
    <xf numFmtId="0" fontId="34" fillId="0" borderId="0" xfId="465" applyFont="1" applyFill="1" applyBorder="1" applyAlignment="1">
      <alignment horizontal="center"/>
    </xf>
    <xf numFmtId="37" fontId="35" fillId="0" borderId="0" xfId="465" applyNumberFormat="1" applyFont="1" applyFill="1" applyBorder="1" applyAlignment="1">
      <alignment horizontal="left"/>
    </xf>
    <xf numFmtId="0" fontId="35" fillId="0" borderId="0" xfId="465" applyFont="1" applyFill="1"/>
    <xf numFmtId="0" fontId="39" fillId="0" borderId="25" xfId="465" applyFont="1" applyFill="1" applyBorder="1" applyAlignment="1">
      <alignment horizontal="center" wrapText="1"/>
    </xf>
    <xf numFmtId="0" fontId="39" fillId="0" borderId="24" xfId="465" applyFont="1" applyFill="1" applyBorder="1" applyAlignment="1">
      <alignment horizontal="center" wrapText="1"/>
    </xf>
    <xf numFmtId="0" fontId="35" fillId="0" borderId="24" xfId="465" applyFont="1" applyFill="1" applyBorder="1" applyAlignment="1">
      <alignment horizontal="center" wrapText="1"/>
    </xf>
    <xf numFmtId="0" fontId="35" fillId="0" borderId="29" xfId="465" applyFont="1" applyFill="1" applyBorder="1" applyAlignment="1">
      <alignment horizontal="center" wrapText="1"/>
    </xf>
    <xf numFmtId="0" fontId="35" fillId="0" borderId="21" xfId="465" applyFont="1" applyFill="1" applyBorder="1"/>
    <xf numFmtId="0" fontId="35" fillId="0" borderId="20" xfId="465" applyFont="1" applyFill="1" applyBorder="1"/>
    <xf numFmtId="3" fontId="35" fillId="0" borderId="0" xfId="465" applyNumberFormat="1" applyFont="1" applyFill="1" applyBorder="1" applyAlignment="1">
      <alignment horizontal="left" wrapText="1"/>
    </xf>
    <xf numFmtId="0" fontId="8" fillId="0" borderId="0" xfId="465" applyFont="1" applyFill="1" applyBorder="1" applyAlignment="1">
      <alignment wrapText="1"/>
    </xf>
    <xf numFmtId="0" fontId="8" fillId="0" borderId="21" xfId="465" applyFont="1" applyFill="1" applyBorder="1" applyAlignment="1">
      <alignment wrapText="1"/>
    </xf>
    <xf numFmtId="0" fontId="35" fillId="0" borderId="0" xfId="465" applyFont="1" applyFill="1" applyBorder="1" applyAlignment="1">
      <alignment wrapText="1"/>
    </xf>
    <xf numFmtId="0" fontId="35" fillId="0" borderId="21" xfId="465" applyFont="1" applyFill="1" applyBorder="1" applyAlignment="1">
      <alignment wrapText="1"/>
    </xf>
    <xf numFmtId="3" fontId="35" fillId="0" borderId="0" xfId="465" quotePrefix="1" applyNumberFormat="1" applyFont="1" applyFill="1" applyBorder="1" applyAlignment="1">
      <alignment horizontal="left" wrapText="1"/>
    </xf>
    <xf numFmtId="0" fontId="35" fillId="0" borderId="22" xfId="465" applyNumberFormat="1" applyFont="1" applyFill="1" applyBorder="1" applyAlignment="1">
      <alignment horizontal="center"/>
    </xf>
    <xf numFmtId="0" fontId="35" fillId="0" borderId="10" xfId="465" applyNumberFormat="1" applyFont="1" applyFill="1" applyBorder="1" applyAlignment="1">
      <alignment horizontal="right"/>
    </xf>
    <xf numFmtId="0" fontId="35" fillId="0" borderId="10" xfId="465" applyFont="1" applyFill="1" applyBorder="1" applyAlignment="1">
      <alignment horizontal="left"/>
    </xf>
    <xf numFmtId="0" fontId="35" fillId="0" borderId="10" xfId="465" applyNumberFormat="1" applyFont="1" applyFill="1" applyBorder="1" applyAlignment="1">
      <alignment horizontal="center"/>
    </xf>
    <xf numFmtId="0" fontId="35" fillId="0" borderId="23" xfId="465" applyNumberFormat="1" applyFont="1" applyFill="1" applyBorder="1" applyAlignment="1"/>
    <xf numFmtId="0" fontId="35" fillId="0" borderId="10" xfId="465" applyNumberFormat="1" applyFont="1" applyFill="1" applyBorder="1" applyAlignment="1"/>
    <xf numFmtId="3" fontId="35" fillId="0" borderId="10" xfId="465" applyNumberFormat="1" applyFont="1" applyFill="1" applyBorder="1" applyAlignment="1">
      <alignment horizontal="center"/>
    </xf>
    <xf numFmtId="3" fontId="35" fillId="0" borderId="10" xfId="465" applyNumberFormat="1" applyFont="1" applyFill="1" applyBorder="1" applyAlignment="1">
      <alignment horizontal="left" wrapText="1"/>
    </xf>
    <xf numFmtId="0" fontId="9" fillId="0" borderId="16" xfId="465" applyFont="1" applyFill="1" applyBorder="1" applyAlignment="1">
      <alignment horizontal="center"/>
    </xf>
    <xf numFmtId="0" fontId="9" fillId="0" borderId="16" xfId="465" applyFont="1" applyFill="1" applyBorder="1" applyAlignment="1">
      <alignment horizontal="center" wrapText="1"/>
    </xf>
    <xf numFmtId="0" fontId="9" fillId="0" borderId="15" xfId="465" applyFont="1" applyFill="1" applyBorder="1" applyAlignment="1">
      <alignment horizontal="center" wrapText="1"/>
    </xf>
    <xf numFmtId="164" fontId="18" fillId="0" borderId="0" xfId="381" applyNumberFormat="1" applyFont="1" applyFill="1" applyBorder="1" applyAlignment="1"/>
    <xf numFmtId="0" fontId="9" fillId="0" borderId="25" xfId="465" applyFont="1" applyFill="1" applyBorder="1" applyAlignment="1">
      <alignment horizontal="center" wrapText="1"/>
    </xf>
    <xf numFmtId="0" fontId="8" fillId="0" borderId="21" xfId="465" applyFont="1" applyFill="1" applyBorder="1"/>
    <xf numFmtId="3" fontId="9" fillId="0" borderId="0" xfId="465" applyNumberFormat="1" applyFont="1" applyFill="1" applyBorder="1" applyAlignment="1">
      <alignment horizontal="center"/>
    </xf>
    <xf numFmtId="0" fontId="8" fillId="0" borderId="20" xfId="473" applyNumberFormat="1" applyFont="1" applyFill="1" applyBorder="1" applyAlignment="1">
      <alignment horizontal="center"/>
    </xf>
    <xf numFmtId="3" fontId="8" fillId="0" borderId="0" xfId="473" applyNumberFormat="1" applyFont="1" applyFill="1" applyBorder="1" applyAlignment="1">
      <alignment horizontal="center"/>
    </xf>
    <xf numFmtId="0" fontId="8" fillId="0" borderId="0" xfId="473" applyFont="1" applyFill="1" applyBorder="1"/>
    <xf numFmtId="164" fontId="8" fillId="0" borderId="21" xfId="381" applyNumberFormat="1" applyFont="1" applyFill="1" applyBorder="1"/>
    <xf numFmtId="43" fontId="8" fillId="0" borderId="21" xfId="381" applyFont="1" applyFill="1" applyBorder="1"/>
    <xf numFmtId="0" fontId="8" fillId="0" borderId="21" xfId="473" applyFont="1" applyFill="1" applyBorder="1"/>
    <xf numFmtId="0" fontId="8" fillId="0" borderId="22" xfId="473" applyNumberFormat="1" applyFont="1" applyFill="1" applyBorder="1" applyAlignment="1">
      <alignment horizontal="center"/>
    </xf>
    <xf numFmtId="0" fontId="9" fillId="0" borderId="10" xfId="473" applyFont="1" applyFill="1" applyBorder="1"/>
    <xf numFmtId="0" fontId="20" fillId="0" borderId="10" xfId="465" applyNumberFormat="1" applyFont="1" applyFill="1" applyBorder="1" applyAlignment="1">
      <alignment horizontal="center"/>
    </xf>
    <xf numFmtId="3" fontId="9" fillId="0" borderId="21" xfId="465" applyNumberFormat="1" applyFont="1" applyFill="1" applyBorder="1" applyAlignment="1"/>
    <xf numFmtId="3" fontId="9" fillId="0" borderId="0" xfId="465" applyNumberFormat="1" applyFont="1" applyFill="1" applyBorder="1" applyAlignment="1"/>
    <xf numFmtId="164" fontId="18" fillId="0" borderId="20" xfId="381" applyNumberFormat="1" applyFont="1" applyFill="1" applyBorder="1"/>
    <xf numFmtId="164" fontId="18" fillId="0" borderId="66" xfId="381" applyNumberFormat="1" applyFont="1" applyFill="1" applyBorder="1"/>
    <xf numFmtId="0" fontId="18" fillId="0" borderId="23" xfId="465" applyFont="1" applyFill="1" applyBorder="1"/>
    <xf numFmtId="0" fontId="8" fillId="0" borderId="10" xfId="465" applyFont="1" applyFill="1" applyBorder="1"/>
    <xf numFmtId="0" fontId="9" fillId="0" borderId="10" xfId="465" applyFont="1" applyFill="1" applyBorder="1"/>
    <xf numFmtId="0" fontId="8" fillId="0" borderId="23" xfId="465" applyFont="1" applyFill="1" applyBorder="1"/>
    <xf numFmtId="0" fontId="9" fillId="0" borderId="0" xfId="465" applyFont="1" applyFill="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Fill="1" applyBorder="1"/>
    <xf numFmtId="0" fontId="0" fillId="0" borderId="10" xfId="0" applyFill="1" applyBorder="1"/>
    <xf numFmtId="0" fontId="0" fillId="0" borderId="23" xfId="0" applyFill="1" applyBorder="1"/>
    <xf numFmtId="168" fontId="8" fillId="0" borderId="10" xfId="634" applyNumberFormat="1" applyFont="1" applyFill="1" applyBorder="1" applyAlignment="1">
      <alignment horizontal="center"/>
    </xf>
    <xf numFmtId="0" fontId="8" fillId="0" borderId="10" xfId="0" applyFont="1" applyFill="1" applyBorder="1"/>
    <xf numFmtId="0" fontId="8" fillId="0" borderId="23" xfId="0" applyFont="1" applyFill="1" applyBorder="1"/>
    <xf numFmtId="0" fontId="9" fillId="0" borderId="25" xfId="465" applyFont="1" applyFill="1" applyBorder="1" applyAlignment="1">
      <alignment horizontal="left"/>
    </xf>
    <xf numFmtId="3" fontId="20" fillId="0" borderId="20" xfId="465" applyNumberFormat="1" applyFont="1" applyFill="1" applyBorder="1" applyAlignment="1">
      <alignment horizontal="center"/>
    </xf>
    <xf numFmtId="37" fontId="9" fillId="0" borderId="0" xfId="467" applyNumberFormat="1" applyFont="1" applyFill="1" applyBorder="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0" fontId="9" fillId="0" borderId="10" xfId="465" applyFont="1" applyFill="1" applyBorder="1" applyAlignment="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applyFill="1" applyBorder="1"/>
    <xf numFmtId="0" fontId="115" fillId="0" borderId="21" xfId="0" applyFont="1" applyFill="1" applyBorder="1" applyAlignment="1">
      <alignment horizontal="right"/>
    </xf>
    <xf numFmtId="164" fontId="9" fillId="0" borderId="67" xfId="465" applyNumberFormat="1" applyFont="1" applyFill="1" applyBorder="1"/>
    <xf numFmtId="164" fontId="9" fillId="0" borderId="0" xfId="390" applyNumberFormat="1" applyFont="1" applyFill="1" applyBorder="1" applyAlignment="1"/>
    <xf numFmtId="3" fontId="18" fillId="0" borderId="21" xfId="465" applyNumberFormat="1" applyFont="1" applyFill="1" applyBorder="1" applyAlignment="1"/>
    <xf numFmtId="0" fontId="9" fillId="0" borderId="20" xfId="465" applyFont="1" applyFill="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Font="1" applyFill="1" applyBorder="1" applyAlignment="1">
      <alignment horizontal="right"/>
    </xf>
    <xf numFmtId="0" fontId="9" fillId="0" borderId="39" xfId="465" applyFont="1" applyFill="1" applyBorder="1" applyAlignment="1">
      <alignment horizontal="center"/>
    </xf>
    <xf numFmtId="0" fontId="18" fillId="0" borderId="40" xfId="465" applyFont="1" applyFill="1" applyBorder="1"/>
    <xf numFmtId="164" fontId="35" fillId="0" borderId="0" xfId="0" applyNumberFormat="1" applyFont="1" applyFill="1" applyBorder="1"/>
    <xf numFmtId="0" fontId="35" fillId="0" borderId="21" xfId="0" applyFont="1" applyFill="1" applyBorder="1"/>
    <xf numFmtId="164" fontId="35" fillId="0" borderId="10" xfId="0" applyNumberFormat="1" applyFont="1" applyFill="1" applyBorder="1"/>
    <xf numFmtId="0" fontId="34" fillId="0" borderId="10" xfId="0" applyFont="1" applyFill="1" applyBorder="1"/>
    <xf numFmtId="0" fontId="35" fillId="0" borderId="10" xfId="0" applyFont="1" applyFill="1" applyBorder="1"/>
    <xf numFmtId="0" fontId="35" fillId="0" borderId="23" xfId="0" applyFont="1" applyFill="1" applyBorder="1"/>
    <xf numFmtId="167" fontId="35" fillId="0" borderId="0" xfId="420" applyNumberFormat="1" applyFont="1" applyFill="1" applyBorder="1"/>
    <xf numFmtId="0" fontId="50" fillId="0" borderId="0" xfId="467" applyNumberFormat="1" applyFont="1" applyFill="1" applyAlignment="1">
      <alignment horizontal="left"/>
    </xf>
    <xf numFmtId="164" fontId="8" fillId="0" borderId="10" xfId="381" applyNumberFormat="1" applyFont="1" applyFill="1" applyBorder="1"/>
    <xf numFmtId="0" fontId="35" fillId="0" borderId="24" xfId="467" applyFont="1" applyFill="1" applyBorder="1" applyAlignment="1">
      <alignment horizontal="center"/>
    </xf>
    <xf numFmtId="0" fontId="8" fillId="0" borderId="21" xfId="467" applyFont="1" applyFill="1" applyBorder="1" applyAlignment="1">
      <alignment horizontal="center"/>
    </xf>
    <xf numFmtId="0" fontId="35" fillId="0" borderId="29" xfId="467" applyFont="1" applyFill="1" applyBorder="1"/>
    <xf numFmtId="0" fontId="35" fillId="0" borderId="21" xfId="467" applyFont="1" applyFill="1" applyBorder="1"/>
    <xf numFmtId="0" fontId="90" fillId="0" borderId="0" xfId="0" applyNumberFormat="1" applyFont="1" applyFill="1" applyAlignment="1">
      <alignment horizontal="left" wrapText="1"/>
    </xf>
    <xf numFmtId="0" fontId="35" fillId="0" borderId="10" xfId="467" applyFont="1" applyFill="1" applyBorder="1" applyAlignment="1">
      <alignment horizontal="center"/>
    </xf>
    <xf numFmtId="0" fontId="35" fillId="0" borderId="23" xfId="467" applyFont="1" applyFill="1" applyBorder="1"/>
    <xf numFmtId="0" fontId="35" fillId="0" borderId="22" xfId="467" applyFont="1" applyFill="1" applyBorder="1"/>
    <xf numFmtId="0" fontId="39" fillId="0" borderId="24" xfId="467" applyFont="1" applyFill="1" applyBorder="1" applyAlignment="1">
      <alignment horizontal="center" wrapText="1"/>
    </xf>
    <xf numFmtId="0" fontId="35" fillId="0" borderId="40" xfId="467" applyFont="1" applyFill="1" applyBorder="1" applyAlignment="1">
      <alignment horizontal="center"/>
    </xf>
    <xf numFmtId="167" fontId="35" fillId="0" borderId="40" xfId="420" applyNumberFormat="1" applyFont="1" applyFill="1" applyBorder="1"/>
    <xf numFmtId="167" fontId="35" fillId="0" borderId="0" xfId="467" applyNumberFormat="1" applyFont="1" applyFill="1" applyBorder="1"/>
    <xf numFmtId="0" fontId="9" fillId="0" borderId="26" xfId="0" applyFont="1" applyFill="1" applyBorder="1"/>
    <xf numFmtId="164" fontId="103" fillId="0" borderId="0" xfId="381" applyNumberFormat="1" applyFont="1" applyFill="1" applyBorder="1"/>
    <xf numFmtId="0" fontId="12" fillId="0" borderId="0" xfId="0" applyNumberFormat="1" applyFont="1" applyFill="1" applyBorder="1" applyAlignment="1">
      <alignment horizontal="center" vertical="top"/>
    </xf>
    <xf numFmtId="0" fontId="18" fillId="0" borderId="22" xfId="465" applyNumberFormat="1" applyFont="1" applyFill="1" applyBorder="1" applyAlignment="1">
      <alignment horizontal="left"/>
    </xf>
    <xf numFmtId="0" fontId="9" fillId="0" borderId="25" xfId="465" applyNumberFormat="1" applyFont="1" applyFill="1" applyBorder="1" applyAlignment="1">
      <alignment horizontal="center"/>
    </xf>
    <xf numFmtId="0" fontId="9" fillId="0" borderId="24" xfId="465" applyNumberFormat="1" applyFont="1" applyFill="1" applyBorder="1" applyAlignment="1">
      <alignment horizontal="center"/>
    </xf>
    <xf numFmtId="0" fontId="9" fillId="0" borderId="24" xfId="465" applyNumberFormat="1" applyFont="1" applyFill="1" applyBorder="1" applyAlignment="1">
      <alignment horizontal="left" wrapText="1"/>
    </xf>
    <xf numFmtId="0" fontId="8" fillId="0" borderId="0" xfId="467" applyFont="1"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0" xfId="467" applyFont="1" applyFill="1" applyBorder="1" applyAlignment="1">
      <alignment horizontal="left"/>
    </xf>
    <xf numFmtId="0" fontId="9" fillId="0" borderId="25" xfId="467" applyFont="1" applyFill="1" applyBorder="1" applyAlignment="1">
      <alignment horizontal="left"/>
    </xf>
    <xf numFmtId="0" fontId="9" fillId="0" borderId="24" xfId="467" applyFont="1" applyFill="1" applyBorder="1" applyAlignment="1">
      <alignment horizontal="left"/>
    </xf>
    <xf numFmtId="0" fontId="9" fillId="0" borderId="25" xfId="467" applyFont="1" applyFill="1" applyBorder="1" applyAlignment="1">
      <alignment horizontal="center" wrapText="1"/>
    </xf>
    <xf numFmtId="0" fontId="9" fillId="0" borderId="24" xfId="467" applyFont="1" applyFill="1" applyBorder="1" applyAlignment="1">
      <alignment horizontal="center" wrapText="1"/>
    </xf>
    <xf numFmtId="0" fontId="8" fillId="0" borderId="24" xfId="467" applyFont="1" applyBorder="1"/>
    <xf numFmtId="0" fontId="8" fillId="0" borderId="24" xfId="467" applyFont="1" applyFill="1" applyBorder="1" applyAlignment="1">
      <alignment wrapText="1"/>
    </xf>
    <xf numFmtId="0" fontId="9" fillId="0" borderId="24" xfId="467" applyFont="1" applyFill="1" applyBorder="1" applyAlignment="1">
      <alignment wrapText="1"/>
    </xf>
    <xf numFmtId="0" fontId="8" fillId="0" borderId="29" xfId="467" applyFont="1" applyFill="1" applyBorder="1" applyAlignment="1">
      <alignment wrapText="1"/>
    </xf>
    <xf numFmtId="0" fontId="9" fillId="0" borderId="20" xfId="467" applyFont="1" applyFill="1" applyBorder="1" applyAlignment="1">
      <alignment horizontal="left"/>
    </xf>
    <xf numFmtId="0" fontId="9" fillId="0" borderId="20" xfId="467" applyFont="1" applyFill="1" applyBorder="1" applyAlignment="1">
      <alignment horizontal="center" wrapText="1"/>
    </xf>
    <xf numFmtId="0" fontId="9" fillId="0" borderId="0" xfId="467" applyFont="1" applyFill="1" applyBorder="1" applyAlignment="1">
      <alignment horizontal="center" wrapText="1"/>
    </xf>
    <xf numFmtId="0" fontId="8" fillId="0" borderId="0" xfId="467" applyFont="1" applyFill="1" applyBorder="1" applyAlignment="1">
      <alignment wrapText="1"/>
    </xf>
    <xf numFmtId="0" fontId="9" fillId="0" borderId="0" xfId="467" applyFont="1" applyFill="1" applyBorder="1" applyAlignment="1">
      <alignment wrapText="1"/>
    </xf>
    <xf numFmtId="0" fontId="8" fillId="0" borderId="21" xfId="467" applyFont="1" applyFill="1" applyBorder="1" applyAlignment="1">
      <alignment wrapText="1"/>
    </xf>
    <xf numFmtId="164" fontId="9" fillId="0" borderId="0" xfId="467" applyNumberFormat="1" applyFont="1" applyFill="1" applyBorder="1" applyAlignment="1">
      <alignment horizontal="center" wrapText="1"/>
    </xf>
    <xf numFmtId="0" fontId="8" fillId="0" borderId="20" xfId="467" applyNumberFormat="1" applyFont="1" applyFill="1" applyBorder="1" applyAlignment="1">
      <alignment horizontal="center"/>
    </xf>
    <xf numFmtId="0" fontId="9" fillId="0" borderId="0" xfId="467" applyNumberFormat="1" applyFont="1" applyFill="1" applyBorder="1" applyAlignment="1"/>
    <xf numFmtId="0" fontId="8" fillId="0" borderId="0" xfId="467" applyFont="1" applyFill="1" applyBorder="1" applyAlignment="1">
      <alignment horizontal="left"/>
    </xf>
    <xf numFmtId="0" fontId="8" fillId="0" borderId="0" xfId="467" applyFont="1" applyFill="1" applyBorder="1" applyAlignment="1"/>
    <xf numFmtId="3" fontId="8" fillId="0" borderId="0" xfId="467" applyNumberFormat="1" applyFont="1" applyFill="1" applyBorder="1" applyAlignment="1">
      <alignment horizontal="center"/>
    </xf>
    <xf numFmtId="0" fontId="9" fillId="0" borderId="20" xfId="467" applyFont="1" applyFill="1" applyBorder="1" applyAlignment="1">
      <alignment horizontal="center"/>
    </xf>
    <xf numFmtId="3" fontId="9" fillId="0" borderId="0" xfId="467" applyNumberFormat="1" applyFont="1" applyFill="1" applyBorder="1" applyAlignment="1">
      <alignment horizontal="center"/>
    </xf>
    <xf numFmtId="0" fontId="9" fillId="0" borderId="0" xfId="467" applyFont="1" applyFill="1" applyBorder="1" applyAlignment="1">
      <alignment horizontal="center"/>
    </xf>
    <xf numFmtId="0" fontId="9" fillId="0" borderId="21" xfId="467" applyFont="1" applyFill="1" applyBorder="1"/>
    <xf numFmtId="164" fontId="8" fillId="0" borderId="0" xfId="467" applyNumberFormat="1" applyFont="1"/>
    <xf numFmtId="43" fontId="8" fillId="0" borderId="0" xfId="381" applyNumberFormat="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NumberFormat="1" applyFont="1" applyFill="1" applyBorder="1" applyAlignment="1">
      <alignment horizontal="center"/>
    </xf>
    <xf numFmtId="0" fontId="8" fillId="0" borderId="0" xfId="473" applyNumberFormat="1" applyFont="1" applyFill="1" applyBorder="1" applyAlignment="1">
      <alignment horizontal="right"/>
    </xf>
    <xf numFmtId="0" fontId="8" fillId="0" borderId="0" xfId="473" applyNumberFormat="1" applyFont="1" applyFill="1" applyBorder="1" applyAlignment="1">
      <alignment horizontal="left"/>
    </xf>
    <xf numFmtId="164" fontId="8" fillId="0" borderId="0" xfId="391" applyNumberFormat="1" applyFont="1" applyFill="1" applyBorder="1" applyAlignment="1">
      <alignment horizontal="center"/>
    </xf>
    <xf numFmtId="0" fontId="9" fillId="0" borderId="0" xfId="473" applyFont="1" applyFill="1" applyBorder="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Fill="1" applyBorder="1" applyAlignment="1">
      <alignment horizontal="center" wrapText="1"/>
    </xf>
    <xf numFmtId="0" fontId="10" fillId="0" borderId="42" xfId="0" applyFont="1" applyFill="1" applyBorder="1" applyAlignment="1">
      <alignment horizontal="center" wrapText="1"/>
    </xf>
    <xf numFmtId="0" fontId="10" fillId="0" borderId="43" xfId="0" applyFont="1" applyFill="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Fill="1" applyBorder="1"/>
    <xf numFmtId="0" fontId="35" fillId="0" borderId="10" xfId="467" applyFont="1" applyFill="1" applyBorder="1"/>
    <xf numFmtId="0" fontId="0" fillId="0" borderId="29" xfId="0" applyBorder="1"/>
    <xf numFmtId="0" fontId="39" fillId="0" borderId="25" xfId="467" applyFont="1" applyFill="1" applyBorder="1" applyAlignment="1">
      <alignment horizontal="center" wrapText="1"/>
    </xf>
    <xf numFmtId="167" fontId="35" fillId="0" borderId="20" xfId="467" applyNumberFormat="1" applyFont="1" applyFill="1" applyBorder="1"/>
    <xf numFmtId="167" fontId="8" fillId="0" borderId="21" xfId="467" applyNumberFormat="1" applyFont="1" applyBorder="1"/>
    <xf numFmtId="167" fontId="35" fillId="0" borderId="22" xfId="467" applyNumberFormat="1" applyFont="1" applyBorder="1"/>
    <xf numFmtId="0" fontId="0" fillId="0" borderId="23" xfId="0" applyBorder="1"/>
    <xf numFmtId="0" fontId="9" fillId="0" borderId="21" xfId="0" applyFont="1" applyBorder="1"/>
    <xf numFmtId="0" fontId="39" fillId="0" borderId="24" xfId="467" applyFont="1" applyFill="1" applyBorder="1" applyAlignment="1">
      <alignment horizontal="center" wrapText="1"/>
    </xf>
    <xf numFmtId="164" fontId="35" fillId="0" borderId="0" xfId="381" applyNumberFormat="1" applyFont="1" applyFill="1" applyBorder="1"/>
    <xf numFmtId="43" fontId="12" fillId="0" borderId="28" xfId="381" applyFont="1" applyFill="1" applyBorder="1" applyAlignment="1">
      <alignment horizontal="right"/>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applyAlignment="1"/>
    <xf numFmtId="164" fontId="12" fillId="33" borderId="28"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37" fontId="0" fillId="33" borderId="0" xfId="0" applyNumberFormat="1" applyFill="1" applyAlignment="1">
      <alignment horizontal="right" wrapText="1"/>
    </xf>
    <xf numFmtId="0" fontId="0" fillId="33" borderId="0" xfId="0" applyFill="1" applyAlignment="1">
      <alignment horizontal="right"/>
    </xf>
    <xf numFmtId="0" fontId="8" fillId="33" borderId="0" xfId="0" applyFont="1" applyFill="1" applyAlignment="1">
      <alignment horizontal="left" wrapText="1"/>
    </xf>
    <xf numFmtId="0" fontId="0" fillId="33" borderId="0" xfId="0" applyFill="1" applyAlignment="1">
      <alignment horizontal="right" wrapText="1"/>
    </xf>
    <xf numFmtId="0" fontId="0" fillId="33" borderId="0" xfId="0" applyFill="1" applyAlignment="1">
      <alignment horizontal="left" wrapText="1"/>
    </xf>
    <xf numFmtId="164" fontId="18" fillId="33" borderId="35" xfId="390" applyNumberFormat="1" applyFont="1" applyFill="1" applyBorder="1" applyAlignment="1">
      <alignment horizontal="right"/>
    </xf>
    <xf numFmtId="164" fontId="18" fillId="33" borderId="35" xfId="390" applyNumberFormat="1" applyFont="1" applyFill="1" applyBorder="1" applyAlignment="1"/>
    <xf numFmtId="164" fontId="18" fillId="33" borderId="28" xfId="390" applyNumberFormat="1" applyFont="1" applyFill="1" applyBorder="1" applyAlignment="1"/>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ont="1" applyFill="1" applyBorder="1" applyAlignment="1">
      <alignment horizontal="center"/>
    </xf>
    <xf numFmtId="164" fontId="9" fillId="33" borderId="14" xfId="381" applyNumberFormat="1" applyFont="1" applyFill="1" applyBorder="1"/>
    <xf numFmtId="164" fontId="9" fillId="0" borderId="10" xfId="465" applyNumberFormat="1" applyFont="1" applyFill="1" applyBorder="1" applyAlignment="1">
      <alignment horizontal="center"/>
    </xf>
    <xf numFmtId="164" fontId="8" fillId="34" borderId="0" xfId="381" applyNumberFormat="1" applyFont="1" applyFill="1" applyBorder="1"/>
    <xf numFmtId="43" fontId="8" fillId="34" borderId="0" xfId="467" applyNumberFormat="1" applyFont="1" applyFill="1" applyBorder="1"/>
    <xf numFmtId="164" fontId="87" fillId="0" borderId="0" xfId="381" applyNumberFormat="1" applyFont="1" applyFill="1"/>
    <xf numFmtId="0" fontId="0" fillId="0" borderId="21" xfId="0" applyFill="1" applyBorder="1"/>
    <xf numFmtId="0" fontId="0" fillId="0" borderId="20" xfId="0" applyFill="1" applyBorder="1"/>
    <xf numFmtId="0" fontId="8" fillId="0" borderId="21" xfId="0" applyFont="1" applyFill="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164" fontId="0" fillId="33" borderId="21" xfId="0" applyNumberFormat="1" applyFill="1" applyBorder="1"/>
    <xf numFmtId="3" fontId="12" fillId="33" borderId="35" xfId="0" applyNumberFormat="1" applyFont="1" applyFill="1" applyBorder="1" applyAlignment="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87" fillId="0" borderId="0" xfId="0" applyFont="1" applyFill="1" applyAlignment="1">
      <alignment horizontal="left"/>
    </xf>
    <xf numFmtId="0" fontId="121" fillId="0" borderId="0" xfId="0" applyFont="1" applyFill="1" applyAlignment="1">
      <alignment horizontal="center"/>
    </xf>
    <xf numFmtId="0" fontId="122" fillId="0" borderId="0" xfId="0" applyFont="1" applyFill="1"/>
    <xf numFmtId="0" fontId="39" fillId="0" borderId="26" xfId="0" applyFont="1" applyFill="1" applyBorder="1"/>
    <xf numFmtId="0" fontId="87" fillId="0" borderId="19" xfId="0" applyFont="1" applyFill="1" applyBorder="1"/>
    <xf numFmtId="37" fontId="87" fillId="0" borderId="17" xfId="0" applyNumberFormat="1" applyFont="1" applyFill="1" applyBorder="1"/>
    <xf numFmtId="0" fontId="39" fillId="0" borderId="60" xfId="0" applyFont="1" applyFill="1" applyBorder="1"/>
    <xf numFmtId="0" fontId="87" fillId="0" borderId="60" xfId="0" applyFont="1" applyFill="1" applyBorder="1"/>
    <xf numFmtId="0" fontId="39" fillId="0" borderId="58" xfId="0" applyFont="1" applyFill="1" applyBorder="1"/>
    <xf numFmtId="0" fontId="87" fillId="0" borderId="58" xfId="0" applyFont="1" applyFill="1" applyBorder="1"/>
    <xf numFmtId="0" fontId="87" fillId="0" borderId="0" xfId="0" applyFont="1" applyBorder="1" applyAlignment="1">
      <alignment horizontal="left"/>
    </xf>
    <xf numFmtId="0" fontId="123" fillId="0" borderId="0" xfId="0" applyFont="1" applyFill="1" applyBorder="1"/>
    <xf numFmtId="0" fontId="124" fillId="0" borderId="0" xfId="0" applyFont="1" applyBorder="1"/>
    <xf numFmtId="37" fontId="124" fillId="0" borderId="0" xfId="0" applyNumberFormat="1" applyFont="1" applyFill="1" applyBorder="1"/>
    <xf numFmtId="0" fontId="87" fillId="0" borderId="0" xfId="0" applyFont="1" applyFill="1" applyBorder="1"/>
    <xf numFmtId="0" fontId="18" fillId="0" borderId="47" xfId="0" applyFont="1" applyFill="1" applyBorder="1" applyAlignment="1">
      <alignment horizontal="left"/>
    </xf>
    <xf numFmtId="0" fontId="18" fillId="0" borderId="26" xfId="0" applyFont="1" applyFill="1" applyBorder="1" applyAlignment="1">
      <alignment horizontal="left"/>
    </xf>
    <xf numFmtId="0" fontId="9" fillId="0" borderId="19" xfId="0" applyFont="1" applyFill="1" applyBorder="1" applyAlignment="1"/>
    <xf numFmtId="0" fontId="9" fillId="0" borderId="19" xfId="0" applyFont="1" applyFill="1" applyBorder="1"/>
    <xf numFmtId="0" fontId="9" fillId="0" borderId="18" xfId="0" applyFont="1" applyFill="1" applyBorder="1"/>
    <xf numFmtId="0" fontId="39" fillId="0" borderId="0" xfId="0" applyFont="1" applyFill="1" applyBorder="1"/>
    <xf numFmtId="0" fontId="9" fillId="0" borderId="26" xfId="0" applyFont="1" applyFill="1" applyBorder="1" applyAlignment="1"/>
    <xf numFmtId="164" fontId="18" fillId="0" borderId="17" xfId="381" applyNumberFormat="1" applyFont="1" applyFill="1" applyBorder="1" applyAlignment="1">
      <alignment horizontal="right"/>
    </xf>
    <xf numFmtId="0" fontId="9" fillId="0" borderId="14" xfId="0" applyFont="1" applyFill="1" applyBorder="1"/>
    <xf numFmtId="37" fontId="87" fillId="0" borderId="0" xfId="0" applyNumberFormat="1" applyFont="1" applyFill="1" applyBorder="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Fill="1" applyBorder="1" applyAlignment="1" applyProtection="1">
      <alignment horizontal="left"/>
    </xf>
    <xf numFmtId="39" fontId="49" fillId="0" borderId="68" xfId="549" applyFont="1" applyFill="1" applyBorder="1"/>
    <xf numFmtId="39" fontId="49" fillId="0" borderId="68" xfId="549" applyFont="1" applyFill="1" applyBorder="1" applyAlignment="1">
      <alignment wrapText="1"/>
    </xf>
    <xf numFmtId="0" fontId="49" fillId="0" borderId="68" xfId="0" applyFont="1" applyFill="1" applyBorder="1" applyAlignment="1">
      <alignment wrapText="1"/>
    </xf>
    <xf numFmtId="39" fontId="49" fillId="0" borderId="38" xfId="549" applyFont="1" applyFill="1" applyBorder="1" applyAlignment="1">
      <alignment wrapText="1"/>
    </xf>
    <xf numFmtId="39" fontId="49" fillId="0" borderId="20" xfId="551" applyFont="1" applyFill="1" applyBorder="1"/>
    <xf numFmtId="39" fontId="49" fillId="0" borderId="0" xfId="551" applyFont="1" applyFill="1" applyBorder="1"/>
    <xf numFmtId="0" fontId="49" fillId="0" borderId="21" xfId="0" applyFont="1" applyFill="1" applyBorder="1"/>
    <xf numFmtId="0" fontId="49" fillId="0" borderId="0" xfId="0" applyFont="1" applyFill="1"/>
    <xf numFmtId="37" fontId="49" fillId="0" borderId="21" xfId="0" applyNumberFormat="1" applyFont="1" applyFill="1" applyBorder="1"/>
    <xf numFmtId="37" fontId="49" fillId="0" borderId="0" xfId="551" applyNumberFormat="1" applyFont="1" applyFill="1" applyBorder="1"/>
    <xf numFmtId="37" fontId="49" fillId="0" borderId="10" xfId="551" applyNumberFormat="1" applyFont="1" applyFill="1" applyBorder="1"/>
    <xf numFmtId="39" fontId="49" fillId="0" borderId="10" xfId="551" applyFont="1" applyFill="1" applyBorder="1" applyAlignment="1">
      <alignment horizontal="center"/>
    </xf>
    <xf numFmtId="39" fontId="49" fillId="0" borderId="25" xfId="551" applyFont="1" applyFill="1" applyBorder="1"/>
    <xf numFmtId="39" fontId="49" fillId="0" borderId="24" xfId="551" applyFont="1" applyFill="1" applyBorder="1"/>
    <xf numFmtId="0" fontId="49" fillId="0" borderId="0" xfId="0" applyFont="1" applyFill="1" applyBorder="1"/>
    <xf numFmtId="164" fontId="49" fillId="0" borderId="21" xfId="381" applyNumberFormat="1" applyFont="1" applyFill="1" applyBorder="1"/>
    <xf numFmtId="39" fontId="49" fillId="0" borderId="22" xfId="551" applyFont="1" applyFill="1" applyBorder="1"/>
    <xf numFmtId="164" fontId="49" fillId="0" borderId="23" xfId="0" applyNumberFormat="1" applyFont="1" applyFill="1" applyBorder="1"/>
    <xf numFmtId="0" fontId="128" fillId="0" borderId="0" xfId="467" applyFont="1" applyAlignment="1">
      <alignment horizontal="center"/>
    </xf>
    <xf numFmtId="0" fontId="128" fillId="0" borderId="0" xfId="467" applyFont="1"/>
    <xf numFmtId="37" fontId="87" fillId="0" borderId="19" xfId="0" applyNumberFormat="1" applyFont="1" applyFill="1" applyBorder="1"/>
    <xf numFmtId="44" fontId="0" fillId="0" borderId="0" xfId="420" applyFont="1"/>
    <xf numFmtId="44" fontId="0" fillId="0" borderId="0" xfId="0" applyNumberFormat="1"/>
    <xf numFmtId="164" fontId="103" fillId="0" borderId="0" xfId="0" applyNumberFormat="1" applyFont="1" applyBorder="1"/>
    <xf numFmtId="164" fontId="50" fillId="0" borderId="0" xfId="381" applyNumberFormat="1" applyFont="1" applyFill="1" applyAlignment="1">
      <alignment horizontal="left"/>
    </xf>
    <xf numFmtId="164" fontId="8" fillId="33" borderId="20" xfId="381" applyNumberFormat="1" applyFont="1" applyFill="1" applyBorder="1" applyAlignment="1">
      <alignment horizontal="center"/>
    </xf>
    <xf numFmtId="164" fontId="90" fillId="33" borderId="20" xfId="381" applyNumberFormat="1" applyFont="1" applyFill="1" applyBorder="1" applyAlignment="1">
      <alignment vertical="center"/>
    </xf>
    <xf numFmtId="164" fontId="8" fillId="33" borderId="30" xfId="381" applyNumberFormat="1" applyFont="1" applyFill="1" applyBorder="1" applyAlignment="1">
      <alignment horizontal="center"/>
    </xf>
    <xf numFmtId="164" fontId="8" fillId="33" borderId="0" xfId="381" applyNumberFormat="1" applyFont="1" applyFill="1" applyBorder="1" applyAlignment="1">
      <alignment horizontal="center"/>
    </xf>
    <xf numFmtId="164" fontId="8" fillId="33" borderId="0" xfId="381" applyNumberFormat="1" applyFont="1" applyFill="1" applyBorder="1"/>
    <xf numFmtId="0" fontId="8" fillId="33" borderId="0" xfId="467" applyFont="1" applyFill="1" applyBorder="1"/>
    <xf numFmtId="0" fontId="8" fillId="33" borderId="0" xfId="473" applyFont="1" applyFill="1" applyBorder="1"/>
    <xf numFmtId="164" fontId="8" fillId="33" borderId="14" xfId="381" applyNumberFormat="1" applyFont="1" applyFill="1" applyBorder="1" applyAlignment="1">
      <alignment horizontal="center"/>
    </xf>
    <xf numFmtId="0" fontId="8" fillId="33" borderId="14" xfId="467" applyFont="1" applyFill="1" applyBorder="1"/>
    <xf numFmtId="0" fontId="8" fillId="33" borderId="14" xfId="473" applyFont="1" applyFill="1" applyBorder="1"/>
    <xf numFmtId="164" fontId="18" fillId="33" borderId="0" xfId="465" applyNumberFormat="1" applyFont="1" applyFill="1" applyBorder="1" applyAlignment="1">
      <alignment horizontal="center"/>
    </xf>
    <xf numFmtId="37" fontId="49" fillId="0" borderId="24" xfId="551" applyNumberFormat="1" applyFont="1" applyFill="1" applyBorder="1" applyAlignment="1">
      <alignment horizontal="right"/>
    </xf>
    <xf numFmtId="37" fontId="49" fillId="0" borderId="29" xfId="551" applyNumberFormat="1" applyFont="1" applyFill="1" applyBorder="1" applyAlignment="1">
      <alignment horizontal="right"/>
    </xf>
    <xf numFmtId="37" fontId="0" fillId="0" borderId="0" xfId="0" applyNumberFormat="1" applyFill="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Fill="1" applyBorder="1" applyAlignment="1">
      <alignment horizontal="center"/>
    </xf>
    <xf numFmtId="3" fontId="129" fillId="0" borderId="14" xfId="0" applyNumberFormat="1" applyFont="1" applyBorder="1" applyAlignment="1">
      <alignment horizontal="center"/>
    </xf>
    <xf numFmtId="3" fontId="129" fillId="0" borderId="0" xfId="0" applyNumberFormat="1" applyFont="1" applyBorder="1" applyAlignment="1">
      <alignment horizontal="center"/>
    </xf>
    <xf numFmtId="3" fontId="14" fillId="0" borderId="0" xfId="0" applyNumberFormat="1" applyFont="1" applyBorder="1" applyAlignment="1">
      <alignment horizontal="center"/>
    </xf>
    <xf numFmtId="3" fontId="59" fillId="0" borderId="0" xfId="0" applyNumberFormat="1" applyFont="1" applyFill="1" applyBorder="1" applyAlignment="1">
      <alignment horizontal="center"/>
    </xf>
    <xf numFmtId="0" fontId="14" fillId="0" borderId="0" xfId="0" applyFont="1" applyBorder="1" applyAlignment="1">
      <alignment horizontal="center"/>
    </xf>
    <xf numFmtId="164" fontId="46" fillId="0" borderId="0" xfId="381" applyNumberFormat="1" applyFont="1" applyFill="1" applyAlignment="1"/>
    <xf numFmtId="0" fontId="10" fillId="0" borderId="0" xfId="0" applyFont="1" applyFill="1" applyBorder="1" applyAlignment="1">
      <alignment horizontal="center"/>
    </xf>
    <xf numFmtId="172" fontId="12" fillId="0" borderId="0" xfId="381" applyNumberFormat="1" applyFont="1" applyFill="1" applyBorder="1"/>
    <xf numFmtId="0" fontId="8" fillId="0" borderId="0" xfId="473" quotePrefix="1" applyFont="1" applyFill="1" applyBorder="1" applyAlignment="1"/>
    <xf numFmtId="164" fontId="51" fillId="0" borderId="0" xfId="381" applyNumberFormat="1" applyFont="1" applyFill="1"/>
    <xf numFmtId="0" fontId="49" fillId="0" borderId="10" xfId="0" applyFont="1" applyFill="1" applyBorder="1"/>
    <xf numFmtId="164" fontId="10" fillId="0" borderId="0" xfId="381" applyNumberFormat="1" applyFont="1" applyFill="1" applyBorder="1" applyAlignment="1">
      <alignment horizontal="right"/>
    </xf>
    <xf numFmtId="0" fontId="12" fillId="0" borderId="25" xfId="0" applyFont="1" applyFill="1" applyBorder="1" applyAlignment="1"/>
    <xf numFmtId="0" fontId="12" fillId="0" borderId="22" xfId="0" applyNumberFormat="1" applyFont="1" applyBorder="1" applyAlignment="1">
      <alignment horizontal="left"/>
    </xf>
    <xf numFmtId="0" fontId="12" fillId="0" borderId="10" xfId="0" applyNumberFormat="1" applyFont="1" applyBorder="1" applyAlignment="1">
      <alignment horizontal="center"/>
    </xf>
    <xf numFmtId="0" fontId="10" fillId="0" borderId="10" xfId="0" applyNumberFormat="1" applyFont="1" applyFill="1" applyBorder="1" applyAlignment="1"/>
    <xf numFmtId="0" fontId="12" fillId="0" borderId="10" xfId="0" applyFont="1" applyFill="1" applyBorder="1" applyAlignment="1"/>
    <xf numFmtId="3" fontId="12" fillId="0" borderId="10" xfId="0" applyNumberFormat="1" applyFont="1" applyBorder="1" applyAlignment="1">
      <alignment horizontal="center"/>
    </xf>
    <xf numFmtId="0" fontId="12" fillId="0" borderId="64" xfId="0" applyFont="1" applyBorder="1" applyAlignment="1"/>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41" fontId="0" fillId="0" borderId="14" xfId="0" applyNumberFormat="1" applyFill="1" applyBorder="1" applyAlignment="1">
      <alignment horizontal="right"/>
    </xf>
    <xf numFmtId="0" fontId="101" fillId="0" borderId="0" xfId="0" applyFont="1" applyFill="1" applyAlignment="1">
      <alignment horizontal="left"/>
    </xf>
    <xf numFmtId="0" fontId="0" fillId="34" borderId="26" xfId="0" applyFill="1" applyBorder="1" applyAlignment="1">
      <alignment horizontal="left"/>
    </xf>
    <xf numFmtId="37" fontId="0" fillId="34" borderId="17" xfId="0" applyNumberFormat="1" applyFill="1" applyBorder="1"/>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0" fillId="34" borderId="17" xfId="0" applyFill="1" applyBorder="1"/>
    <xf numFmtId="0" fontId="35" fillId="34" borderId="19" xfId="0" applyFont="1" applyFill="1" applyBorder="1"/>
    <xf numFmtId="0" fontId="35" fillId="34" borderId="18" xfId="0" applyFont="1" applyFill="1" applyBorder="1"/>
    <xf numFmtId="0" fontId="34" fillId="0" borderId="47" xfId="0" applyFont="1" applyFill="1" applyBorder="1"/>
    <xf numFmtId="0" fontId="34" fillId="0" borderId="35" xfId="0" applyFont="1" applyFill="1" applyBorder="1"/>
    <xf numFmtId="0" fontId="34" fillId="0" borderId="28" xfId="0" applyFont="1" applyFill="1" applyBorder="1"/>
    <xf numFmtId="0" fontId="101" fillId="0" borderId="0" xfId="0" applyFont="1" applyBorder="1" applyAlignment="1">
      <alignment horizontal="left"/>
    </xf>
    <xf numFmtId="0" fontId="34" fillId="0" borderId="69" xfId="0" applyFont="1" applyFill="1" applyBorder="1"/>
    <xf numFmtId="0" fontId="101" fillId="0" borderId="12" xfId="0" applyFont="1" applyBorder="1"/>
    <xf numFmtId="0" fontId="101" fillId="0" borderId="12" xfId="0" applyFont="1" applyFill="1" applyBorder="1"/>
    <xf numFmtId="37" fontId="101" fillId="0" borderId="12" xfId="0" applyNumberFormat="1" applyFont="1" applyFill="1" applyBorder="1"/>
    <xf numFmtId="37" fontId="101" fillId="0" borderId="12" xfId="0" applyNumberFormat="1" applyFont="1" applyFill="1" applyBorder="1" applyAlignment="1">
      <alignment horizontal="center"/>
    </xf>
    <xf numFmtId="0" fontId="101" fillId="0" borderId="18" xfId="0" applyFont="1" applyFill="1" applyBorder="1" applyAlignment="1">
      <alignment horizontal="center"/>
    </xf>
    <xf numFmtId="0" fontId="34" fillId="0" borderId="27" xfId="0" applyFont="1" applyFill="1" applyBorder="1" applyAlignment="1">
      <alignment horizontal="left"/>
    </xf>
    <xf numFmtId="0" fontId="101" fillId="0" borderId="0" xfId="0" applyFont="1" applyBorder="1"/>
    <xf numFmtId="0" fontId="101" fillId="0" borderId="0" xfId="0" applyFont="1" applyFill="1" applyBorder="1"/>
    <xf numFmtId="0" fontId="101" fillId="0" borderId="0" xfId="0" applyFont="1" applyFill="1" applyBorder="1" applyAlignment="1">
      <alignment horizontal="center"/>
    </xf>
    <xf numFmtId="0" fontId="101" fillId="0" borderId="58" xfId="0" applyFont="1" applyFill="1" applyBorder="1" applyAlignment="1">
      <alignment horizontal="center"/>
    </xf>
    <xf numFmtId="0" fontId="34" fillId="0" borderId="70" xfId="0" applyFont="1" applyFill="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Fill="1" applyBorder="1" applyAlignment="1"/>
    <xf numFmtId="0" fontId="17" fillId="0" borderId="17" xfId="0" applyFont="1" applyFill="1" applyBorder="1"/>
    <xf numFmtId="0" fontId="17" fillId="0" borderId="34" xfId="0" applyFont="1" applyFill="1" applyBorder="1"/>
    <xf numFmtId="0" fontId="17" fillId="0" borderId="47" xfId="0" applyFont="1" applyFill="1" applyBorder="1"/>
    <xf numFmtId="0" fontId="101" fillId="0" borderId="12" xfId="0" applyFont="1" applyFill="1" applyBorder="1" applyAlignment="1">
      <alignment horizontal="center"/>
    </xf>
    <xf numFmtId="0" fontId="101" fillId="0" borderId="14" xfId="0" applyFont="1" applyFill="1" applyBorder="1"/>
    <xf numFmtId="0" fontId="101" fillId="0" borderId="14" xfId="0" applyFont="1" applyFill="1" applyBorder="1" applyAlignment="1">
      <alignment horizontal="center"/>
    </xf>
    <xf numFmtId="0" fontId="101" fillId="0" borderId="60" xfId="0" applyFont="1" applyFill="1" applyBorder="1" applyAlignment="1">
      <alignment horizontal="center"/>
    </xf>
    <xf numFmtId="37" fontId="8" fillId="34" borderId="17" xfId="0" applyNumberFormat="1" applyFont="1" applyFill="1" applyBorder="1"/>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18" fillId="34" borderId="18" xfId="0" applyFont="1" applyFill="1" applyBorder="1"/>
    <xf numFmtId="0" fontId="18" fillId="34" borderId="19" xfId="0" applyFont="1" applyFill="1" applyBorder="1"/>
    <xf numFmtId="0" fontId="8" fillId="34" borderId="70" xfId="0" applyFont="1" applyFill="1" applyBorder="1" applyAlignment="1">
      <alignment horizontal="left"/>
    </xf>
    <xf numFmtId="0" fontId="8" fillId="34" borderId="0" xfId="0" applyFont="1" applyFill="1" applyBorder="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47" xfId="0" applyFont="1" applyFill="1" applyBorder="1" applyAlignment="1"/>
    <xf numFmtId="0" fontId="17" fillId="0" borderId="70" xfId="0" applyFont="1" applyFill="1" applyBorder="1"/>
    <xf numFmtId="0" fontId="101" fillId="0" borderId="58" xfId="0" applyFont="1" applyBorder="1"/>
    <xf numFmtId="0" fontId="101" fillId="0" borderId="14"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0" fillId="34" borderId="0" xfId="0" applyFill="1" applyBorder="1"/>
    <xf numFmtId="0" fontId="18" fillId="34" borderId="0" xfId="465" applyFont="1" applyFill="1" applyBorder="1"/>
    <xf numFmtId="49" fontId="0" fillId="34" borderId="0" xfId="0" applyNumberFormat="1" applyFill="1" applyBorder="1" applyAlignment="1">
      <alignment horizontal="left"/>
    </xf>
    <xf numFmtId="0" fontId="18" fillId="34" borderId="0" xfId="465" applyFont="1" applyFill="1"/>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applyBorder="1"/>
    <xf numFmtId="0" fontId="18" fillId="34" borderId="14" xfId="465" applyFont="1" applyFill="1" applyBorder="1"/>
    <xf numFmtId="164" fontId="18" fillId="34" borderId="0" xfId="465" applyNumberFormat="1" applyFont="1" applyFill="1" applyBorder="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Border="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applyBorder="1"/>
    <xf numFmtId="0" fontId="9" fillId="34" borderId="0" xfId="465" applyFont="1" applyFill="1" applyBorder="1"/>
    <xf numFmtId="164" fontId="18" fillId="34" borderId="26" xfId="465" applyNumberFormat="1" applyFon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applyBorder="1"/>
    <xf numFmtId="173" fontId="49" fillId="0" borderId="41" xfId="633" applyNumberFormat="1" applyFont="1" applyFill="1" applyBorder="1"/>
    <xf numFmtId="173" fontId="49" fillId="0" borderId="10" xfId="633" applyNumberFormat="1" applyFont="1" applyFill="1" applyBorder="1"/>
    <xf numFmtId="0" fontId="51" fillId="0" borderId="16" xfId="0" applyFont="1" applyFill="1" applyBorder="1"/>
    <xf numFmtId="164" fontId="51" fillId="0" borderId="71" xfId="381" applyNumberFormat="1" applyFont="1" applyFill="1" applyBorder="1"/>
    <xf numFmtId="0" fontId="51" fillId="0" borderId="15" xfId="0" applyFont="1" applyFill="1" applyBorder="1"/>
    <xf numFmtId="43" fontId="49" fillId="0" borderId="15" xfId="381" applyFont="1" applyFill="1" applyBorder="1"/>
    <xf numFmtId="43" fontId="49" fillId="0" borderId="3" xfId="381" applyFont="1" applyFill="1" applyBorder="1"/>
    <xf numFmtId="164" fontId="49" fillId="0" borderId="3" xfId="0" applyNumberFormat="1" applyFont="1" applyFill="1" applyBorder="1"/>
    <xf numFmtId="164" fontId="49" fillId="0" borderId="15" xfId="0" applyNumberFormat="1" applyFont="1" applyFill="1" applyBorder="1"/>
    <xf numFmtId="164" fontId="51" fillId="0" borderId="0" xfId="0" applyNumberFormat="1" applyFont="1" applyFill="1"/>
    <xf numFmtId="37" fontId="49" fillId="0" borderId="23" xfId="0" applyNumberFormat="1" applyFont="1" applyFill="1" applyBorder="1"/>
    <xf numFmtId="164" fontId="8" fillId="0" borderId="0" xfId="381" applyNumberFormat="1"/>
    <xf numFmtId="164" fontId="84" fillId="0" borderId="0" xfId="381" applyNumberFormat="1" applyFont="1" applyFill="1"/>
    <xf numFmtId="41" fontId="8" fillId="0" borderId="0" xfId="0" applyNumberFormat="1" applyFont="1" applyFill="1" applyBorder="1" applyAlignment="1">
      <alignment horizontal="left"/>
    </xf>
    <xf numFmtId="3" fontId="0" fillId="0" borderId="0" xfId="0" applyNumberFormat="1"/>
    <xf numFmtId="164" fontId="0" fillId="0" borderId="22" xfId="0" applyNumberFormat="1" applyFill="1" applyBorder="1"/>
    <xf numFmtId="164" fontId="18" fillId="0" borderId="0" xfId="381" applyNumberFormat="1" applyFont="1"/>
    <xf numFmtId="164" fontId="18" fillId="0" borderId="0" xfId="465" applyNumberFormat="1" applyFont="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164" fontId="8" fillId="0" borderId="17" xfId="381" applyNumberFormat="1" applyFont="1" applyFill="1" applyBorder="1"/>
    <xf numFmtId="164" fontId="8" fillId="0" borderId="17" xfId="381" applyNumberFormat="1" applyFill="1" applyBorder="1"/>
    <xf numFmtId="0"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 fontId="8" fillId="0" borderId="0" xfId="465" applyNumberFormat="1" applyFont="1" applyFill="1" applyBorder="1" applyAlignment="1">
      <alignment horizontal="center"/>
    </xf>
    <xf numFmtId="1" fontId="8" fillId="0" borderId="14" xfId="465" applyNumberFormat="1" applyFont="1" applyFill="1" applyBorder="1" applyAlignment="1">
      <alignment horizontal="center"/>
    </xf>
    <xf numFmtId="0" fontId="149" fillId="0" borderId="0" xfId="465" applyFont="1" applyFill="1"/>
    <xf numFmtId="43" fontId="150" fillId="0" borderId="0" xfId="381" applyFont="1" applyFill="1" applyBorder="1" applyAlignment="1">
      <alignment horizontal="right" vertical="center" wrapText="1"/>
    </xf>
    <xf numFmtId="0" fontId="151" fillId="0" borderId="0" xfId="0" applyFont="1" applyFill="1" applyBorder="1"/>
    <xf numFmtId="39" fontId="49" fillId="0" borderId="68" xfId="551" applyFont="1" applyFill="1" applyBorder="1" applyAlignment="1" applyProtection="1">
      <alignment horizontal="left"/>
    </xf>
    <xf numFmtId="0" fontId="148" fillId="0" borderId="0" xfId="0" applyFont="1"/>
    <xf numFmtId="37" fontId="8" fillId="0" borderId="0" xfId="445" applyNumberFormat="1"/>
    <xf numFmtId="37" fontId="8" fillId="0" borderId="0" xfId="445" applyNumberFormat="1"/>
    <xf numFmtId="0" fontId="49" fillId="0" borderId="21" xfId="898" applyFont="1" applyFill="1" applyBorder="1"/>
    <xf numFmtId="0" fontId="49" fillId="0" borderId="0" xfId="898" applyFont="1" applyFill="1" applyBorder="1"/>
    <xf numFmtId="164" fontId="49" fillId="0" borderId="21" xfId="382" applyNumberFormat="1" applyFont="1" applyFill="1" applyBorder="1"/>
    <xf numFmtId="37" fontId="49" fillId="0" borderId="0" xfId="551" applyNumberFormat="1" applyFont="1" applyFill="1" applyBorder="1" applyAlignment="1">
      <alignment horizontal="center"/>
    </xf>
    <xf numFmtId="37" fontId="49" fillId="0" borderId="21" xfId="898" applyNumberFormat="1" applyFont="1" applyFill="1" applyBorder="1"/>
    <xf numFmtId="0" fontId="49" fillId="0" borderId="0" xfId="898" applyFont="1" applyFill="1" applyBorder="1" applyAlignment="1">
      <alignment horizontal="center"/>
    </xf>
    <xf numFmtId="168" fontId="12" fillId="33" borderId="35" xfId="633" applyNumberFormat="1" applyFont="1" applyFill="1" applyBorder="1" applyAlignment="1"/>
    <xf numFmtId="164" fontId="10" fillId="0" borderId="28" xfId="381" applyNumberFormat="1" applyFont="1" applyFill="1" applyBorder="1" applyAlignment="1"/>
    <xf numFmtId="0" fontId="149" fillId="0" borderId="0" xfId="0" applyFont="1"/>
    <xf numFmtId="0" fontId="152" fillId="0" borderId="0" xfId="0" applyFont="1" applyFill="1" applyBorder="1"/>
    <xf numFmtId="43" fontId="52" fillId="0" borderId="0" xfId="381" applyFont="1" applyFill="1" applyBorder="1"/>
    <xf numFmtId="0" fontId="8" fillId="0" borderId="0" xfId="465" applyNumberFormat="1" applyFont="1" applyFill="1" applyBorder="1" applyAlignment="1"/>
    <xf numFmtId="0" fontId="153" fillId="0" borderId="0" xfId="467" applyFont="1" applyAlignment="1">
      <alignment horizontal="left"/>
    </xf>
    <xf numFmtId="0" fontId="153" fillId="0" borderId="0" xfId="467" applyFont="1" applyFill="1" applyAlignment="1">
      <alignment horizontal="left"/>
    </xf>
    <xf numFmtId="0" fontId="148" fillId="0" borderId="0" xfId="0" applyFont="1" applyBorder="1"/>
    <xf numFmtId="0" fontId="8" fillId="69" borderId="0" xfId="0" applyFont="1" applyFill="1"/>
    <xf numFmtId="173" fontId="50" fillId="0" borderId="0" xfId="635" applyNumberFormat="1" applyFont="1" applyFill="1"/>
    <xf numFmtId="173" fontId="50" fillId="0" borderId="0" xfId="467" applyNumberFormat="1" applyFont="1" applyFill="1"/>
    <xf numFmtId="0" fontId="50" fillId="0" borderId="0" xfId="467" applyFont="1" applyFill="1" applyAlignment="1">
      <alignment horizontal="center" wrapText="1"/>
    </xf>
    <xf numFmtId="0" fontId="153" fillId="0" borderId="0" xfId="467" applyFont="1" applyFill="1"/>
    <xf numFmtId="164" fontId="50" fillId="0" borderId="0" xfId="467" applyNumberFormat="1" applyFont="1" applyFill="1" applyAlignment="1">
      <alignment horizontal="center"/>
    </xf>
    <xf numFmtId="43" fontId="50" fillId="0" borderId="0" xfId="391" applyNumberFormat="1" applyFont="1" applyFill="1"/>
    <xf numFmtId="164" fontId="50" fillId="0" borderId="0" xfId="467" applyNumberFormat="1" applyFont="1" applyFill="1" applyAlignment="1">
      <alignment horizontal="center" wrapText="1"/>
    </xf>
    <xf numFmtId="164" fontId="50" fillId="0" borderId="0" xfId="467" applyNumberFormat="1" applyFont="1"/>
    <xf numFmtId="0" fontId="153" fillId="0" borderId="0" xfId="467" applyFont="1" applyFill="1" applyAlignment="1">
      <alignment horizontal="center"/>
    </xf>
    <xf numFmtId="0" fontId="154" fillId="0" borderId="0" xfId="467" applyFont="1" applyFill="1"/>
    <xf numFmtId="0" fontId="49" fillId="0" borderId="0" xfId="898" applyFont="1" applyFill="1" applyAlignment="1"/>
    <xf numFmtId="164" fontId="18" fillId="0" borderId="10" xfId="381" applyNumberFormat="1" applyFont="1" applyFill="1" applyBorder="1" applyAlignment="1">
      <alignment horizontal="center"/>
    </xf>
    <xf numFmtId="43" fontId="10" fillId="0" borderId="10" xfId="381" applyNumberFormat="1" applyFont="1" applyBorder="1"/>
    <xf numFmtId="185" fontId="0" fillId="0" borderId="0" xfId="0" applyNumberFormat="1"/>
    <xf numFmtId="164" fontId="155" fillId="0" borderId="0" xfId="381" applyNumberFormat="1" applyFont="1"/>
    <xf numFmtId="9" fontId="8" fillId="0" borderId="0" xfId="633" applyFont="1" applyFill="1" applyBorder="1" applyAlignment="1">
      <alignment horizontal="center" wrapText="1"/>
    </xf>
    <xf numFmtId="0" fontId="156" fillId="0" borderId="0" xfId="0" applyFont="1" applyFill="1"/>
    <xf numFmtId="164" fontId="156" fillId="0" borderId="0" xfId="381" applyNumberFormat="1" applyFont="1" applyFill="1"/>
    <xf numFmtId="0" fontId="8" fillId="0" borderId="0" xfId="0" applyFont="1" applyAlignment="1">
      <alignment horizontal="center"/>
    </xf>
    <xf numFmtId="37" fontId="8" fillId="0" borderId="0" xfId="0" applyNumberFormat="1" applyFont="1"/>
    <xf numFmtId="37" fontId="8" fillId="0" borderId="14" xfId="0" applyNumberFormat="1" applyFont="1" applyBorder="1"/>
    <xf numFmtId="37" fontId="8" fillId="0" borderId="0" xfId="0" applyNumberFormat="1" applyFont="1" applyBorder="1"/>
    <xf numFmtId="164" fontId="150" fillId="0" borderId="0" xfId="381" applyNumberFormat="1" applyFont="1" applyFill="1" applyBorder="1" applyAlignment="1">
      <alignment horizontal="right" vertical="center" wrapText="1"/>
    </xf>
    <xf numFmtId="164" fontId="9" fillId="0" borderId="0" xfId="381" applyNumberFormat="1" applyFont="1" applyFill="1"/>
    <xf numFmtId="0" fontId="12" fillId="0" borderId="0" xfId="0" applyFont="1" applyAlignment="1">
      <alignment horizontal="center"/>
    </xf>
    <xf numFmtId="0" fontId="157" fillId="0" borderId="0" xfId="467" applyFont="1" applyFill="1"/>
    <xf numFmtId="164" fontId="158" fillId="0" borderId="12" xfId="467" applyNumberFormat="1" applyFont="1" applyFill="1" applyBorder="1"/>
    <xf numFmtId="0" fontId="158" fillId="0" borderId="0" xfId="467" applyFont="1" applyAlignment="1">
      <alignment horizontal="left"/>
    </xf>
    <xf numFmtId="0" fontId="83" fillId="0" borderId="0" xfId="467" applyFont="1"/>
    <xf numFmtId="0" fontId="158" fillId="0" borderId="0" xfId="467" applyFont="1" applyFill="1" applyAlignment="1">
      <alignment horizontal="center"/>
    </xf>
    <xf numFmtId="0" fontId="158" fillId="0" borderId="0" xfId="467" applyFont="1" applyFill="1" applyBorder="1" applyAlignment="1">
      <alignment wrapText="1"/>
    </xf>
    <xf numFmtId="0" fontId="158" fillId="0" borderId="0" xfId="467" applyFont="1" applyFill="1" applyBorder="1"/>
    <xf numFmtId="164" fontId="158" fillId="0" borderId="0" xfId="467" quotePrefix="1" applyNumberFormat="1" applyFont="1" applyFill="1" applyAlignment="1">
      <alignment horizontal="center"/>
    </xf>
    <xf numFmtId="0" fontId="50" fillId="0" borderId="0" xfId="467" quotePrefix="1" applyFont="1" applyFill="1"/>
    <xf numFmtId="0" fontId="8" fillId="0" borderId="0" xfId="467" applyFill="1"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8" fillId="0" borderId="0" xfId="467" applyNumberFormat="1" applyFont="1" applyFill="1"/>
    <xf numFmtId="0" fontId="159" fillId="0" borderId="0" xfId="467" applyFont="1" applyFill="1" applyAlignment="1">
      <alignment horizontal="left"/>
    </xf>
    <xf numFmtId="0" fontId="159" fillId="0" borderId="0" xfId="467" applyFont="1" applyAlignment="1">
      <alignment horizontal="center"/>
    </xf>
    <xf numFmtId="0" fontId="159" fillId="0" borderId="0" xfId="467" applyFont="1"/>
    <xf numFmtId="0" fontId="159" fillId="0" borderId="0" xfId="467" applyFont="1" applyBorder="1"/>
    <xf numFmtId="167" fontId="160" fillId="0" borderId="0" xfId="422" applyNumberFormat="1" applyFont="1" applyFill="1" applyAlignment="1">
      <alignment horizontal="left"/>
    </xf>
    <xf numFmtId="0" fontId="148" fillId="0" borderId="0" xfId="467" applyFont="1" applyAlignment="1"/>
    <xf numFmtId="0" fontId="148" fillId="0" borderId="0" xfId="467" applyFont="1" applyFill="1" applyAlignment="1"/>
    <xf numFmtId="0" fontId="148" fillId="0" borderId="0" xfId="467" applyFont="1"/>
    <xf numFmtId="164" fontId="8" fillId="0" borderId="0" xfId="467" applyNumberFormat="1"/>
    <xf numFmtId="0" fontId="158" fillId="0" borderId="0" xfId="467" applyFont="1" applyFill="1" applyAlignment="1">
      <alignment horizontal="left"/>
    </xf>
    <xf numFmtId="0" fontId="161" fillId="0" borderId="0" xfId="467" applyFont="1" applyFill="1" applyAlignment="1">
      <alignment horizontal="left"/>
    </xf>
    <xf numFmtId="43" fontId="50" fillId="70" borderId="0" xfId="381" applyFont="1" applyFill="1"/>
    <xf numFmtId="0" fontId="158" fillId="0" borderId="0" xfId="467" applyFont="1"/>
    <xf numFmtId="0" fontId="8" fillId="0" borderId="17" xfId="381" applyNumberFormat="1" applyFont="1" applyFill="1" applyBorder="1"/>
    <xf numFmtId="0" fontId="8" fillId="0" borderId="0" xfId="0" applyFont="1" applyAlignment="1">
      <alignment horizontal="center"/>
    </xf>
    <xf numFmtId="49" fontId="8" fillId="34" borderId="0" xfId="0" applyNumberFormat="1" applyFont="1" applyFill="1" applyBorder="1" applyAlignment="1">
      <alignment horizontal="left"/>
    </xf>
    <xf numFmtId="37" fontId="49" fillId="0" borderId="0" xfId="898" applyNumberFormat="1" applyFont="1" applyFill="1" applyBorder="1" applyAlignment="1">
      <alignment horizontal="right"/>
    </xf>
    <xf numFmtId="10" fontId="50" fillId="0" borderId="0" xfId="633" applyNumberFormat="1" applyFont="1"/>
    <xf numFmtId="164" fontId="12" fillId="0" borderId="0" xfId="0" applyNumberFormat="1" applyFont="1"/>
    <xf numFmtId="3" fontId="12" fillId="0" borderId="0" xfId="0" applyNumberFormat="1" applyFont="1"/>
    <xf numFmtId="43" fontId="12" fillId="0" borderId="0" xfId="381" applyFont="1"/>
    <xf numFmtId="43" fontId="12" fillId="0" borderId="0" xfId="381" applyFont="1" applyFill="1"/>
    <xf numFmtId="0" fontId="8" fillId="0" borderId="0" xfId="0" applyFont="1" applyBorder="1" applyAlignment="1">
      <alignment horizontal="right"/>
    </xf>
    <xf numFmtId="0" fontId="8" fillId="0" borderId="0" xfId="0" applyFont="1" applyBorder="1"/>
    <xf numFmtId="164" fontId="10" fillId="0" borderId="0" xfId="0" applyNumberFormat="1" applyFont="1" applyBorder="1"/>
    <xf numFmtId="0" fontId="8" fillId="0" borderId="0" xfId="0" applyFont="1" applyAlignment="1">
      <alignment horizontal="center"/>
    </xf>
    <xf numFmtId="37" fontId="0" fillId="0" borderId="14" xfId="0" applyNumberFormat="1" applyBorder="1"/>
    <xf numFmtId="164" fontId="9" fillId="0" borderId="0" xfId="0" applyNumberFormat="1" applyFont="1" applyFill="1" applyBorder="1" applyAlignment="1">
      <alignment horizontal="center"/>
    </xf>
    <xf numFmtId="164" fontId="9" fillId="0" borderId="0" xfId="381" applyNumberFormat="1" applyFont="1" applyFill="1" applyBorder="1" applyAlignment="1">
      <alignment horizontal="center"/>
    </xf>
    <xf numFmtId="0" fontId="49" fillId="0" borderId="0" xfId="477" applyFont="1" applyFill="1" applyBorder="1"/>
    <xf numFmtId="41" fontId="0" fillId="0" borderId="0" xfId="0" applyNumberFormat="1" applyBorder="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0" fontId="8" fillId="34" borderId="0" xfId="467" applyNumberFormat="1" applyFont="1" applyFill="1" applyBorder="1"/>
    <xf numFmtId="0" fontId="9" fillId="0" borderId="0" xfId="0" applyFont="1"/>
    <xf numFmtId="164" fontId="0" fillId="0" borderId="0" xfId="381" applyNumberFormat="1" applyFont="1" applyFill="1"/>
    <xf numFmtId="164" fontId="156" fillId="0" borderId="21" xfId="381" applyNumberFormat="1" applyFont="1" applyFill="1" applyBorder="1"/>
    <xf numFmtId="164" fontId="0" fillId="0" borderId="0" xfId="381" applyNumberFormat="1" applyFont="1" applyBorder="1"/>
    <xf numFmtId="164" fontId="9" fillId="0" borderId="26" xfId="0" applyNumberFormat="1" applyFont="1" applyFill="1" applyBorder="1"/>
    <xf numFmtId="164" fontId="0" fillId="0" borderId="0" xfId="381" applyNumberFormat="1" applyFont="1" applyFill="1" applyBorder="1"/>
    <xf numFmtId="0" fontId="9" fillId="0" borderId="26" xfId="0" applyFont="1" applyBorder="1"/>
    <xf numFmtId="164" fontId="9" fillId="0" borderId="26" xfId="381" applyNumberFormat="1" applyFont="1" applyFill="1" applyBorder="1"/>
    <xf numFmtId="164" fontId="9" fillId="0" borderId="26" xfId="0" applyNumberFormat="1" applyFont="1" applyBorder="1"/>
    <xf numFmtId="186" fontId="9" fillId="0" borderId="0" xfId="0" applyNumberFormat="1" applyFont="1" applyFill="1" applyBorder="1"/>
    <xf numFmtId="186" fontId="0" fillId="0" borderId="0" xfId="0" applyNumberFormat="1" applyFill="1" applyBorder="1"/>
    <xf numFmtId="186" fontId="0" fillId="0" borderId="0" xfId="0" applyNumberFormat="1" applyBorder="1"/>
    <xf numFmtId="186" fontId="9" fillId="0" borderId="0" xfId="0" applyNumberFormat="1" applyFont="1" applyBorder="1"/>
    <xf numFmtId="3" fontId="0" fillId="0" borderId="0" xfId="381" applyNumberFormat="1" applyFont="1" applyBorder="1"/>
    <xf numFmtId="3" fontId="9" fillId="0" borderId="0" xfId="0" applyNumberFormat="1" applyFont="1" applyFill="1" applyBorder="1"/>
    <xf numFmtId="3" fontId="0" fillId="0" borderId="0" xfId="0" applyNumberFormat="1" applyFill="1" applyBorder="1"/>
    <xf numFmtId="3" fontId="0" fillId="0" borderId="0" xfId="0" applyNumberFormat="1" applyBorder="1"/>
    <xf numFmtId="0" fontId="8" fillId="0" borderId="18" xfId="0" applyFont="1" applyFill="1" applyBorder="1"/>
    <xf numFmtId="37" fontId="8" fillId="0" borderId="26" xfId="0" applyNumberFormat="1" applyFont="1" applyFill="1" applyBorder="1"/>
    <xf numFmtId="37" fontId="8" fillId="0" borderId="14" xfId="0" applyNumberFormat="1" applyFont="1" applyFill="1" applyBorder="1"/>
    <xf numFmtId="164" fontId="0" fillId="0" borderId="0" xfId="0" applyNumberFormat="1" applyBorder="1" applyAlignment="1">
      <alignment horizontal="centerContinuous"/>
    </xf>
    <xf numFmtId="164" fontId="9" fillId="0" borderId="0" xfId="381" applyNumberFormat="1" applyFont="1" applyBorder="1" applyAlignment="1">
      <alignment horizontal="center"/>
    </xf>
    <xf numFmtId="164" fontId="10" fillId="0" borderId="0" xfId="0" applyNumberFormat="1" applyFont="1" applyFill="1" applyBorder="1"/>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applyFill="1" applyBorder="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164" fontId="52" fillId="0" borderId="0" xfId="465" applyNumberFormat="1" applyFont="1"/>
    <xf numFmtId="41" fontId="0" fillId="0" borderId="0" xfId="0" applyNumberFormat="1" applyFill="1" applyBorder="1" applyAlignment="1">
      <alignment horizontal="left"/>
    </xf>
    <xf numFmtId="3" fontId="50" fillId="34" borderId="0" xfId="474" applyNumberFormat="1" applyFont="1" applyFill="1" applyBorder="1"/>
    <xf numFmtId="164" fontId="10" fillId="0" borderId="0" xfId="381" applyNumberFormat="1" applyFont="1"/>
    <xf numFmtId="37" fontId="8" fillId="0" borderId="0" xfId="0" applyNumberFormat="1" applyFont="1" applyFill="1"/>
    <xf numFmtId="164" fontId="18" fillId="34" borderId="0" xfId="381" applyNumberFormat="1" applyFont="1" applyFill="1" applyBorder="1"/>
    <xf numFmtId="164" fontId="9" fillId="34" borderId="26" xfId="465" applyNumberFormat="1" applyFont="1" applyFill="1" applyBorder="1" applyAlignment="1">
      <alignment horizontal="center"/>
    </xf>
    <xf numFmtId="0" fontId="0" fillId="0" borderId="0" xfId="0" applyAlignment="1">
      <alignment horizontal="left"/>
    </xf>
    <xf numFmtId="164" fontId="18" fillId="33" borderId="34" xfId="390" applyNumberFormat="1" applyFont="1" applyFill="1" applyBorder="1" applyAlignment="1">
      <alignment horizontal="right"/>
    </xf>
    <xf numFmtId="164" fontId="18" fillId="33" borderId="28" xfId="390" applyNumberFormat="1" applyFont="1" applyFill="1" applyBorder="1" applyAlignment="1">
      <alignment horizontal="right"/>
    </xf>
    <xf numFmtId="164" fontId="18" fillId="33" borderId="0" xfId="390" applyNumberFormat="1" applyFont="1" applyFill="1" applyBorder="1" applyAlignment="1">
      <alignment horizontal="right"/>
    </xf>
    <xf numFmtId="10" fontId="18" fillId="33" borderId="35" xfId="633" applyNumberFormat="1" applyFont="1" applyFill="1" applyBorder="1" applyAlignment="1">
      <alignment horizontal="right"/>
    </xf>
    <xf numFmtId="43" fontId="10" fillId="0" borderId="81" xfId="381" applyFont="1" applyBorder="1"/>
    <xf numFmtId="164" fontId="9" fillId="33" borderId="0" xfId="381" applyNumberFormat="1" applyFont="1" applyFill="1" applyBorder="1"/>
    <xf numFmtId="43" fontId="0" fillId="0" borderId="0" xfId="0" applyNumberFormat="1"/>
    <xf numFmtId="10" fontId="12" fillId="0" borderId="0" xfId="633" applyNumberFormat="1" applyFont="1"/>
    <xf numFmtId="10" fontId="12" fillId="0" borderId="0" xfId="0" applyNumberFormat="1" applyFont="1"/>
    <xf numFmtId="3" fontId="10" fillId="0" borderId="58" xfId="0" applyNumberFormat="1" applyFont="1" applyFill="1" applyBorder="1" applyAlignment="1">
      <alignment horizontal="right"/>
    </xf>
    <xf numFmtId="3" fontId="10" fillId="0" borderId="0" xfId="0" applyNumberFormat="1" applyFont="1" applyFill="1" applyBorder="1" applyAlignment="1">
      <alignment horizontal="right"/>
    </xf>
    <xf numFmtId="39" fontId="10" fillId="0" borderId="0" xfId="0" applyNumberFormat="1" applyFont="1" applyFill="1" applyBorder="1" applyAlignment="1">
      <alignment horizontal="right"/>
    </xf>
    <xf numFmtId="39" fontId="10" fillId="0" borderId="27" xfId="0" applyNumberFormat="1" applyFont="1" applyFill="1" applyBorder="1" applyAlignment="1">
      <alignment horizontal="right"/>
    </xf>
    <xf numFmtId="43" fontId="10" fillId="0" borderId="52" xfId="381" applyNumberFormat="1" applyFont="1" applyBorder="1" applyAlignment="1"/>
    <xf numFmtId="43" fontId="10" fillId="0" borderId="65" xfId="381" applyNumberFormat="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2" fillId="0" borderId="0" xfId="0" applyFont="1" applyFill="1"/>
    <xf numFmtId="0" fontId="35" fillId="0" borderId="10" xfId="0" applyFont="1" applyBorder="1"/>
    <xf numFmtId="10" fontId="8" fillId="0" borderId="0" xfId="467" applyNumberFormat="1" applyFont="1"/>
    <xf numFmtId="0" fontId="44" fillId="0" borderId="10" xfId="467" applyFont="1" applyFill="1" applyBorder="1" applyAlignment="1">
      <alignment horizontal="left"/>
    </xf>
    <xf numFmtId="0" fontId="44" fillId="0" borderId="0" xfId="467" applyFont="1"/>
    <xf numFmtId="168" fontId="8" fillId="0" borderId="0" xfId="633" applyNumberFormat="1" applyFont="1"/>
    <xf numFmtId="168" fontId="8" fillId="0" borderId="0" xfId="467" applyNumberFormat="1" applyFont="1"/>
    <xf numFmtId="3" fontId="10" fillId="0" borderId="28" xfId="0" applyNumberFormat="1" applyFont="1" applyBorder="1" applyAlignment="1">
      <alignment horizontal="right"/>
    </xf>
    <xf numFmtId="0" fontId="8" fillId="34" borderId="0" xfId="465" applyFont="1" applyFill="1"/>
    <xf numFmtId="0" fontId="18" fillId="0" borderId="39" xfId="465" applyFont="1" applyFill="1" applyBorder="1" applyAlignment="1">
      <alignment horizontal="left" wrapText="1"/>
    </xf>
    <xf numFmtId="0" fontId="18" fillId="0" borderId="40" xfId="465" applyFont="1" applyFill="1" applyBorder="1" applyAlignment="1">
      <alignment horizontal="left" wrapText="1"/>
    </xf>
    <xf numFmtId="0" fontId="18" fillId="0" borderId="41" xfId="465" applyFont="1" applyFill="1" applyBorder="1" applyAlignment="1">
      <alignment horizontal="left" wrapText="1"/>
    </xf>
    <xf numFmtId="0" fontId="83" fillId="0" borderId="0" xfId="467" applyFont="1" applyFill="1"/>
    <xf numFmtId="14" fontId="8" fillId="0" borderId="14" xfId="0" applyNumberFormat="1" applyFont="1" applyFill="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NumberFormat="1" applyFont="1" applyFill="1" applyBorder="1" applyAlignment="1">
      <alignment horizontal="left"/>
    </xf>
    <xf numFmtId="3" fontId="24" fillId="0" borderId="0" xfId="465" applyNumberFormat="1" applyFont="1" applyFill="1" applyBorder="1" applyAlignment="1">
      <alignment horizontal="right"/>
    </xf>
    <xf numFmtId="0" fontId="119" fillId="0" borderId="20" xfId="0" applyNumberFormat="1" applyFont="1" applyBorder="1" applyAlignment="1">
      <alignment horizontal="center"/>
    </xf>
    <xf numFmtId="0" fontId="58" fillId="0" borderId="0" xfId="0" applyNumberFormat="1" applyFont="1" applyBorder="1" applyAlignment="1">
      <alignment horizontal="left"/>
    </xf>
    <xf numFmtId="3" fontId="24" fillId="0" borderId="0" xfId="467" applyNumberFormat="1" applyFont="1" applyFill="1" applyBorder="1" applyAlignment="1">
      <alignment horizontal="right"/>
    </xf>
    <xf numFmtId="0" fontId="12" fillId="0" borderId="0" xfId="467" applyNumberFormat="1" applyFont="1" applyFill="1" applyAlignment="1">
      <alignment horizontal="center"/>
    </xf>
    <xf numFmtId="0" fontId="12" fillId="0" borderId="0" xfId="467" applyFont="1" applyFill="1"/>
    <xf numFmtId="0" fontId="10" fillId="0" borderId="0" xfId="467" applyNumberFormat="1" applyFont="1" applyFill="1" applyBorder="1" applyAlignment="1">
      <alignment horizontal="left"/>
    </xf>
    <xf numFmtId="0" fontId="38" fillId="0" borderId="0" xfId="467" applyNumberFormat="1" applyFont="1" applyFill="1" applyBorder="1" applyAlignment="1">
      <alignment horizontal="left"/>
    </xf>
    <xf numFmtId="3" fontId="22" fillId="0" borderId="0" xfId="467" applyNumberFormat="1" applyFont="1" applyFill="1" applyBorder="1" applyAlignment="1">
      <alignment horizontal="right"/>
    </xf>
    <xf numFmtId="164" fontId="12" fillId="0" borderId="0" xfId="467" applyNumberFormat="1" applyFont="1" applyFill="1"/>
    <xf numFmtId="164" fontId="10" fillId="0" borderId="0" xfId="381" applyNumberFormat="1" applyFont="1" applyBorder="1" applyAlignment="1">
      <alignment horizontal="right"/>
    </xf>
    <xf numFmtId="3" fontId="10" fillId="0" borderId="13" xfId="467" applyNumberFormat="1" applyFont="1" applyFill="1" applyBorder="1" applyAlignment="1"/>
    <xf numFmtId="10" fontId="0" fillId="0" borderId="0" xfId="0" applyNumberFormat="1"/>
    <xf numFmtId="8" fontId="0" fillId="0" borderId="0" xfId="0" applyNumberFormat="1"/>
    <xf numFmtId="164" fontId="18" fillId="0" borderId="19" xfId="381" applyNumberFormat="1" applyFont="1" applyFill="1" applyBorder="1"/>
    <xf numFmtId="187" fontId="0" fillId="0" borderId="0" xfId="0" applyNumberFormat="1"/>
    <xf numFmtId="164" fontId="50" fillId="0" borderId="0" xfId="381" applyNumberFormat="1" applyFont="1" applyAlignment="1">
      <alignment horizontal="center"/>
    </xf>
    <xf numFmtId="43" fontId="51" fillId="0" borderId="0" xfId="0" applyNumberFormat="1" applyFont="1" applyFill="1" applyBorder="1"/>
    <xf numFmtId="9" fontId="51" fillId="0" borderId="0" xfId="633" applyFont="1" applyFill="1" applyBorder="1"/>
    <xf numFmtId="164" fontId="51" fillId="0" borderId="0" xfId="0" applyNumberFormat="1" applyFont="1" applyFill="1" applyBorder="1"/>
    <xf numFmtId="0" fontId="166" fillId="0" borderId="0" xfId="0" applyFont="1" applyBorder="1" applyAlignment="1">
      <alignment wrapText="1"/>
    </xf>
    <xf numFmtId="164" fontId="156" fillId="0" borderId="0" xfId="381" applyNumberFormat="1" applyFont="1" applyFill="1" applyBorder="1"/>
    <xf numFmtId="189" fontId="166" fillId="0" borderId="0" xfId="0" applyNumberFormat="1" applyFont="1" applyBorder="1" applyAlignment="1">
      <alignment wrapText="1"/>
    </xf>
    <xf numFmtId="0" fontId="156" fillId="0" borderId="0" xfId="0" applyFont="1" applyFill="1" applyBorder="1"/>
    <xf numFmtId="0" fontId="167" fillId="0" borderId="0" xfId="0" applyFont="1" applyFill="1" applyBorder="1"/>
    <xf numFmtId="0" fontId="165" fillId="0" borderId="0" xfId="0" applyFont="1" applyFill="1"/>
    <xf numFmtId="0" fontId="165" fillId="0" borderId="0" xfId="0" applyFont="1"/>
    <xf numFmtId="0" fontId="168" fillId="0" borderId="0" xfId="0" applyFont="1" applyFill="1" applyBorder="1"/>
    <xf numFmtId="0" fontId="165" fillId="0" borderId="0" xfId="0" applyFont="1" applyFill="1" applyAlignment="1">
      <alignment horizontal="left" vertical="top" wrapText="1"/>
    </xf>
    <xf numFmtId="0" fontId="165" fillId="0" borderId="0" xfId="0" applyFont="1" applyAlignment="1">
      <alignment horizontal="left" vertical="top" wrapText="1"/>
    </xf>
    <xf numFmtId="0" fontId="169" fillId="0" borderId="0" xfId="0" applyFont="1" applyFill="1" applyAlignment="1">
      <alignment horizontal="left" vertical="top"/>
    </xf>
    <xf numFmtId="0" fontId="165" fillId="0" borderId="0" xfId="0" applyFont="1" applyFill="1" applyAlignment="1">
      <alignment horizontal="center" vertical="top" wrapText="1"/>
    </xf>
    <xf numFmtId="14" fontId="170" fillId="0" borderId="0" xfId="0" applyNumberFormat="1" applyFont="1" applyFill="1" applyBorder="1" applyAlignment="1">
      <alignment horizontal="center" wrapText="1"/>
    </xf>
    <xf numFmtId="0" fontId="165" fillId="0" borderId="0" xfId="0" applyFont="1" applyFill="1" applyAlignment="1">
      <alignment horizontal="center" wrapText="1"/>
    </xf>
    <xf numFmtId="0" fontId="165" fillId="0" borderId="14" xfId="0" applyFont="1" applyFill="1" applyBorder="1" applyAlignment="1">
      <alignment wrapText="1"/>
    </xf>
    <xf numFmtId="0" fontId="165" fillId="0" borderId="14" xfId="0" applyFont="1" applyFill="1" applyBorder="1" applyAlignment="1">
      <alignment horizontal="center" wrapText="1"/>
    </xf>
    <xf numFmtId="14" fontId="165" fillId="0" borderId="14" xfId="0" applyNumberFormat="1" applyFont="1" applyFill="1" applyBorder="1" applyAlignment="1">
      <alignment horizontal="center" wrapText="1"/>
    </xf>
    <xf numFmtId="0" fontId="165" fillId="0" borderId="0" xfId="0" applyFont="1" applyFill="1" applyAlignment="1">
      <alignment horizontal="center"/>
    </xf>
    <xf numFmtId="164" fontId="165" fillId="0" borderId="0" xfId="381" applyNumberFormat="1" applyFont="1" applyFill="1"/>
    <xf numFmtId="0" fontId="165" fillId="0" borderId="0" xfId="0" applyFont="1" applyFill="1" applyBorder="1" applyAlignment="1">
      <alignment horizontal="center"/>
    </xf>
    <xf numFmtId="43" fontId="165" fillId="0" borderId="0" xfId="381" applyFont="1" applyFill="1" applyAlignment="1">
      <alignment horizontal="center"/>
    </xf>
    <xf numFmtId="164" fontId="165" fillId="0" borderId="0" xfId="381" applyNumberFormat="1" applyFont="1" applyFill="1" applyAlignment="1">
      <alignment horizontal="center"/>
    </xf>
    <xf numFmtId="41" fontId="165" fillId="0" borderId="0" xfId="1158" applyFont="1" applyFill="1" applyBorder="1"/>
    <xf numFmtId="164" fontId="0" fillId="0" borderId="0" xfId="1157" applyNumberFormat="1" applyFont="1" applyFill="1"/>
    <xf numFmtId="43" fontId="165" fillId="0" borderId="0" xfId="381" applyFont="1" applyFill="1" applyBorder="1" applyAlignment="1">
      <alignment horizontal="center"/>
    </xf>
    <xf numFmtId="164" fontId="165" fillId="0" borderId="0" xfId="381" applyNumberFormat="1" applyFont="1" applyFill="1" applyBorder="1" applyAlignment="1">
      <alignment horizontal="center"/>
    </xf>
    <xf numFmtId="0" fontId="165" fillId="0" borderId="12" xfId="0" applyFont="1" applyFill="1" applyBorder="1"/>
    <xf numFmtId="41" fontId="165" fillId="0" borderId="13" xfId="1158" applyFont="1" applyFill="1" applyBorder="1"/>
    <xf numFmtId="0" fontId="165" fillId="0" borderId="0" xfId="0" applyFont="1" applyFill="1" applyBorder="1"/>
    <xf numFmtId="43" fontId="165" fillId="0" borderId="0" xfId="0" applyNumberFormat="1" applyFont="1" applyFill="1" applyBorder="1"/>
    <xf numFmtId="41" fontId="165" fillId="0" borderId="0" xfId="0" applyNumberFormat="1" applyFont="1"/>
    <xf numFmtId="0" fontId="165" fillId="0" borderId="0" xfId="0" applyFont="1" applyAlignment="1">
      <alignment horizontal="left" wrapText="1"/>
    </xf>
    <xf numFmtId="0" fontId="165" fillId="0" borderId="0" xfId="0" applyFont="1" applyFill="1" applyAlignment="1">
      <alignment horizontal="center" vertical="top"/>
    </xf>
    <xf numFmtId="0" fontId="165" fillId="0" borderId="0" xfId="0" applyFont="1" applyAlignment="1">
      <alignment vertical="top"/>
    </xf>
    <xf numFmtId="0" fontId="170" fillId="0" borderId="0" xfId="0" applyFont="1" applyAlignment="1">
      <alignment vertical="top"/>
    </xf>
    <xf numFmtId="0" fontId="170" fillId="0" borderId="0" xfId="0" applyFont="1" applyFill="1" applyAlignment="1">
      <alignment horizontal="center" vertical="top"/>
    </xf>
    <xf numFmtId="0" fontId="170" fillId="0" borderId="0" xfId="0" applyFont="1" applyAlignment="1">
      <alignment horizontal="left" vertical="top"/>
    </xf>
    <xf numFmtId="164" fontId="49" fillId="0" borderId="0" xfId="381" applyNumberFormat="1" applyFont="1" applyFill="1" applyBorder="1" applyAlignment="1"/>
    <xf numFmtId="167" fontId="29" fillId="33" borderId="0" xfId="422" applyNumberFormat="1" applyFont="1" applyFill="1" applyAlignment="1">
      <alignment horizontal="left"/>
    </xf>
    <xf numFmtId="0" fontId="12" fillId="0" borderId="0" xfId="467" applyFont="1"/>
    <xf numFmtId="167" fontId="29" fillId="0" borderId="0" xfId="422" applyNumberFormat="1" applyFont="1" applyFill="1"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Border="1" applyAlignment="1">
      <alignment horizontal="right"/>
    </xf>
    <xf numFmtId="37" fontId="0" fillId="34" borderId="19" xfId="0" applyNumberFormat="1" applyFill="1" applyBorder="1"/>
    <xf numFmtId="10" fontId="12" fillId="33" borderId="35" xfId="633" applyNumberFormat="1" applyFont="1" applyFill="1" applyBorder="1" applyAlignment="1">
      <alignment horizontal="right"/>
    </xf>
    <xf numFmtId="168" fontId="12" fillId="33" borderId="35" xfId="633" applyNumberFormat="1" applyFont="1" applyFill="1" applyBorder="1"/>
    <xf numFmtId="0" fontId="166" fillId="0" borderId="0" xfId="0" applyFont="1" applyFill="1" applyBorder="1" applyAlignment="1">
      <alignment wrapText="1"/>
    </xf>
    <xf numFmtId="0" fontId="0" fillId="0" borderId="0" xfId="0" applyAlignment="1">
      <alignment horizontal="left"/>
    </xf>
    <xf numFmtId="0" fontId="165" fillId="0" borderId="0" xfId="0" applyFont="1" applyFill="1" applyAlignment="1">
      <alignment horizontal="left" vertical="top" wrapText="1"/>
    </xf>
    <xf numFmtId="164" fontId="56" fillId="0" borderId="0" xfId="381" applyNumberFormat="1" applyFont="1" applyFill="1" applyBorder="1" applyAlignment="1"/>
    <xf numFmtId="3" fontId="35" fillId="33" borderId="22" xfId="465" applyNumberFormat="1" applyFont="1" applyFill="1" applyBorder="1" applyAlignment="1">
      <alignment horizontal="right"/>
    </xf>
    <xf numFmtId="3" fontId="35" fillId="33" borderId="10" xfId="465" applyNumberFormat="1" applyFont="1" applyFill="1" applyBorder="1" applyAlignment="1">
      <alignment horizontal="right"/>
    </xf>
    <xf numFmtId="164" fontId="171" fillId="0" borderId="0" xfId="381" applyNumberFormat="1" applyFont="1"/>
    <xf numFmtId="173" fontId="12" fillId="0" borderId="0" xfId="0" applyNumberFormat="1" applyFont="1"/>
    <xf numFmtId="164" fontId="12" fillId="0" borderId="0" xfId="0" applyNumberFormat="1" applyFont="1" applyFill="1"/>
    <xf numFmtId="164" fontId="10" fillId="0" borderId="0" xfId="0" applyNumberFormat="1" applyFont="1"/>
    <xf numFmtId="10" fontId="29" fillId="0" borderId="0" xfId="633" applyNumberFormat="1" applyFont="1"/>
    <xf numFmtId="43" fontId="12" fillId="0" borderId="28" xfId="381" applyNumberFormat="1" applyFont="1" applyFill="1" applyBorder="1"/>
    <xf numFmtId="164" fontId="12" fillId="69" borderId="52" xfId="381" applyNumberFormat="1" applyFont="1" applyFill="1" applyBorder="1"/>
    <xf numFmtId="164" fontId="8" fillId="0" borderId="12" xfId="467" applyNumberFormat="1" applyFont="1" applyFill="1" applyBorder="1"/>
    <xf numFmtId="164" fontId="12" fillId="72" borderId="52" xfId="381" applyNumberFormat="1" applyFont="1" applyFill="1" applyBorder="1"/>
    <xf numFmtId="41" fontId="49" fillId="0" borderId="12" xfId="381" applyNumberFormat="1" applyFont="1" applyFill="1" applyBorder="1"/>
    <xf numFmtId="190" fontId="166" fillId="0" borderId="0" xfId="0" applyNumberFormat="1" applyFont="1" applyBorder="1" applyAlignment="1">
      <alignment wrapText="1"/>
    </xf>
    <xf numFmtId="190" fontId="166" fillId="73" borderId="0" xfId="0" applyNumberFormat="1" applyFont="1" applyFill="1" applyBorder="1" applyAlignment="1">
      <alignment wrapText="1"/>
    </xf>
    <xf numFmtId="0" fontId="172" fillId="0" borderId="0" xfId="0" applyFont="1" applyFill="1" applyAlignment="1"/>
    <xf numFmtId="0" fontId="172" fillId="0" borderId="0" xfId="0" applyFont="1" applyFill="1"/>
    <xf numFmtId="190" fontId="166" fillId="0" borderId="0" xfId="0" applyNumberFormat="1" applyFont="1" applyFill="1" applyBorder="1" applyAlignment="1">
      <alignment wrapText="1"/>
    </xf>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170" fontId="90" fillId="0" borderId="0" xfId="550" applyFont="1" applyFill="1" applyAlignment="1" applyProtection="1">
      <alignment horizontal="left" wrapText="1"/>
      <protection locked="0"/>
    </xf>
    <xf numFmtId="0" fontId="90" fillId="0" borderId="0" xfId="0" applyFont="1" applyFill="1" applyAlignment="1">
      <alignment horizontal="left" wrapText="1"/>
    </xf>
    <xf numFmtId="0" fontId="90" fillId="0" borderId="0" xfId="0" applyFont="1" applyFill="1" applyBorder="1" applyAlignment="1">
      <alignment horizontal="left" wrapText="1"/>
    </xf>
    <xf numFmtId="0" fontId="90" fillId="0" borderId="0" xfId="0" applyNumberFormat="1" applyFont="1" applyFill="1" applyAlignment="1">
      <alignment horizontal="left" wrapText="1"/>
    </xf>
    <xf numFmtId="0" fontId="90" fillId="0" borderId="0" xfId="0" applyFont="1" applyFill="1" applyBorder="1" applyAlignment="1">
      <alignment horizontal="left"/>
    </xf>
    <xf numFmtId="0" fontId="34" fillId="0" borderId="27" xfId="0" applyFont="1" applyFill="1" applyBorder="1" applyAlignment="1">
      <alignment horizontal="left" wrapText="1"/>
    </xf>
    <xf numFmtId="0" fontId="34" fillId="0" borderId="0" xfId="0" applyFont="1" applyFill="1" applyBorder="1" applyAlignment="1">
      <alignment horizontal="left" wrapText="1"/>
    </xf>
    <xf numFmtId="0" fontId="34" fillId="0" borderId="58" xfId="0" applyFont="1" applyFill="1" applyBorder="1" applyAlignment="1">
      <alignment horizontal="left" wrapText="1"/>
    </xf>
    <xf numFmtId="0" fontId="34" fillId="0" borderId="27" xfId="0" applyFont="1" applyBorder="1" applyAlignment="1">
      <alignment horizontal="left" wrapText="1"/>
    </xf>
    <xf numFmtId="0" fontId="34" fillId="0" borderId="0" xfId="0" applyFont="1" applyBorder="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applyAlignment="1"/>
    <xf numFmtId="0" fontId="0" fillId="0" borderId="0" xfId="0" applyAlignment="1"/>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applyAlignment="1"/>
    <xf numFmtId="0" fontId="55" fillId="0" borderId="0" xfId="0" applyFont="1" applyAlignment="1">
      <alignment horizontal="center" wrapText="1"/>
    </xf>
    <xf numFmtId="0" fontId="0" fillId="0" borderId="0" xfId="0" applyBorder="1" applyAlignment="1">
      <alignment horizontal="left" wrapText="1"/>
    </xf>
    <xf numFmtId="0" fontId="78" fillId="0" borderId="0" xfId="0" applyFont="1" applyAlignment="1">
      <alignment horizontal="left" wrapText="1"/>
    </xf>
    <xf numFmtId="0" fontId="9" fillId="0" borderId="0" xfId="465" applyFont="1" applyFill="1" applyBorder="1" applyAlignment="1">
      <alignment horizontal="center" wrapText="1"/>
    </xf>
    <xf numFmtId="0" fontId="18" fillId="0" borderId="0" xfId="465" applyFont="1" applyFill="1" applyBorder="1" applyAlignment="1">
      <alignment horizontal="center" wrapText="1"/>
    </xf>
    <xf numFmtId="0" fontId="18" fillId="0" borderId="21" xfId="465" applyFont="1" applyFill="1" applyBorder="1" applyAlignment="1">
      <alignment horizontal="center" wrapText="1"/>
    </xf>
    <xf numFmtId="0" fontId="9" fillId="0" borderId="25" xfId="465" applyFont="1" applyFill="1" applyBorder="1" applyAlignment="1">
      <alignment horizontal="center"/>
    </xf>
    <xf numFmtId="0" fontId="9" fillId="0" borderId="24" xfId="465" applyFont="1" applyFill="1" applyBorder="1" applyAlignment="1">
      <alignment horizontal="center"/>
    </xf>
    <xf numFmtId="0" fontId="9" fillId="0" borderId="24" xfId="465" applyFont="1" applyFill="1" applyBorder="1" applyAlignment="1">
      <alignment horizontal="center" wrapText="1"/>
    </xf>
    <xf numFmtId="0" fontId="18" fillId="0" borderId="24" xfId="465" applyFont="1" applyFill="1" applyBorder="1" applyAlignment="1">
      <alignment horizontal="center" wrapText="1"/>
    </xf>
    <xf numFmtId="0" fontId="18" fillId="0" borderId="29" xfId="465" applyFont="1" applyFill="1" applyBorder="1" applyAlignment="1">
      <alignment horizontal="center" wrapText="1"/>
    </xf>
    <xf numFmtId="0" fontId="88" fillId="0" borderId="25" xfId="465" applyFont="1" applyFill="1" applyBorder="1" applyAlignment="1">
      <alignment horizontal="center"/>
    </xf>
    <xf numFmtId="0" fontId="88" fillId="0" borderId="24" xfId="465" applyFont="1" applyFill="1" applyBorder="1" applyAlignment="1">
      <alignment horizontal="center"/>
    </xf>
    <xf numFmtId="0" fontId="88" fillId="0" borderId="29" xfId="465" applyFont="1" applyFill="1" applyBorder="1" applyAlignment="1">
      <alignment horizontal="center"/>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9" fillId="0" borderId="29" xfId="465" applyFont="1" applyFill="1" applyBorder="1" applyAlignment="1">
      <alignment horizontal="center"/>
    </xf>
    <xf numFmtId="0" fontId="104" fillId="0" borderId="0" xfId="465" applyFont="1" applyFill="1" applyBorder="1" applyAlignment="1">
      <alignment horizontal="center"/>
    </xf>
    <xf numFmtId="0" fontId="9" fillId="0" borderId="16" xfId="465" applyFont="1" applyFill="1" applyBorder="1" applyAlignment="1">
      <alignment horizontal="center"/>
    </xf>
    <xf numFmtId="0" fontId="9" fillId="0" borderId="15" xfId="465" applyFont="1" applyFill="1" applyBorder="1" applyAlignment="1">
      <alignment horizontal="center"/>
    </xf>
    <xf numFmtId="0" fontId="9" fillId="0" borderId="71" xfId="465" applyFont="1" applyFill="1" applyBorder="1" applyAlignment="1">
      <alignment horizontal="center"/>
    </xf>
    <xf numFmtId="0" fontId="9" fillId="0" borderId="15" xfId="465" applyFont="1" applyFill="1" applyBorder="1" applyAlignment="1">
      <alignment horizontal="center" wrapText="1"/>
    </xf>
    <xf numFmtId="0" fontId="8" fillId="0" borderId="15" xfId="465" applyFont="1" applyFill="1" applyBorder="1" applyAlignment="1">
      <alignment horizontal="center" wrapText="1"/>
    </xf>
    <xf numFmtId="0" fontId="8" fillId="0" borderId="71" xfId="465" applyFont="1" applyFill="1" applyBorder="1" applyAlignment="1">
      <alignment horizontal="center" wrapText="1"/>
    </xf>
    <xf numFmtId="0" fontId="9" fillId="0" borderId="29" xfId="465" applyFont="1" applyFill="1" applyBorder="1" applyAlignment="1">
      <alignment horizontal="center" wrapText="1"/>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alignment horizontal="center" wrapText="1"/>
    </xf>
    <xf numFmtId="0" fontId="8" fillId="0" borderId="21" xfId="465" applyFont="1" applyFill="1" applyBorder="1" applyAlignment="1">
      <alignment horizontal="center" wrapText="1"/>
    </xf>
    <xf numFmtId="0" fontId="50" fillId="0" borderId="0" xfId="467" applyNumberFormat="1"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120" fillId="0" borderId="0" xfId="0" applyFont="1" applyFill="1" applyAlignment="1">
      <alignment horizontal="left" wrapText="1"/>
    </xf>
    <xf numFmtId="0" fontId="39" fillId="0" borderId="20" xfId="467" applyFont="1" applyFill="1" applyBorder="1" applyAlignment="1">
      <alignment horizontal="center"/>
    </xf>
    <xf numFmtId="0" fontId="8" fillId="0" borderId="0" xfId="467" applyFont="1" applyFill="1" applyBorder="1" applyAlignment="1">
      <alignment horizontal="center"/>
    </xf>
    <xf numFmtId="0" fontId="8" fillId="0" borderId="21" xfId="467" applyFont="1" applyFill="1" applyBorder="1" applyAlignment="1">
      <alignment horizontal="center"/>
    </xf>
    <xf numFmtId="0" fontId="39" fillId="0" borderId="25" xfId="467" applyFont="1" applyFill="1" applyBorder="1" applyAlignment="1">
      <alignment horizontal="center"/>
    </xf>
    <xf numFmtId="0" fontId="8" fillId="0" borderId="24" xfId="467" applyFont="1" applyFill="1" applyBorder="1" applyAlignment="1">
      <alignment horizontal="center"/>
    </xf>
    <xf numFmtId="0" fontId="8" fillId="0" borderId="29" xfId="467" applyFont="1" applyFill="1" applyBorder="1" applyAlignment="1">
      <alignment horizontal="center"/>
    </xf>
    <xf numFmtId="0" fontId="0" fillId="0" borderId="0" xfId="0" applyAlignment="1">
      <alignment horizontal="left" wrapText="1"/>
    </xf>
    <xf numFmtId="0" fontId="165" fillId="0" borderId="0" xfId="0" applyFont="1" applyAlignment="1">
      <alignment horizontal="left" vertical="top" wrapText="1"/>
    </xf>
    <xf numFmtId="0" fontId="165" fillId="0" borderId="0" xfId="0" applyFont="1" applyFill="1" applyAlignment="1">
      <alignment horizontal="left" vertical="top" wrapText="1"/>
    </xf>
  </cellXfs>
  <cellStyles count="1159">
    <cellStyle name=" 1" xfId="1"/>
    <cellStyle name=" 1 2" xfId="2"/>
    <cellStyle name=" 1 2 2" xfId="3"/>
    <cellStyle name=" 1 3" xfId="4"/>
    <cellStyle name="20% - Accent1" xfId="722" builtinId="30" customBuiltin="1"/>
    <cellStyle name="20% - Accent1 10" xfId="5"/>
    <cellStyle name="20% - Accent1 11" xfId="6"/>
    <cellStyle name="20% - Accent1 12" xfId="7"/>
    <cellStyle name="20% - Accent1 13" xfId="8"/>
    <cellStyle name="20% - Accent1 14" xfId="788"/>
    <cellStyle name="20% - Accent1 14 2" xfId="940"/>
    <cellStyle name="20% - Accent1 14 3" xfId="1068"/>
    <cellStyle name="20% - Accent1 15" xfId="901"/>
    <cellStyle name="20% - Accent1 16" xfId="1029"/>
    <cellStyle name="20% - Accent1 2" xfId="9"/>
    <cellStyle name="20% - Accent1 2 2" xfId="10"/>
    <cellStyle name="20% - Accent1 2 3" xfId="11"/>
    <cellStyle name="20% - Accent1 2_10-15-10-Stmt AU - Period I - Working 1 0" xfId="12"/>
    <cellStyle name="20% - Accent1 3" xfId="13"/>
    <cellStyle name="20% - Accent1 3 2" xfId="14"/>
    <cellStyle name="20% - Accent1 3 3" xfId="15"/>
    <cellStyle name="20% - Accent1 3_10-15-10-Stmt AU - Period I - Working 1 0" xfId="16"/>
    <cellStyle name="20% - Accent1 4" xfId="17"/>
    <cellStyle name="20% - Accent1 4 2" xfId="18"/>
    <cellStyle name="20% - Accent1 4 3" xfId="19"/>
    <cellStyle name="20% - Accent1 4_10-15-10-Stmt AU - Period I - Working 1 0" xfId="20"/>
    <cellStyle name="20% - Accent1 5" xfId="21"/>
    <cellStyle name="20% - Accent1 5 2" xfId="22"/>
    <cellStyle name="20% - Accent1 5 3" xfId="23"/>
    <cellStyle name="20% - Accent1 5_10-15-10-Stmt AU - Period I - Working 1 0" xfId="24"/>
    <cellStyle name="20% - Accent1 6" xfId="25"/>
    <cellStyle name="20% - Accent1 6 2" xfId="26"/>
    <cellStyle name="20% - Accent1 6 3" xfId="27"/>
    <cellStyle name="20% - Accent1 6_10-15-10-Stmt AU - Period I - Working 1 0" xfId="28"/>
    <cellStyle name="20% - Accent1 7" xfId="29"/>
    <cellStyle name="20% - Accent1 7 2" xfId="30"/>
    <cellStyle name="20% - Accent1 7 3" xfId="31"/>
    <cellStyle name="20% - Accent1 7_10-15-10-Stmt AU - Period I - Working 1 0" xfId="32"/>
    <cellStyle name="20% - Accent1 8" xfId="33"/>
    <cellStyle name="20% - Accent1 9" xfId="34"/>
    <cellStyle name="20% - Accent2" xfId="726" builtinId="34" customBuiltin="1"/>
    <cellStyle name="20% - Accent2 10" xfId="35"/>
    <cellStyle name="20% - Accent2 11" xfId="36"/>
    <cellStyle name="20% - Accent2 12" xfId="37"/>
    <cellStyle name="20% - Accent2 13" xfId="38"/>
    <cellStyle name="20% - Accent2 14" xfId="789"/>
    <cellStyle name="20% - Accent2 14 2" xfId="941"/>
    <cellStyle name="20% - Accent2 14 3" xfId="1069"/>
    <cellStyle name="20% - Accent2 15" xfId="903"/>
    <cellStyle name="20% - Accent2 16" xfId="1031"/>
    <cellStyle name="20% - Accent2 2" xfId="39"/>
    <cellStyle name="20% - Accent2 2 2" xfId="40"/>
    <cellStyle name="20% - Accent2 2 3" xfId="41"/>
    <cellStyle name="20% - Accent2 2_10-15-10-Stmt AU - Period I - Working 1 0" xfId="42"/>
    <cellStyle name="20% - Accent2 3" xfId="43"/>
    <cellStyle name="20% - Accent2 3 2" xfId="44"/>
    <cellStyle name="20% - Accent2 3 3" xfId="45"/>
    <cellStyle name="20% - Accent2 3_10-15-10-Stmt AU - Period I - Working 1 0" xfId="46"/>
    <cellStyle name="20% - Accent2 4" xfId="47"/>
    <cellStyle name="20% - Accent2 4 2" xfId="48"/>
    <cellStyle name="20% - Accent2 4 3" xfId="49"/>
    <cellStyle name="20% - Accent2 4_10-15-10-Stmt AU - Period I - Working 1 0" xfId="50"/>
    <cellStyle name="20% - Accent2 5" xfId="51"/>
    <cellStyle name="20% - Accent2 5 2" xfId="52"/>
    <cellStyle name="20% - Accent2 5 3" xfId="53"/>
    <cellStyle name="20% - Accent2 5_10-15-10-Stmt AU - Period I - Working 1 0" xfId="54"/>
    <cellStyle name="20% - Accent2 6" xfId="55"/>
    <cellStyle name="20% - Accent2 6 2" xfId="56"/>
    <cellStyle name="20% - Accent2 6 3" xfId="57"/>
    <cellStyle name="20% - Accent2 6_10-15-10-Stmt AU - Period I - Working 1 0" xfId="58"/>
    <cellStyle name="20% - Accent2 7" xfId="59"/>
    <cellStyle name="20% - Accent2 7 2" xfId="60"/>
    <cellStyle name="20% - Accent2 7 3" xfId="61"/>
    <cellStyle name="20% - Accent2 7_10-15-10-Stmt AU - Period I - Working 1 0" xfId="62"/>
    <cellStyle name="20% - Accent2 8" xfId="63"/>
    <cellStyle name="20% - Accent2 9" xfId="64"/>
    <cellStyle name="20% - Accent3" xfId="730" builtinId="38" customBuiltin="1"/>
    <cellStyle name="20% - Accent3 10" xfId="65"/>
    <cellStyle name="20% - Accent3 11" xfId="66"/>
    <cellStyle name="20% - Accent3 12" xfId="67"/>
    <cellStyle name="20% - Accent3 13" xfId="68"/>
    <cellStyle name="20% - Accent3 14" xfId="790"/>
    <cellStyle name="20% - Accent3 14 2" xfId="942"/>
    <cellStyle name="20% - Accent3 14 3" xfId="1070"/>
    <cellStyle name="20% - Accent3 15" xfId="905"/>
    <cellStyle name="20% - Accent3 16" xfId="1033"/>
    <cellStyle name="20% - Accent3 2" xfId="69"/>
    <cellStyle name="20% - Accent3 2 2" xfId="70"/>
    <cellStyle name="20% - Accent3 2 3" xfId="71"/>
    <cellStyle name="20% - Accent3 2_10-15-10-Stmt AU - Period I - Working 1 0" xfId="72"/>
    <cellStyle name="20% - Accent3 3" xfId="73"/>
    <cellStyle name="20% - Accent3 3 2" xfId="74"/>
    <cellStyle name="20% - Accent3 3 3" xfId="75"/>
    <cellStyle name="20% - Accent3 3_10-15-10-Stmt AU - Period I - Working 1 0" xfId="76"/>
    <cellStyle name="20% - Accent3 4" xfId="77"/>
    <cellStyle name="20% - Accent3 4 2" xfId="78"/>
    <cellStyle name="20% - Accent3 4 3" xfId="79"/>
    <cellStyle name="20% - Accent3 4_10-15-10-Stmt AU - Period I - Working 1 0" xfId="80"/>
    <cellStyle name="20% - Accent3 5" xfId="81"/>
    <cellStyle name="20% - Accent3 5 2" xfId="82"/>
    <cellStyle name="20% - Accent3 5 3" xfId="83"/>
    <cellStyle name="20% - Accent3 5_10-15-10-Stmt AU - Period I - Working 1 0" xfId="84"/>
    <cellStyle name="20% - Accent3 6" xfId="85"/>
    <cellStyle name="20% - Accent3 6 2" xfId="86"/>
    <cellStyle name="20% - Accent3 6 3" xfId="87"/>
    <cellStyle name="20% - Accent3 6_10-15-10-Stmt AU - Period I - Working 1 0" xfId="88"/>
    <cellStyle name="20% - Accent3 7" xfId="89"/>
    <cellStyle name="20% - Accent3 7 2" xfId="90"/>
    <cellStyle name="20% - Accent3 7 3" xfId="91"/>
    <cellStyle name="20% - Accent3 7_10-15-10-Stmt AU - Period I - Working 1 0" xfId="92"/>
    <cellStyle name="20% - Accent3 8" xfId="93"/>
    <cellStyle name="20% - Accent3 9" xfId="94"/>
    <cellStyle name="20% - Accent4" xfId="734" builtinId="42" customBuiltin="1"/>
    <cellStyle name="20% - Accent4 10" xfId="95"/>
    <cellStyle name="20% - Accent4 11" xfId="96"/>
    <cellStyle name="20% - Accent4 12" xfId="97"/>
    <cellStyle name="20% - Accent4 13" xfId="98"/>
    <cellStyle name="20% - Accent4 14" xfId="791"/>
    <cellStyle name="20% - Accent4 14 2" xfId="943"/>
    <cellStyle name="20% - Accent4 14 3" xfId="1071"/>
    <cellStyle name="20% - Accent4 15" xfId="907"/>
    <cellStyle name="20% - Accent4 16" xfId="1035"/>
    <cellStyle name="20% - Accent4 2" xfId="99"/>
    <cellStyle name="20% - Accent4 2 2" xfId="100"/>
    <cellStyle name="20% - Accent4 2 3" xfId="101"/>
    <cellStyle name="20% - Accent4 2_10-15-10-Stmt AU - Period I - Working 1 0" xfId="102"/>
    <cellStyle name="20% - Accent4 3" xfId="103"/>
    <cellStyle name="20% - Accent4 3 2" xfId="104"/>
    <cellStyle name="20% - Accent4 3 3" xfId="105"/>
    <cellStyle name="20% - Accent4 3_10-15-10-Stmt AU - Period I - Working 1 0" xfId="106"/>
    <cellStyle name="20% - Accent4 4" xfId="107"/>
    <cellStyle name="20% - Accent4 4 2" xfId="108"/>
    <cellStyle name="20% - Accent4 4 3" xfId="109"/>
    <cellStyle name="20% - Accent4 4_10-15-10-Stmt AU - Period I - Working 1 0" xfId="110"/>
    <cellStyle name="20% - Accent4 5" xfId="111"/>
    <cellStyle name="20% - Accent4 5 2" xfId="112"/>
    <cellStyle name="20% - Accent4 5 3" xfId="113"/>
    <cellStyle name="20% - Accent4 5_10-15-10-Stmt AU - Period I - Working 1 0" xfId="114"/>
    <cellStyle name="20% - Accent4 6" xfId="115"/>
    <cellStyle name="20% - Accent4 6 2" xfId="116"/>
    <cellStyle name="20% - Accent4 6 3" xfId="117"/>
    <cellStyle name="20% - Accent4 6_10-15-10-Stmt AU - Period I - Working 1 0" xfId="118"/>
    <cellStyle name="20% - Accent4 7" xfId="119"/>
    <cellStyle name="20% - Accent4 7 2" xfId="120"/>
    <cellStyle name="20% - Accent4 7 3" xfId="121"/>
    <cellStyle name="20% - Accent4 7_10-15-10-Stmt AU - Period I - Working 1 0" xfId="122"/>
    <cellStyle name="20% - Accent4 8" xfId="123"/>
    <cellStyle name="20% - Accent4 9" xfId="124"/>
    <cellStyle name="20% - Accent5" xfId="738" builtinId="46" customBuiltin="1"/>
    <cellStyle name="20% - Accent5 10" xfId="125"/>
    <cellStyle name="20% - Accent5 11" xfId="126"/>
    <cellStyle name="20% - Accent5 12" xfId="127"/>
    <cellStyle name="20% - Accent5 13" xfId="128"/>
    <cellStyle name="20% - Accent5 14" xfId="792"/>
    <cellStyle name="20% - Accent5 14 2" xfId="944"/>
    <cellStyle name="20% - Accent5 14 3" xfId="1072"/>
    <cellStyle name="20% - Accent5 15" xfId="909"/>
    <cellStyle name="20% - Accent5 16" xfId="1037"/>
    <cellStyle name="20% - Accent5 2" xfId="129"/>
    <cellStyle name="20% - Accent5 2 2" xfId="130"/>
    <cellStyle name="20% - Accent5 2 3" xfId="131"/>
    <cellStyle name="20% - Accent5 2_10-15-10-Stmt AU - Period I - Working 1 0" xfId="132"/>
    <cellStyle name="20% - Accent5 3" xfId="133"/>
    <cellStyle name="20% - Accent5 3 2" xfId="134"/>
    <cellStyle name="20% - Accent5 3 3" xfId="135"/>
    <cellStyle name="20% - Accent5 3_10-15-10-Stmt AU - Period I - Working 1 0" xfId="136"/>
    <cellStyle name="20% - Accent5 4" xfId="137"/>
    <cellStyle name="20% - Accent5 4 2" xfId="138"/>
    <cellStyle name="20% - Accent5 4 3" xfId="139"/>
    <cellStyle name="20% - Accent5 4_10-15-10-Stmt AU - Period I - Working 1 0" xfId="140"/>
    <cellStyle name="20% - Accent5 5" xfId="141"/>
    <cellStyle name="20% - Accent5 5 2" xfId="142"/>
    <cellStyle name="20% - Accent5 5 3" xfId="143"/>
    <cellStyle name="20% - Accent5 5_10-15-10-Stmt AU - Period I - Working 1 0" xfId="144"/>
    <cellStyle name="20% - Accent5 6" xfId="145"/>
    <cellStyle name="20% - Accent5 6 2" xfId="146"/>
    <cellStyle name="20% - Accent5 6 3" xfId="147"/>
    <cellStyle name="20% - Accent5 6_10-15-10-Stmt AU - Period I - Working 1 0" xfId="148"/>
    <cellStyle name="20% - Accent5 7" xfId="149"/>
    <cellStyle name="20% - Accent5 7 2" xfId="150"/>
    <cellStyle name="20% - Accent5 7 3" xfId="151"/>
    <cellStyle name="20% - Accent5 7_10-15-10-Stmt AU - Period I - Working 1 0" xfId="152"/>
    <cellStyle name="20% - Accent5 8" xfId="153"/>
    <cellStyle name="20% - Accent5 9" xfId="154"/>
    <cellStyle name="20% - Accent6" xfId="742" builtinId="50" customBuiltin="1"/>
    <cellStyle name="20% - Accent6 10" xfId="155"/>
    <cellStyle name="20% - Accent6 11" xfId="156"/>
    <cellStyle name="20% - Accent6 12" xfId="157"/>
    <cellStyle name="20% - Accent6 13" xfId="158"/>
    <cellStyle name="20% - Accent6 14" xfId="793"/>
    <cellStyle name="20% - Accent6 14 2" xfId="945"/>
    <cellStyle name="20% - Accent6 14 3" xfId="1073"/>
    <cellStyle name="20% - Accent6 15" xfId="911"/>
    <cellStyle name="20% - Accent6 16" xfId="1039"/>
    <cellStyle name="20% - Accent6 2" xfId="159"/>
    <cellStyle name="20% - Accent6 2 2" xfId="160"/>
    <cellStyle name="20% - Accent6 2 3" xfId="161"/>
    <cellStyle name="20% - Accent6 2_10-15-10-Stmt AU - Period I - Working 1 0" xfId="162"/>
    <cellStyle name="20% - Accent6 3" xfId="163"/>
    <cellStyle name="20% - Accent6 3 2" xfId="164"/>
    <cellStyle name="20% - Accent6 3 3" xfId="165"/>
    <cellStyle name="20% - Accent6 3_10-15-10-Stmt AU - Period I - Working 1 0" xfId="166"/>
    <cellStyle name="20% - Accent6 4" xfId="167"/>
    <cellStyle name="20% - Accent6 4 2" xfId="168"/>
    <cellStyle name="20% - Accent6 4 3" xfId="169"/>
    <cellStyle name="20% - Accent6 4_10-15-10-Stmt AU - Period I - Working 1 0" xfId="170"/>
    <cellStyle name="20% - Accent6 5" xfId="171"/>
    <cellStyle name="20% - Accent6 5 2" xfId="172"/>
    <cellStyle name="20% - Accent6 5 3" xfId="173"/>
    <cellStyle name="20% - Accent6 5_10-15-10-Stmt AU - Period I - Working 1 0" xfId="174"/>
    <cellStyle name="20% - Accent6 6" xfId="175"/>
    <cellStyle name="20% - Accent6 6 2" xfId="176"/>
    <cellStyle name="20% - Accent6 6 3" xfId="177"/>
    <cellStyle name="20% - Accent6 6_10-15-10-Stmt AU - Period I - Working 1 0" xfId="178"/>
    <cellStyle name="20% - Accent6 7" xfId="179"/>
    <cellStyle name="20% - Accent6 7 2" xfId="180"/>
    <cellStyle name="20% - Accent6 7 3" xfId="181"/>
    <cellStyle name="20% - Accent6 7_10-15-10-Stmt AU - Period I - Working 1 0" xfId="182"/>
    <cellStyle name="20% - Accent6 8" xfId="183"/>
    <cellStyle name="20% - Accent6 9" xfId="184"/>
    <cellStyle name="40% - Accent1" xfId="723" builtinId="31" customBuiltin="1"/>
    <cellStyle name="40% - Accent1 10" xfId="185"/>
    <cellStyle name="40% - Accent1 11" xfId="186"/>
    <cellStyle name="40% - Accent1 12" xfId="187"/>
    <cellStyle name="40% - Accent1 13" xfId="188"/>
    <cellStyle name="40% - Accent1 14" xfId="794"/>
    <cellStyle name="40% - Accent1 14 2" xfId="946"/>
    <cellStyle name="40% - Accent1 14 3" xfId="1074"/>
    <cellStyle name="40% - Accent1 15" xfId="902"/>
    <cellStyle name="40% - Accent1 16" xfId="1030"/>
    <cellStyle name="40% - Accent1 2" xfId="189"/>
    <cellStyle name="40% - Accent1 2 2" xfId="190"/>
    <cellStyle name="40% - Accent1 2 3" xfId="191"/>
    <cellStyle name="40% - Accent1 2_10-15-10-Stmt AU - Period I - Working 1 0" xfId="192"/>
    <cellStyle name="40% - Accent1 3" xfId="193"/>
    <cellStyle name="40% - Accent1 3 2" xfId="194"/>
    <cellStyle name="40% - Accent1 3 3" xfId="195"/>
    <cellStyle name="40% - Accent1 3_10-15-10-Stmt AU - Period I - Working 1 0" xfId="196"/>
    <cellStyle name="40% - Accent1 4" xfId="197"/>
    <cellStyle name="40% - Accent1 4 2" xfId="198"/>
    <cellStyle name="40% - Accent1 4 3" xfId="199"/>
    <cellStyle name="40% - Accent1 4_10-15-10-Stmt AU - Period I - Working 1 0" xfId="200"/>
    <cellStyle name="40% - Accent1 5" xfId="201"/>
    <cellStyle name="40% - Accent1 5 2" xfId="202"/>
    <cellStyle name="40% - Accent1 5 3" xfId="203"/>
    <cellStyle name="40% - Accent1 5_10-15-10-Stmt AU - Period I - Working 1 0" xfId="204"/>
    <cellStyle name="40% - Accent1 6" xfId="205"/>
    <cellStyle name="40% - Accent1 6 2" xfId="206"/>
    <cellStyle name="40% - Accent1 6 3" xfId="207"/>
    <cellStyle name="40% - Accent1 6_10-15-10-Stmt AU - Period I - Working 1 0" xfId="208"/>
    <cellStyle name="40% - Accent1 7" xfId="209"/>
    <cellStyle name="40% - Accent1 7 2" xfId="210"/>
    <cellStyle name="40% - Accent1 7 3" xfId="211"/>
    <cellStyle name="40% - Accent1 7_10-15-10-Stmt AU - Period I - Working 1 0" xfId="212"/>
    <cellStyle name="40% - Accent1 8" xfId="213"/>
    <cellStyle name="40% - Accent1 9" xfId="214"/>
    <cellStyle name="40% - Accent2" xfId="727" builtinId="35" customBuiltin="1"/>
    <cellStyle name="40% - Accent2 10" xfId="215"/>
    <cellStyle name="40% - Accent2 11" xfId="216"/>
    <cellStyle name="40% - Accent2 12" xfId="217"/>
    <cellStyle name="40% - Accent2 13" xfId="218"/>
    <cellStyle name="40% - Accent2 14" xfId="795"/>
    <cellStyle name="40% - Accent2 14 2" xfId="947"/>
    <cellStyle name="40% - Accent2 14 3" xfId="1075"/>
    <cellStyle name="40% - Accent2 15" xfId="904"/>
    <cellStyle name="40% - Accent2 16" xfId="1032"/>
    <cellStyle name="40% - Accent2 2" xfId="219"/>
    <cellStyle name="40% - Accent2 2 2" xfId="220"/>
    <cellStyle name="40% - Accent2 2 3" xfId="221"/>
    <cellStyle name="40% - Accent2 2_10-15-10-Stmt AU - Period I - Working 1 0" xfId="222"/>
    <cellStyle name="40% - Accent2 3" xfId="223"/>
    <cellStyle name="40% - Accent2 3 2" xfId="224"/>
    <cellStyle name="40% - Accent2 3 3" xfId="225"/>
    <cellStyle name="40% - Accent2 3_10-15-10-Stmt AU - Period I - Working 1 0" xfId="226"/>
    <cellStyle name="40% - Accent2 4" xfId="227"/>
    <cellStyle name="40% - Accent2 4 2" xfId="228"/>
    <cellStyle name="40% - Accent2 4 3" xfId="229"/>
    <cellStyle name="40% - Accent2 4_10-15-10-Stmt AU - Period I - Working 1 0" xfId="230"/>
    <cellStyle name="40% - Accent2 5" xfId="231"/>
    <cellStyle name="40% - Accent2 5 2" xfId="232"/>
    <cellStyle name="40% - Accent2 5 3" xfId="233"/>
    <cellStyle name="40% - Accent2 5_10-15-10-Stmt AU - Period I - Working 1 0" xfId="234"/>
    <cellStyle name="40% - Accent2 6" xfId="235"/>
    <cellStyle name="40% - Accent2 6 2" xfId="236"/>
    <cellStyle name="40% - Accent2 6 3" xfId="237"/>
    <cellStyle name="40% - Accent2 6_10-15-10-Stmt AU - Period I - Working 1 0" xfId="238"/>
    <cellStyle name="40% - Accent2 7" xfId="239"/>
    <cellStyle name="40% - Accent2 7 2" xfId="240"/>
    <cellStyle name="40% - Accent2 7 3" xfId="241"/>
    <cellStyle name="40% - Accent2 7_10-15-10-Stmt AU - Period I - Working 1 0" xfId="242"/>
    <cellStyle name="40% - Accent2 8" xfId="243"/>
    <cellStyle name="40% - Accent2 9" xfId="244"/>
    <cellStyle name="40% - Accent3" xfId="731" builtinId="39" customBuiltin="1"/>
    <cellStyle name="40% - Accent3 10" xfId="245"/>
    <cellStyle name="40% - Accent3 11" xfId="246"/>
    <cellStyle name="40% - Accent3 12" xfId="247"/>
    <cellStyle name="40% - Accent3 13" xfId="248"/>
    <cellStyle name="40% - Accent3 14" xfId="796"/>
    <cellStyle name="40% - Accent3 14 2" xfId="948"/>
    <cellStyle name="40% - Accent3 14 3" xfId="1076"/>
    <cellStyle name="40% - Accent3 15" xfId="906"/>
    <cellStyle name="40% - Accent3 16" xfId="1034"/>
    <cellStyle name="40% - Accent3 2" xfId="249"/>
    <cellStyle name="40% - Accent3 2 2" xfId="250"/>
    <cellStyle name="40% - Accent3 2 3" xfId="251"/>
    <cellStyle name="40% - Accent3 2_10-15-10-Stmt AU - Period I - Working 1 0" xfId="252"/>
    <cellStyle name="40% - Accent3 3" xfId="253"/>
    <cellStyle name="40% - Accent3 3 2" xfId="254"/>
    <cellStyle name="40% - Accent3 3 3" xfId="255"/>
    <cellStyle name="40% - Accent3 3_10-15-10-Stmt AU - Period I - Working 1 0" xfId="256"/>
    <cellStyle name="40% - Accent3 4" xfId="257"/>
    <cellStyle name="40% - Accent3 4 2" xfId="258"/>
    <cellStyle name="40% - Accent3 4 3" xfId="259"/>
    <cellStyle name="40% - Accent3 4_10-15-10-Stmt AU - Period I - Working 1 0" xfId="260"/>
    <cellStyle name="40% - Accent3 5" xfId="261"/>
    <cellStyle name="40% - Accent3 5 2" xfId="262"/>
    <cellStyle name="40% - Accent3 5 3" xfId="263"/>
    <cellStyle name="40% - Accent3 5_10-15-10-Stmt AU - Period I - Working 1 0" xfId="264"/>
    <cellStyle name="40% - Accent3 6" xfId="265"/>
    <cellStyle name="40% - Accent3 6 2" xfId="266"/>
    <cellStyle name="40% - Accent3 6 3" xfId="267"/>
    <cellStyle name="40% - Accent3 6_10-15-10-Stmt AU - Period I - Working 1 0" xfId="268"/>
    <cellStyle name="40% - Accent3 7" xfId="269"/>
    <cellStyle name="40% - Accent3 7 2" xfId="270"/>
    <cellStyle name="40% - Accent3 7 3" xfId="271"/>
    <cellStyle name="40% - Accent3 7_10-15-10-Stmt AU - Period I - Working 1 0" xfId="272"/>
    <cellStyle name="40% - Accent3 8" xfId="273"/>
    <cellStyle name="40% - Accent3 9" xfId="274"/>
    <cellStyle name="40% - Accent4" xfId="735" builtinId="43" customBuiltin="1"/>
    <cellStyle name="40% - Accent4 10" xfId="275"/>
    <cellStyle name="40% - Accent4 11" xfId="276"/>
    <cellStyle name="40% - Accent4 12" xfId="277"/>
    <cellStyle name="40% - Accent4 13" xfId="278"/>
    <cellStyle name="40% - Accent4 14" xfId="797"/>
    <cellStyle name="40% - Accent4 14 2" xfId="949"/>
    <cellStyle name="40% - Accent4 14 3" xfId="1077"/>
    <cellStyle name="40% - Accent4 15" xfId="908"/>
    <cellStyle name="40% - Accent4 16" xfId="1036"/>
    <cellStyle name="40% - Accent4 2" xfId="279"/>
    <cellStyle name="40% - Accent4 2 2" xfId="280"/>
    <cellStyle name="40% - Accent4 2 3" xfId="281"/>
    <cellStyle name="40% - Accent4 2_10-15-10-Stmt AU - Period I - Working 1 0" xfId="282"/>
    <cellStyle name="40% - Accent4 3" xfId="283"/>
    <cellStyle name="40% - Accent4 3 2" xfId="284"/>
    <cellStyle name="40% - Accent4 3 3" xfId="285"/>
    <cellStyle name="40% - Accent4 3_10-15-10-Stmt AU - Period I - Working 1 0" xfId="286"/>
    <cellStyle name="40% - Accent4 4" xfId="287"/>
    <cellStyle name="40% - Accent4 4 2" xfId="288"/>
    <cellStyle name="40% - Accent4 4 3" xfId="289"/>
    <cellStyle name="40% - Accent4 4_10-15-10-Stmt AU - Period I - Working 1 0" xfId="290"/>
    <cellStyle name="40% - Accent4 5" xfId="291"/>
    <cellStyle name="40% - Accent4 5 2" xfId="292"/>
    <cellStyle name="40% - Accent4 5 3" xfId="293"/>
    <cellStyle name="40% - Accent4 5_10-15-10-Stmt AU - Period I - Working 1 0" xfId="294"/>
    <cellStyle name="40% - Accent4 6" xfId="295"/>
    <cellStyle name="40% - Accent4 6 2" xfId="296"/>
    <cellStyle name="40% - Accent4 6 3" xfId="297"/>
    <cellStyle name="40% - Accent4 6_10-15-10-Stmt AU - Period I - Working 1 0" xfId="298"/>
    <cellStyle name="40% - Accent4 7" xfId="299"/>
    <cellStyle name="40% - Accent4 7 2" xfId="300"/>
    <cellStyle name="40% - Accent4 7 3" xfId="301"/>
    <cellStyle name="40% - Accent4 7_10-15-10-Stmt AU - Period I - Working 1 0" xfId="302"/>
    <cellStyle name="40% - Accent4 8" xfId="303"/>
    <cellStyle name="40% - Accent4 9" xfId="304"/>
    <cellStyle name="40% - Accent5" xfId="739" builtinId="47" customBuiltin="1"/>
    <cellStyle name="40% - Accent5 10" xfId="305"/>
    <cellStyle name="40% - Accent5 11" xfId="306"/>
    <cellStyle name="40% - Accent5 12" xfId="307"/>
    <cellStyle name="40% - Accent5 13" xfId="308"/>
    <cellStyle name="40% - Accent5 14" xfId="798"/>
    <cellStyle name="40% - Accent5 14 2" xfId="950"/>
    <cellStyle name="40% - Accent5 14 3" xfId="1078"/>
    <cellStyle name="40% - Accent5 15" xfId="910"/>
    <cellStyle name="40% - Accent5 16" xfId="1038"/>
    <cellStyle name="40% - Accent5 2" xfId="309"/>
    <cellStyle name="40% - Accent5 2 2" xfId="310"/>
    <cellStyle name="40% - Accent5 2 3" xfId="311"/>
    <cellStyle name="40% - Accent5 2_10-15-10-Stmt AU - Period I - Working 1 0" xfId="312"/>
    <cellStyle name="40% - Accent5 3" xfId="313"/>
    <cellStyle name="40% - Accent5 3 2" xfId="314"/>
    <cellStyle name="40% - Accent5 3 3" xfId="315"/>
    <cellStyle name="40% - Accent5 3_10-15-10-Stmt AU - Period I - Working 1 0" xfId="316"/>
    <cellStyle name="40% - Accent5 4" xfId="317"/>
    <cellStyle name="40% - Accent5 4 2" xfId="318"/>
    <cellStyle name="40% - Accent5 4 3" xfId="319"/>
    <cellStyle name="40% - Accent5 4_10-15-10-Stmt AU - Period I - Working 1 0" xfId="320"/>
    <cellStyle name="40% - Accent5 5" xfId="321"/>
    <cellStyle name="40% - Accent5 5 2" xfId="322"/>
    <cellStyle name="40% - Accent5 5 3" xfId="323"/>
    <cellStyle name="40% - Accent5 5_10-15-10-Stmt AU - Period I - Working 1 0" xfId="324"/>
    <cellStyle name="40% - Accent5 6" xfId="325"/>
    <cellStyle name="40% - Accent5 6 2" xfId="326"/>
    <cellStyle name="40% - Accent5 6 3" xfId="327"/>
    <cellStyle name="40% - Accent5 6_10-15-10-Stmt AU - Period I - Working 1 0" xfId="328"/>
    <cellStyle name="40% - Accent5 7" xfId="329"/>
    <cellStyle name="40% - Accent5 7 2" xfId="330"/>
    <cellStyle name="40% - Accent5 7 3" xfId="331"/>
    <cellStyle name="40% - Accent5 7_10-15-10-Stmt AU - Period I - Working 1 0" xfId="332"/>
    <cellStyle name="40% - Accent5 8" xfId="333"/>
    <cellStyle name="40% - Accent5 9" xfId="334"/>
    <cellStyle name="40% - Accent6" xfId="743" builtinId="51" customBuiltin="1"/>
    <cellStyle name="40% - Accent6 10" xfId="335"/>
    <cellStyle name="40% - Accent6 11" xfId="336"/>
    <cellStyle name="40% - Accent6 12" xfId="337"/>
    <cellStyle name="40% - Accent6 13" xfId="338"/>
    <cellStyle name="40% - Accent6 14" xfId="799"/>
    <cellStyle name="40% - Accent6 14 2" xfId="951"/>
    <cellStyle name="40% - Accent6 14 3" xfId="1079"/>
    <cellStyle name="40% - Accent6 15" xfId="912"/>
    <cellStyle name="40% - Accent6 16" xfId="1040"/>
    <cellStyle name="40% - Accent6 2" xfId="339"/>
    <cellStyle name="40% - Accent6 2 2" xfId="340"/>
    <cellStyle name="40% - Accent6 2 3" xfId="341"/>
    <cellStyle name="40% - Accent6 2_10-15-10-Stmt AU - Period I - Working 1 0" xfId="342"/>
    <cellStyle name="40% - Accent6 3" xfId="343"/>
    <cellStyle name="40% - Accent6 3 2" xfId="344"/>
    <cellStyle name="40% - Accent6 3 3" xfId="345"/>
    <cellStyle name="40% - Accent6 3_10-15-10-Stmt AU - Period I - Working 1 0" xfId="346"/>
    <cellStyle name="40% - Accent6 4" xfId="347"/>
    <cellStyle name="40% - Accent6 4 2" xfId="348"/>
    <cellStyle name="40% - Accent6 4 3" xfId="349"/>
    <cellStyle name="40% - Accent6 4_10-15-10-Stmt AU - Period I - Working 1 0" xfId="350"/>
    <cellStyle name="40% - Accent6 5" xfId="351"/>
    <cellStyle name="40% - Accent6 5 2" xfId="352"/>
    <cellStyle name="40% - Accent6 5 3" xfId="353"/>
    <cellStyle name="40% - Accent6 5_10-15-10-Stmt AU - Period I - Working 1 0" xfId="354"/>
    <cellStyle name="40% - Accent6 6" xfId="355"/>
    <cellStyle name="40% - Accent6 6 2" xfId="356"/>
    <cellStyle name="40% - Accent6 6 3" xfId="357"/>
    <cellStyle name="40% - Accent6 6_10-15-10-Stmt AU - Period I - Working 1 0" xfId="358"/>
    <cellStyle name="40% - Accent6 7" xfId="359"/>
    <cellStyle name="40% - Accent6 7 2" xfId="360"/>
    <cellStyle name="40% - Accent6 7 3" xfId="361"/>
    <cellStyle name="40% - Accent6 7_10-15-10-Stmt AU - Period I - Working 1 0" xfId="362"/>
    <cellStyle name="40% - Accent6 8" xfId="363"/>
    <cellStyle name="40% - Accent6 9" xfId="364"/>
    <cellStyle name="60% - Accent1" xfId="724" builtinId="32" customBuiltin="1"/>
    <cellStyle name="60% - Accent1 2" xfId="365"/>
    <cellStyle name="60% - Accent2" xfId="728" builtinId="36" customBuiltin="1"/>
    <cellStyle name="60% - Accent2 2" xfId="366"/>
    <cellStyle name="60% - Accent3" xfId="732" builtinId="40" customBuiltin="1"/>
    <cellStyle name="60% - Accent3 2" xfId="367"/>
    <cellStyle name="60% - Accent4" xfId="736" builtinId="44" customBuiltin="1"/>
    <cellStyle name="60% - Accent4 2" xfId="368"/>
    <cellStyle name="60% - Accent5" xfId="740" builtinId="48" customBuiltin="1"/>
    <cellStyle name="60% - Accent5 2" xfId="369"/>
    <cellStyle name="60% - Accent6" xfId="744" builtinId="52" customBuiltin="1"/>
    <cellStyle name="60% - Accent6 2" xfId="370"/>
    <cellStyle name="Accent1" xfId="721" builtinId="29" customBuiltin="1"/>
    <cellStyle name="Accent1 2" xfId="371"/>
    <cellStyle name="Accent2" xfId="725" builtinId="33" customBuiltin="1"/>
    <cellStyle name="Accent2 2" xfId="372"/>
    <cellStyle name="Accent3" xfId="729" builtinId="37" customBuiltin="1"/>
    <cellStyle name="Accent3 2" xfId="373"/>
    <cellStyle name="Accent4" xfId="733" builtinId="41" customBuiltin="1"/>
    <cellStyle name="Accent4 2" xfId="374"/>
    <cellStyle name="Accent5" xfId="737" builtinId="45" customBuiltin="1"/>
    <cellStyle name="Accent5 2" xfId="375"/>
    <cellStyle name="Accent6" xfId="741" builtinId="49" customBuiltin="1"/>
    <cellStyle name="Accent6 2" xfId="376"/>
    <cellStyle name="Bad" xfId="711" builtinId="27" customBuiltin="1"/>
    <cellStyle name="Bad 2" xfId="377"/>
    <cellStyle name="Calculation" xfId="715" builtinId="22" customBuiltin="1"/>
    <cellStyle name="Calculation 2" xfId="378"/>
    <cellStyle name="Check Cell" xfId="717" builtinId="23" customBuiltin="1"/>
    <cellStyle name="Check Cell 2" xfId="379"/>
    <cellStyle name="Column.Head" xfId="380"/>
    <cellStyle name="Comma" xfId="381" builtinId="3"/>
    <cellStyle name="Comma [0] 2" xfId="1158"/>
    <cellStyle name="Comma 10" xfId="382"/>
    <cellStyle name="Comma 10 2" xfId="383"/>
    <cellStyle name="Comma 109" xfId="1157"/>
    <cellStyle name="Comma 11" xfId="384"/>
    <cellStyle name="Comma 11 2" xfId="385"/>
    <cellStyle name="Comma 12" xfId="386"/>
    <cellStyle name="Comma 12 2" xfId="387"/>
    <cellStyle name="Comma 13" xfId="388"/>
    <cellStyle name="Comma 13 2" xfId="389"/>
    <cellStyle name="Comma 14" xfId="747"/>
    <cellStyle name="Comma 15" xfId="746"/>
    <cellStyle name="Comma 15 2" xfId="868"/>
    <cellStyle name="Comma 15 2 2" xfId="997"/>
    <cellStyle name="Comma 15 2 3" xfId="1125"/>
    <cellStyle name="Comma 15 3" xfId="914"/>
    <cellStyle name="Comma 15 4" xfId="1042"/>
    <cellStyle name="Comma 16" xfId="802"/>
    <cellStyle name="Comma 16 2" xfId="954"/>
    <cellStyle name="Comma 16 3" xfId="1082"/>
    <cellStyle name="Comma 17" xfId="845"/>
    <cellStyle name="Comma 18" xfId="857"/>
    <cellStyle name="Comma 19" xfId="840"/>
    <cellStyle name="Comma 2" xfId="390"/>
    <cellStyle name="Comma 2 2" xfId="391"/>
    <cellStyle name="Comma 2 2 2" xfId="392"/>
    <cellStyle name="Comma 2 3" xfId="393"/>
    <cellStyle name="Comma 2 4" xfId="394"/>
    <cellStyle name="Comma 3" xfId="395"/>
    <cellStyle name="Comma 3 2" xfId="396"/>
    <cellStyle name="Comma 3 3" xfId="397"/>
    <cellStyle name="Comma 3 4" xfId="398"/>
    <cellStyle name="Comma 3 5" xfId="774"/>
    <cellStyle name="Comma 3 5 2" xfId="881"/>
    <cellStyle name="Comma 3 5 2 2" xfId="1010"/>
    <cellStyle name="Comma 3 5 2 3" xfId="1138"/>
    <cellStyle name="Comma 3 5 3" xfId="926"/>
    <cellStyle name="Comma 3 5 4" xfId="1054"/>
    <cellStyle name="Comma 3 6" xfId="803"/>
    <cellStyle name="Comma 3 6 2" xfId="955"/>
    <cellStyle name="Comma 3 6 3" xfId="1083"/>
    <cellStyle name="Comma 4" xfId="399"/>
    <cellStyle name="Comma 4 2" xfId="400"/>
    <cellStyle name="Comma 4 2 2" xfId="401"/>
    <cellStyle name="Comma 4 3" xfId="402"/>
    <cellStyle name="Comma 5" xfId="403"/>
    <cellStyle name="Comma 5 2" xfId="404"/>
    <cellStyle name="Comma 5 2 2" xfId="405"/>
    <cellStyle name="Comma 5 3" xfId="406"/>
    <cellStyle name="Comma 6" xfId="407"/>
    <cellStyle name="Comma 6 2" xfId="408"/>
    <cellStyle name="Comma 6 2 2" xfId="409"/>
    <cellStyle name="Comma 6 3" xfId="410"/>
    <cellStyle name="Comma 7" xfId="411"/>
    <cellStyle name="Comma 7 2" xfId="412"/>
    <cellStyle name="Comma 7 3" xfId="748"/>
    <cellStyle name="Comma 8" xfId="413"/>
    <cellStyle name="Comma 8 2" xfId="414"/>
    <cellStyle name="Comma 8 3" xfId="749"/>
    <cellStyle name="Comma 9" xfId="415"/>
    <cellStyle name="Comma 9 2" xfId="416"/>
    <cellStyle name="Comma0" xfId="417"/>
    <cellStyle name="Config Data" xfId="418"/>
    <cellStyle name="cost_per_kw" xfId="419"/>
    <cellStyle name="Currency" xfId="420" builtinId="4"/>
    <cellStyle name="Currency 2" xfId="421"/>
    <cellStyle name="Currency 2 2" xfId="422"/>
    <cellStyle name="Currency 3" xfId="423"/>
    <cellStyle name="Currency 3 2" xfId="424"/>
    <cellStyle name="Currency 3 3" xfId="772"/>
    <cellStyle name="Currency 3 3 2" xfId="879"/>
    <cellStyle name="Currency 3 3 2 2" xfId="1008"/>
    <cellStyle name="Currency 3 3 2 3" xfId="1136"/>
    <cellStyle name="Currency 3 3 3" xfId="924"/>
    <cellStyle name="Currency 3 3 4" xfId="1052"/>
    <cellStyle name="Currency 3 4" xfId="805"/>
    <cellStyle name="Currency 3 4 2" xfId="957"/>
    <cellStyle name="Currency 3 4 3" xfId="1085"/>
    <cellStyle name="Currency 4" xfId="425"/>
    <cellStyle name="Currency 4 2" xfId="751"/>
    <cellStyle name="Currency 5" xfId="750"/>
    <cellStyle name="Currency 6" xfId="773"/>
    <cellStyle name="Currency 6 2" xfId="880"/>
    <cellStyle name="Currency 6 2 2" xfId="1009"/>
    <cellStyle name="Currency 6 2 3" xfId="1137"/>
    <cellStyle name="Currency 6 3" xfId="925"/>
    <cellStyle name="Currency 6 4" xfId="1053"/>
    <cellStyle name="Currency 7" xfId="804"/>
    <cellStyle name="Currency 7 2" xfId="956"/>
    <cellStyle name="Currency 7 3" xfId="1084"/>
    <cellStyle name="Currency 8" xfId="846"/>
    <cellStyle name="Currency 9" xfId="843"/>
    <cellStyle name="Currency0" xfId="426"/>
    <cellStyle name="Date" xfId="427"/>
    <cellStyle name="Explanatory Text" xfId="719" builtinId="53" customBuiltin="1"/>
    <cellStyle name="Explanatory Text 2" xfId="428"/>
    <cellStyle name="Fixed" xfId="429"/>
    <cellStyle name="Good" xfId="710" builtinId="26" customBuiltin="1"/>
    <cellStyle name="Good 2" xfId="430"/>
    <cellStyle name="Heading 1" xfId="706" builtinId="16" customBuiltin="1"/>
    <cellStyle name="Heading 1 2" xfId="431"/>
    <cellStyle name="Heading 2" xfId="707" builtinId="17" customBuiltin="1"/>
    <cellStyle name="Heading 2 2" xfId="432"/>
    <cellStyle name="Heading 3" xfId="708" builtinId="18" customBuiltin="1"/>
    <cellStyle name="Heading 3 2" xfId="433"/>
    <cellStyle name="Heading 4" xfId="709" builtinId="19" customBuiltin="1"/>
    <cellStyle name="Heading 4 2" xfId="434"/>
    <cellStyle name="Hyperlink 2" xfId="435"/>
    <cellStyle name="Hyperlink 3" xfId="436"/>
    <cellStyle name="Hyperlink 4" xfId="437"/>
    <cellStyle name="Hyperlink 5" xfId="438"/>
    <cellStyle name="Hyperlink 6" xfId="439"/>
    <cellStyle name="Input" xfId="713" builtinId="20" customBuiltin="1"/>
    <cellStyle name="Input 2" xfId="440"/>
    <cellStyle name="kwh_centered" xfId="441"/>
    <cellStyle name="Linked Cell" xfId="716" builtinId="24" customBuiltin="1"/>
    <cellStyle name="Linked Cell 2" xfId="442"/>
    <cellStyle name="Neutral" xfId="712" builtinId="28" customBuiltin="1"/>
    <cellStyle name="Neutral 2" xfId="443"/>
    <cellStyle name="Normal" xfId="0" builtinId="0"/>
    <cellStyle name="Normal 10" xfId="444"/>
    <cellStyle name="Normal 10 2" xfId="445"/>
    <cellStyle name="Normal 10 2 2" xfId="446"/>
    <cellStyle name="Normal 10 3" xfId="447"/>
    <cellStyle name="Normal 10 4" xfId="752"/>
    <cellStyle name="Normal 10_10-15-10-Stmt AU - Period I - Working 1 0" xfId="448"/>
    <cellStyle name="Normal 11" xfId="449"/>
    <cellStyle name="Normal 11 2" xfId="450"/>
    <cellStyle name="Normal 11 3" xfId="753"/>
    <cellStyle name="Normal 11_3 - Revenue Credits" xfId="451"/>
    <cellStyle name="Normal 12" xfId="452"/>
    <cellStyle name="Normal 12 2" xfId="453"/>
    <cellStyle name="Normal 12 2 2" xfId="454"/>
    <cellStyle name="Normal 12 3" xfId="455"/>
    <cellStyle name="Normal 12_3 - Revenue Credits" xfId="456"/>
    <cellStyle name="Normal 13" xfId="457"/>
    <cellStyle name="Normal 13 2" xfId="458"/>
    <cellStyle name="Normal 13 2 2" xfId="459"/>
    <cellStyle name="Normal 13 2 3" xfId="755"/>
    <cellStyle name="Normal 13 2_3 - Revenue Credits" xfId="460"/>
    <cellStyle name="Normal 13 3" xfId="461"/>
    <cellStyle name="Normal 13 4" xfId="754"/>
    <cellStyle name="Normal 13_3 - Revenue Credits" xfId="462"/>
    <cellStyle name="Normal 14" xfId="463"/>
    <cellStyle name="Normal 15" xfId="464"/>
    <cellStyle name="Normal 16" xfId="745"/>
    <cellStyle name="Normal 16 2" xfId="867"/>
    <cellStyle name="Normal 16 2 2" xfId="996"/>
    <cellStyle name="Normal 16 2 3" xfId="1124"/>
    <cellStyle name="Normal 16 3" xfId="913"/>
    <cellStyle name="Normal 16 4" xfId="1041"/>
    <cellStyle name="Normal 17" xfId="777"/>
    <cellStyle name="Normal 17 2" xfId="884"/>
    <cellStyle name="Normal 17 2 2" xfId="1013"/>
    <cellStyle name="Normal 17 2 3" xfId="1141"/>
    <cellStyle name="Normal 17 3" xfId="929"/>
    <cellStyle name="Normal 17 4" xfId="1057"/>
    <cellStyle name="Normal 18" xfId="778"/>
    <cellStyle name="Normal 18 2" xfId="885"/>
    <cellStyle name="Normal 18 2 2" xfId="1014"/>
    <cellStyle name="Normal 18 2 3" xfId="1142"/>
    <cellStyle name="Normal 18 3" xfId="930"/>
    <cellStyle name="Normal 18 4" xfId="1058"/>
    <cellStyle name="Normal 19" xfId="779"/>
    <cellStyle name="Normal 19 2" xfId="886"/>
    <cellStyle name="Normal 19 2 2" xfId="1015"/>
    <cellStyle name="Normal 19 2 3" xfId="1143"/>
    <cellStyle name="Normal 19 3" xfId="931"/>
    <cellStyle name="Normal 19 4" xfId="1059"/>
    <cellStyle name="Normal 2" xfId="465"/>
    <cellStyle name="Normal 2 2" xfId="466"/>
    <cellStyle name="Normal 2 2 2" xfId="467"/>
    <cellStyle name="Normal 2 2_1 - ADIT" xfId="468"/>
    <cellStyle name="Normal 2 3" xfId="469"/>
    <cellStyle name="Normal 2 3 2" xfId="470"/>
    <cellStyle name="Normal 2 4" xfId="471"/>
    <cellStyle name="Normal 2_1 - ADIT" xfId="472"/>
    <cellStyle name="Normal 2_5 - Cost Support" xfId="473"/>
    <cellStyle name="Normal 2_6 - Est and True up" xfId="474"/>
    <cellStyle name="Normal 2_6A-Colstrip" xfId="475"/>
    <cellStyle name="Normal 2_6B-So Intertie" xfId="476"/>
    <cellStyle name="Normal 2_WKSHT5 - Prepaid" xfId="477"/>
    <cellStyle name="Normal 20" xfId="780"/>
    <cellStyle name="Normal 20 2" xfId="887"/>
    <cellStyle name="Normal 20 2 2" xfId="1016"/>
    <cellStyle name="Normal 20 2 3" xfId="1144"/>
    <cellStyle name="Normal 20 3" xfId="932"/>
    <cellStyle name="Normal 20 4" xfId="1060"/>
    <cellStyle name="Normal 21" xfId="781"/>
    <cellStyle name="Normal 21 2" xfId="888"/>
    <cellStyle name="Normal 21 2 2" xfId="1017"/>
    <cellStyle name="Normal 21 2 3" xfId="1145"/>
    <cellStyle name="Normal 21 3" xfId="933"/>
    <cellStyle name="Normal 21 4" xfId="1061"/>
    <cellStyle name="Normal 22" xfId="782"/>
    <cellStyle name="Normal 22 2" xfId="889"/>
    <cellStyle name="Normal 22 2 2" xfId="1018"/>
    <cellStyle name="Normal 22 2 3" xfId="1146"/>
    <cellStyle name="Normal 22 3" xfId="934"/>
    <cellStyle name="Normal 22 4" xfId="1062"/>
    <cellStyle name="Normal 23" xfId="783"/>
    <cellStyle name="Normal 23 2" xfId="890"/>
    <cellStyle name="Normal 23 2 2" xfId="1019"/>
    <cellStyle name="Normal 23 2 3" xfId="1147"/>
    <cellStyle name="Normal 23 3" xfId="935"/>
    <cellStyle name="Normal 23 4" xfId="1063"/>
    <cellStyle name="Normal 24" xfId="784"/>
    <cellStyle name="Normal 24 2" xfId="891"/>
    <cellStyle name="Normal 24 2 2" xfId="1020"/>
    <cellStyle name="Normal 24 2 3" xfId="1148"/>
    <cellStyle name="Normal 24 3" xfId="936"/>
    <cellStyle name="Normal 24 4" xfId="1064"/>
    <cellStyle name="Normal 25" xfId="785"/>
    <cellStyle name="Normal 25 2" xfId="892"/>
    <cellStyle name="Normal 25 2 2" xfId="1021"/>
    <cellStyle name="Normal 25 2 3" xfId="1149"/>
    <cellStyle name="Normal 25 3" xfId="937"/>
    <cellStyle name="Normal 25 4" xfId="1065"/>
    <cellStyle name="Normal 26" xfId="786"/>
    <cellStyle name="Normal 26 2" xfId="893"/>
    <cellStyle name="Normal 26 2 2" xfId="1022"/>
    <cellStyle name="Normal 26 2 3" xfId="1150"/>
    <cellStyle name="Normal 26 3" xfId="938"/>
    <cellStyle name="Normal 26 4" xfId="1066"/>
    <cellStyle name="Normal 27" xfId="776"/>
    <cellStyle name="Normal 27 2" xfId="883"/>
    <cellStyle name="Normal 27 2 2" xfId="1012"/>
    <cellStyle name="Normal 27 2 3" xfId="1140"/>
    <cellStyle name="Normal 27 3" xfId="928"/>
    <cellStyle name="Normal 27 4" xfId="1056"/>
    <cellStyle name="Normal 28" xfId="764"/>
    <cellStyle name="Normal 28 2" xfId="872"/>
    <cellStyle name="Normal 28 2 2" xfId="1001"/>
    <cellStyle name="Normal 28 2 3" xfId="1129"/>
    <cellStyle name="Normal 28 3" xfId="918"/>
    <cellStyle name="Normal 28 4" xfId="1046"/>
    <cellStyle name="Normal 29" xfId="787"/>
    <cellStyle name="Normal 29 2" xfId="939"/>
    <cellStyle name="Normal 29 3" xfId="1067"/>
    <cellStyle name="Normal 3" xfId="478"/>
    <cellStyle name="Normal 3 10" xfId="815"/>
    <cellStyle name="Normal 3 10 2" xfId="966"/>
    <cellStyle name="Normal 3 10 3" xfId="1094"/>
    <cellStyle name="Normal 3 2" xfId="479"/>
    <cellStyle name="Normal 3 2 2" xfId="480"/>
    <cellStyle name="Normal 3 2 2 2" xfId="481"/>
    <cellStyle name="Normal 3 2 3" xfId="482"/>
    <cellStyle name="Normal 3 2_5 - Cost Support" xfId="483"/>
    <cellStyle name="Normal 3 3" xfId="484"/>
    <cellStyle name="Normal 3 3 2" xfId="485"/>
    <cellStyle name="Normal 3 3 2 2" xfId="486"/>
    <cellStyle name="Normal 3 3 3" xfId="487"/>
    <cellStyle name="Normal 3 4" xfId="488"/>
    <cellStyle name="Normal 3 4 2" xfId="489"/>
    <cellStyle name="Normal 3 5" xfId="490"/>
    <cellStyle name="Normal 3 6" xfId="491"/>
    <cellStyle name="Normal 3 7" xfId="771"/>
    <cellStyle name="Normal 3 7 2" xfId="878"/>
    <cellStyle name="Normal 3 7 2 2" xfId="1007"/>
    <cellStyle name="Normal 3 7 2 3" xfId="1135"/>
    <cellStyle name="Normal 3 7 3" xfId="923"/>
    <cellStyle name="Normal 3 7 4" xfId="1051"/>
    <cellStyle name="Normal 3 8" xfId="775"/>
    <cellStyle name="Normal 3 8 2" xfId="882"/>
    <cellStyle name="Normal 3 8 2 2" xfId="1011"/>
    <cellStyle name="Normal 3 8 2 3" xfId="1139"/>
    <cellStyle name="Normal 3 8 3" xfId="927"/>
    <cellStyle name="Normal 3 8 4" xfId="1055"/>
    <cellStyle name="Normal 3 9" xfId="807"/>
    <cellStyle name="Normal 3 9 2" xfId="959"/>
    <cellStyle name="Normal 3 9 3" xfId="1087"/>
    <cellStyle name="Normal 3_10-15-10-Stmt AU - Period I - Working 1 0" xfId="492"/>
    <cellStyle name="Normal 30" xfId="812"/>
    <cellStyle name="Normal 30 2" xfId="964"/>
    <cellStyle name="Normal 30 3" xfId="1092"/>
    <cellStyle name="Normal 31" xfId="817"/>
    <cellStyle name="Normal 32" xfId="814"/>
    <cellStyle name="Normal 32 2" xfId="965"/>
    <cellStyle name="Normal 32 3" xfId="1093"/>
    <cellStyle name="Normal 33" xfId="866"/>
    <cellStyle name="Normal 33 2" xfId="995"/>
    <cellStyle name="Normal 33 3" xfId="1123"/>
    <cellStyle name="Normal 34" xfId="820"/>
    <cellStyle name="Normal 34 2" xfId="970"/>
    <cellStyle name="Normal 34 3" xfId="1098"/>
    <cellStyle name="Normal 35" xfId="859"/>
    <cellStyle name="Normal 35 2" xfId="991"/>
    <cellStyle name="Normal 35 3" xfId="1119"/>
    <cellStyle name="Normal 36" xfId="829"/>
    <cellStyle name="Normal 36 2" xfId="974"/>
    <cellStyle name="Normal 36 3" xfId="1102"/>
    <cellStyle name="Normal 37" xfId="851"/>
    <cellStyle name="Normal 37 2" xfId="984"/>
    <cellStyle name="Normal 37 3" xfId="1112"/>
    <cellStyle name="Normal 38" xfId="836"/>
    <cellStyle name="Normal 38 2" xfId="979"/>
    <cellStyle name="Normal 38 3" xfId="1107"/>
    <cellStyle name="Normal 39" xfId="897"/>
    <cellStyle name="Normal 39 2" xfId="1026"/>
    <cellStyle name="Normal 39 3" xfId="1154"/>
    <cellStyle name="Normal 4" xfId="493"/>
    <cellStyle name="Normal 4 2" xfId="494"/>
    <cellStyle name="Normal 4 2 2" xfId="495"/>
    <cellStyle name="Normal 4 3" xfId="496"/>
    <cellStyle name="Normal 4 4" xfId="756"/>
    <cellStyle name="Normal 4 4 2" xfId="869"/>
    <cellStyle name="Normal 4 4 2 2" xfId="998"/>
    <cellStyle name="Normal 4 4 2 3" xfId="1126"/>
    <cellStyle name="Normal 4 4 3" xfId="915"/>
    <cellStyle name="Normal 4 4 4" xfId="1043"/>
    <cellStyle name="Normal 4 5" xfId="853"/>
    <cellStyle name="Normal 4 5 2" xfId="986"/>
    <cellStyle name="Normal 4 5 3" xfId="1114"/>
    <cellStyle name="Normal 4 6" xfId="899"/>
    <cellStyle name="Normal 4 7" xfId="1027"/>
    <cellStyle name="Normal 4_3 - Revenue Credits" xfId="497"/>
    <cellStyle name="Normal 40" xfId="833"/>
    <cellStyle name="Normal 40 2" xfId="977"/>
    <cellStyle name="Normal 40 3" xfId="1105"/>
    <cellStyle name="Normal 41" xfId="850"/>
    <cellStyle name="Normal 41 2" xfId="983"/>
    <cellStyle name="Normal 41 3" xfId="1111"/>
    <cellStyle name="Normal 42" xfId="895"/>
    <cellStyle name="Normal 42 2" xfId="1024"/>
    <cellStyle name="Normal 42 3" xfId="1152"/>
    <cellStyle name="Normal 43" xfId="860"/>
    <cellStyle name="Normal 43 2" xfId="992"/>
    <cellStyle name="Normal 43 3" xfId="1120"/>
    <cellStyle name="Normal 44" xfId="801"/>
    <cellStyle name="Normal 44 2" xfId="953"/>
    <cellStyle name="Normal 44 3" xfId="1081"/>
    <cellStyle name="Normal 45" xfId="855"/>
    <cellStyle name="Normal 45 2" xfId="988"/>
    <cellStyle name="Normal 45 3" xfId="1116"/>
    <cellStyle name="Normal 46" xfId="852"/>
    <cellStyle name="Normal 46 2" xfId="985"/>
    <cellStyle name="Normal 46 3" xfId="1113"/>
    <cellStyle name="Normal 47" xfId="842"/>
    <cellStyle name="Normal 47 2" xfId="981"/>
    <cellStyle name="Normal 47 3" xfId="1109"/>
    <cellStyle name="Normal 48" xfId="825"/>
    <cellStyle name="Normal 48 2" xfId="973"/>
    <cellStyle name="Normal 48 3" xfId="1101"/>
    <cellStyle name="Normal 49" xfId="841"/>
    <cellStyle name="Normal 5" xfId="498"/>
    <cellStyle name="Normal 5 2" xfId="499"/>
    <cellStyle name="Normal 5 2 2" xfId="500"/>
    <cellStyle name="Normal 5 2 2 2" xfId="501"/>
    <cellStyle name="Normal 5 2 3" xfId="502"/>
    <cellStyle name="Normal 5 3" xfId="503"/>
    <cellStyle name="Normal 5 3 2" xfId="504"/>
    <cellStyle name="Normal 5 3 2 2" xfId="505"/>
    <cellStyle name="Normal 5 3 3" xfId="506"/>
    <cellStyle name="Normal 5 4" xfId="507"/>
    <cellStyle name="Normal 5 4 2" xfId="508"/>
    <cellStyle name="Normal 5 5" xfId="509"/>
    <cellStyle name="Normal 5 6" xfId="757"/>
    <cellStyle name="Normal 5 6 2" xfId="870"/>
    <cellStyle name="Normal 5 6 2 2" xfId="999"/>
    <cellStyle name="Normal 5 6 2 3" xfId="1127"/>
    <cellStyle name="Normal 5 6 3" xfId="916"/>
    <cellStyle name="Normal 5 6 4" xfId="1044"/>
    <cellStyle name="Normal 5 7" xfId="854"/>
    <cellStyle name="Normal 5 7 2" xfId="987"/>
    <cellStyle name="Normal 5 7 3" xfId="1115"/>
    <cellStyle name="Normal 5 8" xfId="900"/>
    <cellStyle name="Normal 5 9" xfId="1028"/>
    <cellStyle name="Normal 5_10-15-10-Stmt AU - Period I - Working 1 0" xfId="510"/>
    <cellStyle name="Normal 50" xfId="898"/>
    <cellStyle name="Normal 51" xfId="830"/>
    <cellStyle name="Normal 51 2" xfId="975"/>
    <cellStyle name="Normal 51 3" xfId="1103"/>
    <cellStyle name="Normal 6" xfId="511"/>
    <cellStyle name="Normal 6 2" xfId="512"/>
    <cellStyle name="Normal 6 2 2" xfId="513"/>
    <cellStyle name="Normal 6 2 2 2" xfId="514"/>
    <cellStyle name="Normal 6 2 3" xfId="515"/>
    <cellStyle name="Normal 6 3" xfId="516"/>
    <cellStyle name="Normal 6 3 2" xfId="517"/>
    <cellStyle name="Normal 6 3 2 2" xfId="518"/>
    <cellStyle name="Normal 6 3 3" xfId="519"/>
    <cellStyle name="Normal 6 4" xfId="520"/>
    <cellStyle name="Normal 6 4 2" xfId="521"/>
    <cellStyle name="Normal 6 5" xfId="522"/>
    <cellStyle name="Normal 6_10-15-10-Stmt AU - Period I - Working 1 0" xfId="523"/>
    <cellStyle name="Normal 7" xfId="524"/>
    <cellStyle name="Normal 7 2" xfId="525"/>
    <cellStyle name="Normal 7 2 2" xfId="526"/>
    <cellStyle name="Normal 7 2 2 2" xfId="527"/>
    <cellStyle name="Normal 7 2 3" xfId="528"/>
    <cellStyle name="Normal 7 3" xfId="529"/>
    <cellStyle name="Normal 7 3 2" xfId="530"/>
    <cellStyle name="Normal 7 3 2 2" xfId="531"/>
    <cellStyle name="Normal 7 3 3" xfId="532"/>
    <cellStyle name="Normal 7 4" xfId="533"/>
    <cellStyle name="Normal 7 4 2" xfId="534"/>
    <cellStyle name="Normal 7 5" xfId="535"/>
    <cellStyle name="Normal 7 6" xfId="758"/>
    <cellStyle name="Normal 7_10-15-10-Stmt AU - Period I - Working 1 0" xfId="536"/>
    <cellStyle name="Normal 8" xfId="537"/>
    <cellStyle name="Normal 8 2" xfId="538"/>
    <cellStyle name="Normal 8 2 2" xfId="539"/>
    <cellStyle name="Normal 8 2 3" xfId="760"/>
    <cellStyle name="Normal 8 2_3 - Revenue Credits" xfId="540"/>
    <cellStyle name="Normal 8 3" xfId="541"/>
    <cellStyle name="Normal 8 4" xfId="759"/>
    <cellStyle name="Normal 8_10-15-10-Stmt AU - Period I - Working 1 0" xfId="542"/>
    <cellStyle name="Normal 9" xfId="543"/>
    <cellStyle name="Normal 9 2" xfId="544"/>
    <cellStyle name="Normal 9 2 2" xfId="545"/>
    <cellStyle name="Normal 9 2 3" xfId="762"/>
    <cellStyle name="Normal 9 2_3 - Revenue Credits" xfId="546"/>
    <cellStyle name="Normal 9 3" xfId="547"/>
    <cellStyle name="Normal 9 4" xfId="761"/>
    <cellStyle name="Normal 9_10-15-10-Stmt AU - Period I - Working 1 0" xfId="548"/>
    <cellStyle name="Normal_Ferc pg 328-330 Transmission for Others for import_WKSHT1 - Rev Credits" xfId="549"/>
    <cellStyle name="Normal_FN1 Ratebase Draft SPP template (6-11-04) v2" xfId="550"/>
    <cellStyle name="Normal_Sheet4_WKSHT1 - Rev Credits" xfId="551"/>
    <cellStyle name="Normal_TrAILCo attach 6 &amp; 7 and Appendix A" xfId="552"/>
    <cellStyle name="Note 10" xfId="553"/>
    <cellStyle name="Note 10 2" xfId="554"/>
    <cellStyle name="Note 10 2 2" xfId="555"/>
    <cellStyle name="Note 10 2_6 - Est and True up" xfId="556"/>
    <cellStyle name="Note 10 3" xfId="557"/>
    <cellStyle name="Note 10 3 2" xfId="558"/>
    <cellStyle name="Note 10 3_6 - Est and True up" xfId="559"/>
    <cellStyle name="Note 10 4" xfId="560"/>
    <cellStyle name="Note 10_6 - Est and True up" xfId="561"/>
    <cellStyle name="Note 11" xfId="562"/>
    <cellStyle name="Note 11 2" xfId="563"/>
    <cellStyle name="Note 11_6 - Est and True up" xfId="564"/>
    <cellStyle name="Note 12" xfId="565"/>
    <cellStyle name="Note 12 2" xfId="566"/>
    <cellStyle name="Note 12_6 - Est and True up" xfId="567"/>
    <cellStyle name="Note 13" xfId="568"/>
    <cellStyle name="Note 13 2" xfId="569"/>
    <cellStyle name="Note 13_6 - Est and True up" xfId="570"/>
    <cellStyle name="Note 14" xfId="571"/>
    <cellStyle name="Note 14 2" xfId="572"/>
    <cellStyle name="Note 14_6 - Est and True up" xfId="573"/>
    <cellStyle name="Note 15" xfId="574"/>
    <cellStyle name="Note 15 2" xfId="575"/>
    <cellStyle name="Note 15_6 - Est and True up" xfId="576"/>
    <cellStyle name="Note 16" xfId="577"/>
    <cellStyle name="Note 17" xfId="770"/>
    <cellStyle name="Note 17 2" xfId="877"/>
    <cellStyle name="Note 17 2 2" xfId="1006"/>
    <cellStyle name="Note 17 2 3" xfId="1134"/>
    <cellStyle name="Note 17 3" xfId="922"/>
    <cellStyle name="Note 17 4" xfId="1050"/>
    <cellStyle name="Note 18" xfId="763"/>
    <cellStyle name="Note 18 2" xfId="871"/>
    <cellStyle name="Note 18 2 2" xfId="1000"/>
    <cellStyle name="Note 18 2 3" xfId="1128"/>
    <cellStyle name="Note 18 3" xfId="917"/>
    <cellStyle name="Note 18 4" xfId="1045"/>
    <cellStyle name="Note 19" xfId="808"/>
    <cellStyle name="Note 19 2" xfId="960"/>
    <cellStyle name="Note 19 3" xfId="1088"/>
    <cellStyle name="Note 2" xfId="578"/>
    <cellStyle name="Note 2 2" xfId="579"/>
    <cellStyle name="Note 2 3" xfId="769"/>
    <cellStyle name="Note 2 3 2" xfId="876"/>
    <cellStyle name="Note 2 3 2 2" xfId="1005"/>
    <cellStyle name="Note 2 3 2 3" xfId="1133"/>
    <cellStyle name="Note 2 3 3" xfId="921"/>
    <cellStyle name="Note 2 3 4" xfId="1049"/>
    <cellStyle name="Note 2 4" xfId="809"/>
    <cellStyle name="Note 2 4 2" xfId="961"/>
    <cellStyle name="Note 2 4 3" xfId="1089"/>
    <cellStyle name="Note 2_6 - Est and True up" xfId="580"/>
    <cellStyle name="Note 20" xfId="816"/>
    <cellStyle name="Note 20 2" xfId="967"/>
    <cellStyle name="Note 20 3" xfId="1095"/>
    <cellStyle name="Note 21" xfId="800"/>
    <cellStyle name="Note 21 2" xfId="952"/>
    <cellStyle name="Note 21 3" xfId="1080"/>
    <cellStyle name="Note 22" xfId="865"/>
    <cellStyle name="Note 22 2" xfId="994"/>
    <cellStyle name="Note 22 3" xfId="1122"/>
    <cellStyle name="Note 23" xfId="822"/>
    <cellStyle name="Note 23 2" xfId="971"/>
    <cellStyle name="Note 23 3" xfId="1099"/>
    <cellStyle name="Note 24" xfId="858"/>
    <cellStyle name="Note 24 2" xfId="990"/>
    <cellStyle name="Note 24 3" xfId="1118"/>
    <cellStyle name="Note 25" xfId="818"/>
    <cellStyle name="Note 25 2" xfId="968"/>
    <cellStyle name="Note 25 3" xfId="1096"/>
    <cellStyle name="Note 26" xfId="873"/>
    <cellStyle name="Note 26 2" xfId="1002"/>
    <cellStyle name="Note 26 3" xfId="1130"/>
    <cellStyle name="Note 27" xfId="838"/>
    <cellStyle name="Note 27 2" xfId="980"/>
    <cellStyle name="Note 27 3" xfId="1108"/>
    <cellStyle name="Note 28" xfId="856"/>
    <cellStyle name="Note 28 2" xfId="989"/>
    <cellStyle name="Note 28 3" xfId="1117"/>
    <cellStyle name="Note 29" xfId="819"/>
    <cellStyle name="Note 29 2" xfId="969"/>
    <cellStyle name="Note 29 3" xfId="1097"/>
    <cellStyle name="Note 3" xfId="581"/>
    <cellStyle name="Note 3 2" xfId="582"/>
    <cellStyle name="Note 3_6 - Est and True up" xfId="583"/>
    <cellStyle name="Note 30" xfId="848"/>
    <cellStyle name="Note 30 2" xfId="982"/>
    <cellStyle name="Note 30 3" xfId="1110"/>
    <cellStyle name="Note 31" xfId="894"/>
    <cellStyle name="Note 31 2" xfId="1023"/>
    <cellStyle name="Note 31 3" xfId="1151"/>
    <cellStyle name="Note 32" xfId="864"/>
    <cellStyle name="Note 32 2" xfId="993"/>
    <cellStyle name="Note 32 3" xfId="1121"/>
    <cellStyle name="Note 33" xfId="824"/>
    <cellStyle name="Note 33 2" xfId="972"/>
    <cellStyle name="Note 33 3" xfId="1100"/>
    <cellStyle name="Note 34" xfId="834"/>
    <cellStyle name="Note 34 2" xfId="978"/>
    <cellStyle name="Note 34 3" xfId="1106"/>
    <cellStyle name="Note 35" xfId="896"/>
    <cellStyle name="Note 35 2" xfId="1025"/>
    <cellStyle name="Note 35 3" xfId="1153"/>
    <cellStyle name="Note 36" xfId="806"/>
    <cellStyle name="Note 36 2" xfId="958"/>
    <cellStyle name="Note 36 3" xfId="1086"/>
    <cellStyle name="Note 37" xfId="831"/>
    <cellStyle name="Note 37 2" xfId="976"/>
    <cellStyle name="Note 37 3" xfId="1104"/>
    <cellStyle name="Note 38" xfId="835"/>
    <cellStyle name="Note 39" xfId="849"/>
    <cellStyle name="Note 4" xfId="584"/>
    <cellStyle name="Note 4 2" xfId="585"/>
    <cellStyle name="Note 4_6 - Est and True up" xfId="586"/>
    <cellStyle name="Note 40" xfId="827"/>
    <cellStyle name="Note 41" xfId="839"/>
    <cellStyle name="Note 42" xfId="861"/>
    <cellStyle name="Note 43" xfId="863"/>
    <cellStyle name="Note 44" xfId="847"/>
    <cellStyle name="Note 45" xfId="821"/>
    <cellStyle name="Note 46" xfId="832"/>
    <cellStyle name="Note 47" xfId="828"/>
    <cellStyle name="Note 48" xfId="826"/>
    <cellStyle name="Note 49" xfId="837"/>
    <cellStyle name="Note 5" xfId="587"/>
    <cellStyle name="Note 5 2" xfId="588"/>
    <cellStyle name="Note 5 2 2" xfId="589"/>
    <cellStyle name="Note 5 2_6 - Est and True up" xfId="590"/>
    <cellStyle name="Note 5 3" xfId="591"/>
    <cellStyle name="Note 5 3 2" xfId="592"/>
    <cellStyle name="Note 5 3_6 - Est and True up" xfId="593"/>
    <cellStyle name="Note 5 4" xfId="594"/>
    <cellStyle name="Note 5_6 - Est and True up" xfId="595"/>
    <cellStyle name="Note 50" xfId="823"/>
    <cellStyle name="Note 51" xfId="844"/>
    <cellStyle name="Note 6" xfId="596"/>
    <cellStyle name="Note 6 2" xfId="597"/>
    <cellStyle name="Note 6 2 2" xfId="598"/>
    <cellStyle name="Note 6 2_6 - Est and True up" xfId="599"/>
    <cellStyle name="Note 6 3" xfId="600"/>
    <cellStyle name="Note 6 3 2" xfId="601"/>
    <cellStyle name="Note 6 3_6 - Est and True up" xfId="602"/>
    <cellStyle name="Note 6 4" xfId="603"/>
    <cellStyle name="Note 6_6 - Est and True up" xfId="604"/>
    <cellStyle name="Note 7" xfId="605"/>
    <cellStyle name="Note 7 2" xfId="606"/>
    <cellStyle name="Note 7 2 2" xfId="607"/>
    <cellStyle name="Note 7 2_6 - Est and True up" xfId="608"/>
    <cellStyle name="Note 7 3" xfId="609"/>
    <cellStyle name="Note 7 3 2" xfId="610"/>
    <cellStyle name="Note 7 3_6 - Est and True up" xfId="611"/>
    <cellStyle name="Note 7 4" xfId="612"/>
    <cellStyle name="Note 7_6 - Est and True up" xfId="613"/>
    <cellStyle name="Note 8" xfId="614"/>
    <cellStyle name="Note 8 2" xfId="615"/>
    <cellStyle name="Note 8 2 2" xfId="616"/>
    <cellStyle name="Note 8 2_6 - Est and True up" xfId="617"/>
    <cellStyle name="Note 8 3" xfId="618"/>
    <cellStyle name="Note 8 3 2" xfId="619"/>
    <cellStyle name="Note 8 3_6 - Est and True up" xfId="620"/>
    <cellStyle name="Note 8 4" xfId="621"/>
    <cellStyle name="Note 8_6 - Est and True up" xfId="622"/>
    <cellStyle name="Note 9" xfId="623"/>
    <cellStyle name="Note 9 2" xfId="624"/>
    <cellStyle name="Note 9 2 2" xfId="625"/>
    <cellStyle name="Note 9 2_6 - Est and True up" xfId="626"/>
    <cellStyle name="Note 9 3" xfId="627"/>
    <cellStyle name="Note 9 3 2" xfId="628"/>
    <cellStyle name="Note 9 3_6 - Est and True up" xfId="629"/>
    <cellStyle name="Note 9 4" xfId="630"/>
    <cellStyle name="Note 9_6 - Est and True up" xfId="631"/>
    <cellStyle name="Output" xfId="714" builtinId="21" customBuiltin="1"/>
    <cellStyle name="Output 2" xfId="632"/>
    <cellStyle name="Percent" xfId="633" builtinId="5"/>
    <cellStyle name="Percent 10" xfId="813"/>
    <cellStyle name="Percent 2" xfId="634"/>
    <cellStyle name="Percent 2 2" xfId="635"/>
    <cellStyle name="Percent 2 2 2" xfId="636"/>
    <cellStyle name="Percent 3" xfId="637"/>
    <cellStyle name="Percent 3 2" xfId="638"/>
    <cellStyle name="Percent 3 3" xfId="767"/>
    <cellStyle name="Percent 3 3 2" xfId="874"/>
    <cellStyle name="Percent 3 3 2 2" xfId="1003"/>
    <cellStyle name="Percent 3 3 2 3" xfId="1131"/>
    <cellStyle name="Percent 3 3 3" xfId="919"/>
    <cellStyle name="Percent 3 3 4" xfId="1047"/>
    <cellStyle name="Percent 3 4" xfId="811"/>
    <cellStyle name="Percent 3 4 2" xfId="963"/>
    <cellStyle name="Percent 3 4 3" xfId="1091"/>
    <cellStyle name="Percent 4" xfId="639"/>
    <cellStyle name="Percent 4 2" xfId="640"/>
    <cellStyle name="Percent 4 3" xfId="766"/>
    <cellStyle name="Percent 5" xfId="641"/>
    <cellStyle name="Percent 6" xfId="765"/>
    <cellStyle name="Percent 7" xfId="768"/>
    <cellStyle name="Percent 7 2" xfId="875"/>
    <cellStyle name="Percent 7 2 2" xfId="1004"/>
    <cellStyle name="Percent 7 2 3" xfId="1132"/>
    <cellStyle name="Percent 7 3" xfId="920"/>
    <cellStyle name="Percent 7 4" xfId="1048"/>
    <cellStyle name="Percent 8" xfId="810"/>
    <cellStyle name="Percent 8 2" xfId="962"/>
    <cellStyle name="Percent 8 3" xfId="1090"/>
    <cellStyle name="Percent 9" xfId="862"/>
    <cellStyle name="PSChar" xfId="642"/>
    <cellStyle name="PSDate" xfId="643"/>
    <cellStyle name="PSDec" xfId="644"/>
    <cellStyle name="PSHeading" xfId="645"/>
    <cellStyle name="PSInt" xfId="646"/>
    <cellStyle name="PSSpacer" xfId="647"/>
    <cellStyle name="SAPBEXchaText" xfId="648"/>
    <cellStyle name="SAPBEXstdData" xfId="649"/>
    <cellStyle name="SAPBEXstdItem" xfId="650"/>
    <cellStyle name="SAPBEXstdItemX" xfId="651"/>
    <cellStyle name="SAPDataCell" xfId="1156"/>
    <cellStyle name="SAPHierarchyCell0" xfId="1155"/>
    <cellStyle name="SECTION" xfId="652"/>
    <cellStyle name="Style 1" xfId="653"/>
    <cellStyle name="Style 1 10" xfId="654"/>
    <cellStyle name="Style 1 10 2" xfId="655"/>
    <cellStyle name="Style 1 10 2 2" xfId="656"/>
    <cellStyle name="Style 1 10 3" xfId="657"/>
    <cellStyle name="Style 1 11" xfId="658"/>
    <cellStyle name="Style 1 11 2" xfId="659"/>
    <cellStyle name="Style 1 11 2 2" xfId="660"/>
    <cellStyle name="Style 1 11 3" xfId="661"/>
    <cellStyle name="Style 1 12" xfId="662"/>
    <cellStyle name="Style 1 12 2" xfId="663"/>
    <cellStyle name="Style 1 12 2 2" xfId="664"/>
    <cellStyle name="Style 1 12 3" xfId="665"/>
    <cellStyle name="Style 1 13" xfId="666"/>
    <cellStyle name="Style 1 13 2" xfId="667"/>
    <cellStyle name="Style 1 2" xfId="668"/>
    <cellStyle name="Style 1 2 2" xfId="669"/>
    <cellStyle name="Style 1 2 2 2" xfId="670"/>
    <cellStyle name="Style 1 2 3" xfId="671"/>
    <cellStyle name="Style 1 3" xfId="672"/>
    <cellStyle name="Style 1 3 2" xfId="673"/>
    <cellStyle name="Style 1 3 2 2" xfId="674"/>
    <cellStyle name="Style 1 3 3" xfId="675"/>
    <cellStyle name="Style 1 4" xfId="676"/>
    <cellStyle name="Style 1 4 2" xfId="677"/>
    <cellStyle name="Style 1 4 2 2" xfId="678"/>
    <cellStyle name="Style 1 4 3" xfId="679"/>
    <cellStyle name="Style 1 5" xfId="680"/>
    <cellStyle name="Style 1 5 2" xfId="681"/>
    <cellStyle name="Style 1 5 2 2" xfId="682"/>
    <cellStyle name="Style 1 5 3" xfId="683"/>
    <cellStyle name="Style 1 6" xfId="684"/>
    <cellStyle name="Style 1 6 2" xfId="685"/>
    <cellStyle name="Style 1 6 2 2" xfId="686"/>
    <cellStyle name="Style 1 6 3" xfId="687"/>
    <cellStyle name="Style 1 7" xfId="688"/>
    <cellStyle name="Style 1 7 2" xfId="689"/>
    <cellStyle name="Style 1 7 2 2" xfId="690"/>
    <cellStyle name="Style 1 7 3" xfId="691"/>
    <cellStyle name="Style 1 8" xfId="692"/>
    <cellStyle name="Style 1 8 2" xfId="693"/>
    <cellStyle name="Style 1 8 2 2" xfId="694"/>
    <cellStyle name="Style 1 8 3" xfId="695"/>
    <cellStyle name="Style 1 9" xfId="696"/>
    <cellStyle name="Style 1 9 2" xfId="697"/>
    <cellStyle name="Style 1 9 2 2" xfId="698"/>
    <cellStyle name="Style 1 9 3" xfId="699"/>
    <cellStyle name="Style 1_FERC General Taxes" xfId="700"/>
    <cellStyle name="System Defined" xfId="701"/>
    <cellStyle name="Title" xfId="705" builtinId="15" customBuiltin="1"/>
    <cellStyle name="Title 2" xfId="702"/>
    <cellStyle name="Total" xfId="720" builtinId="25" customBuiltin="1"/>
    <cellStyle name="Total 2" xfId="703"/>
    <cellStyle name="Warning Text" xfId="718" builtinId="11" customBuiltin="1"/>
    <cellStyle name="Warning Text 2" xfId="704"/>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163</xdr:row>
      <xdr:rowOff>152400</xdr:rowOff>
    </xdr:from>
    <xdr:to>
      <xdr:col>1</xdr:col>
      <xdr:colOff>165100</xdr:colOff>
      <xdr:row>165</xdr:row>
      <xdr:rowOff>0</xdr:rowOff>
    </xdr:to>
    <xdr:cxnSp macro="">
      <xdr:nvCxnSpPr>
        <xdr:cNvPr id="2" name="Straight Arrow Connector 1"/>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163</xdr:row>
      <xdr:rowOff>152400</xdr:rowOff>
    </xdr:from>
    <xdr:to>
      <xdr:col>1</xdr:col>
      <xdr:colOff>165100</xdr:colOff>
      <xdr:row>165</xdr:row>
      <xdr:rowOff>0</xdr:rowOff>
    </xdr:to>
    <xdr:cxnSp macro="">
      <xdr:nvCxnSpPr>
        <xdr:cNvPr id="3" name="Straight Arrow Connector 2"/>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164</xdr:row>
      <xdr:rowOff>38100</xdr:rowOff>
    </xdr:from>
    <xdr:to>
      <xdr:col>13</xdr:col>
      <xdr:colOff>939800</xdr:colOff>
      <xdr:row>165</xdr:row>
      <xdr:rowOff>76200</xdr:rowOff>
    </xdr:to>
    <xdr:cxnSp macro="">
      <xdr:nvCxnSpPr>
        <xdr:cNvPr id="4" name="Straight Arrow Connector 3"/>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325</xdr:row>
      <xdr:rowOff>50800</xdr:rowOff>
    </xdr:from>
    <xdr:to>
      <xdr:col>13</xdr:col>
      <xdr:colOff>381000</xdr:colOff>
      <xdr:row>328</xdr:row>
      <xdr:rowOff>101600</xdr:rowOff>
    </xdr:to>
    <xdr:cxnSp macro="">
      <xdr:nvCxnSpPr>
        <xdr:cNvPr id="60" name="Straight Arrow Connector 59"/>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ElecRate\Info%20from%20Previous%20Cases\COS\W&amp;S%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3"/>
  <sheetViews>
    <sheetView zoomScaleNormal="100" zoomScaleSheetLayoutView="75" workbookViewId="0">
      <selection activeCell="G28" sqref="G28"/>
    </sheetView>
  </sheetViews>
  <sheetFormatPr defaultRowHeight="12.75"/>
  <cols>
    <col min="2" max="2" width="56.7109375" bestFit="1" customWidth="1"/>
    <col min="4" max="4" width="33.85546875" bestFit="1" customWidth="1"/>
    <col min="5" max="5" width="17.140625" customWidth="1"/>
    <col min="6" max="6" width="11.85546875" bestFit="1" customWidth="1"/>
  </cols>
  <sheetData>
    <row r="2" spans="1:5">
      <c r="A2" s="1965" t="s">
        <v>407</v>
      </c>
      <c r="B2" s="1966"/>
      <c r="C2" s="1966"/>
      <c r="D2" s="1966"/>
      <c r="E2" s="1966"/>
    </row>
    <row r="3" spans="1:5">
      <c r="A3" s="1967" t="s">
        <v>370</v>
      </c>
      <c r="B3" s="1967"/>
      <c r="C3" s="1967"/>
      <c r="D3" s="1967"/>
      <c r="E3" s="1967"/>
    </row>
    <row r="4" spans="1:5">
      <c r="A4" s="1967" t="s">
        <v>371</v>
      </c>
      <c r="B4" s="1967"/>
      <c r="C4" s="1967"/>
      <c r="D4" s="1967"/>
      <c r="E4" s="1967"/>
    </row>
    <row r="5" spans="1:5">
      <c r="A5" s="544"/>
      <c r="B5" s="544"/>
      <c r="C5" s="544"/>
      <c r="D5" s="544"/>
      <c r="E5" s="544"/>
    </row>
    <row r="6" spans="1:5" ht="13.5" thickBot="1">
      <c r="A6" s="545" t="s">
        <v>372</v>
      </c>
      <c r="B6" s="545" t="s">
        <v>844</v>
      </c>
      <c r="C6" s="546"/>
      <c r="D6" s="545" t="s">
        <v>373</v>
      </c>
      <c r="E6" s="545" t="s">
        <v>136</v>
      </c>
    </row>
    <row r="7" spans="1:5">
      <c r="A7" s="547">
        <v>1</v>
      </c>
      <c r="B7" s="548" t="s">
        <v>374</v>
      </c>
      <c r="C7" s="549"/>
      <c r="D7" s="550" t="s">
        <v>375</v>
      </c>
      <c r="E7" s="1437">
        <v>0</v>
      </c>
    </row>
    <row r="8" spans="1:5">
      <c r="A8" s="547">
        <v>2</v>
      </c>
      <c r="B8" s="548" t="s">
        <v>376</v>
      </c>
      <c r="C8" s="549"/>
      <c r="D8" s="552" t="s">
        <v>377</v>
      </c>
      <c r="E8" s="1437">
        <v>48493</v>
      </c>
    </row>
    <row r="9" spans="1:5">
      <c r="A9" s="547">
        <v>3</v>
      </c>
      <c r="B9" s="548" t="s">
        <v>378</v>
      </c>
      <c r="C9" s="549"/>
      <c r="D9" s="552" t="s">
        <v>379</v>
      </c>
      <c r="E9" s="1437">
        <v>3053764</v>
      </c>
    </row>
    <row r="10" spans="1:5">
      <c r="A10" s="547">
        <v>4</v>
      </c>
      <c r="B10" s="548" t="s">
        <v>380</v>
      </c>
      <c r="C10" s="549"/>
      <c r="D10" s="552" t="s">
        <v>381</v>
      </c>
      <c r="E10" s="1437">
        <v>1620800</v>
      </c>
    </row>
    <row r="11" spans="1:5">
      <c r="A11" s="547">
        <v>5</v>
      </c>
      <c r="B11" s="548" t="s">
        <v>382</v>
      </c>
      <c r="C11" s="549"/>
      <c r="D11" s="552" t="s">
        <v>383</v>
      </c>
      <c r="E11" s="1437">
        <v>0</v>
      </c>
    </row>
    <row r="12" spans="1:5">
      <c r="A12" s="547">
        <v>6</v>
      </c>
      <c r="B12" s="548" t="s">
        <v>384</v>
      </c>
      <c r="C12" s="549"/>
      <c r="D12" s="552" t="s">
        <v>385</v>
      </c>
      <c r="E12" s="1438">
        <v>2040745</v>
      </c>
    </row>
    <row r="13" spans="1:5">
      <c r="A13" s="547">
        <v>7</v>
      </c>
      <c r="B13" s="548" t="s">
        <v>386</v>
      </c>
      <c r="C13" s="549"/>
      <c r="D13" s="552" t="s">
        <v>387</v>
      </c>
      <c r="E13" s="551">
        <f>SUM(E7:E12)</f>
        <v>6763802</v>
      </c>
    </row>
    <row r="14" spans="1:5">
      <c r="A14" s="547"/>
      <c r="B14" s="553"/>
      <c r="C14" s="549"/>
      <c r="D14" s="554"/>
      <c r="E14" s="549"/>
    </row>
    <row r="15" spans="1:5">
      <c r="A15" s="547"/>
      <c r="B15" s="553"/>
      <c r="C15" s="549"/>
      <c r="D15" s="554"/>
      <c r="E15" s="549"/>
    </row>
    <row r="16" spans="1:5">
      <c r="A16" s="547">
        <v>8</v>
      </c>
      <c r="B16" s="548" t="s">
        <v>388</v>
      </c>
      <c r="C16" s="549"/>
      <c r="D16" s="552" t="s">
        <v>389</v>
      </c>
      <c r="E16" s="551">
        <f>E13</f>
        <v>6763802</v>
      </c>
    </row>
    <row r="17" spans="1:7">
      <c r="A17" s="547">
        <v>9</v>
      </c>
      <c r="B17" s="158" t="s">
        <v>156</v>
      </c>
      <c r="C17" s="549"/>
      <c r="D17" s="555" t="s">
        <v>390</v>
      </c>
      <c r="E17" s="1554">
        <f>'6 - Est and True up'!J155</f>
        <v>1116665.79788359</v>
      </c>
      <c r="F17" s="445"/>
      <c r="G17" s="1711"/>
    </row>
    <row r="18" spans="1:7">
      <c r="A18" s="547">
        <v>10</v>
      </c>
      <c r="B18" s="158" t="s">
        <v>388</v>
      </c>
      <c r="C18" s="549"/>
      <c r="D18" s="555" t="s">
        <v>391</v>
      </c>
      <c r="E18" s="556">
        <f>+E16+E17</f>
        <v>7880467.7978835898</v>
      </c>
    </row>
    <row r="19" spans="1:7">
      <c r="A19" s="547"/>
      <c r="B19" s="553"/>
      <c r="C19" s="549"/>
      <c r="D19" s="554"/>
      <c r="E19" s="553"/>
    </row>
    <row r="20" spans="1:7">
      <c r="A20" s="547"/>
      <c r="B20" s="557" t="s">
        <v>392</v>
      </c>
      <c r="C20" s="549"/>
      <c r="D20" s="557"/>
      <c r="E20" s="548"/>
    </row>
    <row r="21" spans="1:7">
      <c r="A21" s="547"/>
      <c r="B21" s="553"/>
      <c r="C21" s="549"/>
      <c r="D21" s="554"/>
      <c r="E21" s="548"/>
    </row>
    <row r="22" spans="1:7">
      <c r="A22" s="547">
        <v>11</v>
      </c>
      <c r="B22" s="548" t="s">
        <v>393</v>
      </c>
      <c r="C22" s="549"/>
      <c r="D22" s="552" t="s">
        <v>394</v>
      </c>
      <c r="E22" s="551">
        <f>'ATT H-1 '!H293</f>
        <v>4477421.2729633236</v>
      </c>
    </row>
    <row r="23" spans="1:7">
      <c r="A23" s="547"/>
      <c r="B23" s="548"/>
      <c r="C23" s="549"/>
      <c r="D23" s="554"/>
      <c r="E23" s="548"/>
    </row>
    <row r="24" spans="1:7">
      <c r="A24" s="547"/>
      <c r="B24" s="553"/>
      <c r="C24" s="549"/>
      <c r="D24" s="554"/>
      <c r="E24" s="548"/>
    </row>
    <row r="25" spans="1:7">
      <c r="A25" s="547">
        <v>12</v>
      </c>
      <c r="B25" s="548" t="s">
        <v>395</v>
      </c>
      <c r="C25" s="549"/>
      <c r="D25" s="552" t="s">
        <v>465</v>
      </c>
      <c r="E25" s="558">
        <f>E16/E22</f>
        <v>1.5106467735888218</v>
      </c>
    </row>
    <row r="26" spans="1:7">
      <c r="A26" s="547">
        <v>13</v>
      </c>
      <c r="B26" s="548" t="s">
        <v>396</v>
      </c>
      <c r="C26" s="549"/>
      <c r="D26" s="552" t="s">
        <v>466</v>
      </c>
      <c r="E26" s="558">
        <f>($E$16/$E$22)/12</f>
        <v>0.12588723113240183</v>
      </c>
    </row>
    <row r="27" spans="1:7">
      <c r="A27" s="547">
        <v>14</v>
      </c>
      <c r="B27" s="548" t="s">
        <v>397</v>
      </c>
      <c r="C27" s="549"/>
      <c r="D27" s="552" t="s">
        <v>467</v>
      </c>
      <c r="E27" s="558">
        <f>($E$16/$E$22)/52</f>
        <v>2.9050899492092726E-2</v>
      </c>
    </row>
    <row r="28" spans="1:7">
      <c r="A28" s="547"/>
      <c r="B28" s="548"/>
      <c r="C28" s="549"/>
      <c r="D28" s="552"/>
      <c r="E28" s="558"/>
    </row>
    <row r="29" spans="1:7">
      <c r="A29" s="547">
        <v>13</v>
      </c>
      <c r="B29" s="548" t="s">
        <v>398</v>
      </c>
      <c r="C29" s="549"/>
      <c r="D29" s="552" t="s">
        <v>575</v>
      </c>
      <c r="E29" s="558">
        <f>($E$27/6)</f>
        <v>4.8418165820154546E-3</v>
      </c>
    </row>
    <row r="30" spans="1:7">
      <c r="A30" s="547">
        <v>14</v>
      </c>
      <c r="B30" s="548" t="s">
        <v>399</v>
      </c>
      <c r="C30" s="549"/>
      <c r="D30" s="552" t="s">
        <v>400</v>
      </c>
      <c r="E30" s="558">
        <f>($E$27/7)</f>
        <v>4.1501284988703898E-3</v>
      </c>
    </row>
    <row r="31" spans="1:7">
      <c r="A31" s="547"/>
      <c r="B31" s="548"/>
      <c r="C31" s="549"/>
      <c r="D31" s="552"/>
      <c r="E31" s="558"/>
    </row>
    <row r="32" spans="1:7">
      <c r="A32" s="547">
        <v>15</v>
      </c>
      <c r="B32" s="548" t="s">
        <v>401</v>
      </c>
      <c r="C32" s="549"/>
      <c r="D32" s="552" t="s">
        <v>402</v>
      </c>
      <c r="E32" s="558">
        <f>($E$29/16)*1000</f>
        <v>0.30261353637596589</v>
      </c>
    </row>
    <row r="33" spans="1:7">
      <c r="A33" s="547">
        <v>16</v>
      </c>
      <c r="B33" s="548" t="s">
        <v>403</v>
      </c>
      <c r="C33" s="549"/>
      <c r="D33" s="552" t="s">
        <v>404</v>
      </c>
      <c r="E33" s="558">
        <f>($E$30/24)*1000</f>
        <v>0.17292202078626623</v>
      </c>
    </row>
    <row r="34" spans="1:7">
      <c r="A34" s="549"/>
      <c r="B34" s="549"/>
      <c r="C34" s="549"/>
      <c r="D34" s="559"/>
      <c r="E34" s="553"/>
    </row>
    <row r="35" spans="1:7">
      <c r="A35" s="560"/>
      <c r="B35" s="560"/>
      <c r="C35" s="560"/>
      <c r="D35" s="561"/>
      <c r="E35" s="562"/>
    </row>
    <row r="36" spans="1:7">
      <c r="A36" s="560"/>
      <c r="B36" s="560"/>
      <c r="C36" s="560"/>
      <c r="D36" s="561"/>
      <c r="E36" s="176"/>
    </row>
    <row r="37" spans="1:7">
      <c r="A37" s="563"/>
      <c r="B37" s="563"/>
      <c r="C37" s="563"/>
      <c r="D37" s="564"/>
      <c r="E37" s="183"/>
    </row>
    <row r="38" spans="1:7" ht="15">
      <c r="A38" s="565" t="s">
        <v>405</v>
      </c>
      <c r="B38" s="566"/>
      <c r="C38" s="566"/>
      <c r="D38" s="566"/>
      <c r="E38" s="566"/>
    </row>
    <row r="39" spans="1:7" ht="15">
      <c r="A39" s="567">
        <v>1</v>
      </c>
      <c r="B39" s="1968" t="s">
        <v>459</v>
      </c>
      <c r="C39" s="1968"/>
      <c r="D39" s="1968"/>
      <c r="E39" s="1968"/>
    </row>
    <row r="40" spans="1:7" ht="15">
      <c r="A40" s="567">
        <v>2</v>
      </c>
      <c r="B40" s="1964" t="s">
        <v>406</v>
      </c>
      <c r="C40" s="1964"/>
      <c r="D40" s="1964"/>
      <c r="E40" s="566"/>
    </row>
    <row r="45" spans="1:7">
      <c r="F45" s="799"/>
      <c r="G45" s="799"/>
    </row>
    <row r="46" spans="1:7">
      <c r="E46" s="428"/>
    </row>
    <row r="47" spans="1:7">
      <c r="E47" s="800"/>
    </row>
    <row r="48" spans="1:7">
      <c r="E48" s="428"/>
    </row>
    <row r="49" spans="5:6">
      <c r="E49" s="428"/>
    </row>
    <row r="50" spans="5:6">
      <c r="E50" s="428"/>
    </row>
    <row r="51" spans="5:6">
      <c r="E51" s="485"/>
      <c r="F51" s="799"/>
    </row>
    <row r="52" spans="5:6">
      <c r="E52" s="801"/>
    </row>
    <row r="53" spans="5:6">
      <c r="E53" s="800"/>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0"/>
  <sheetViews>
    <sheetView topLeftCell="A61" zoomScale="75" zoomScaleNormal="75" zoomScaleSheetLayoutView="55" workbookViewId="0">
      <selection activeCell="D69" sqref="D69"/>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8" ht="15">
      <c r="A2" s="1985" t="s">
        <v>447</v>
      </c>
      <c r="B2" s="1985"/>
      <c r="C2" s="1985"/>
      <c r="D2" s="1985"/>
      <c r="E2" s="1985"/>
      <c r="F2" s="1985"/>
      <c r="G2" s="1985"/>
      <c r="H2" s="1985"/>
      <c r="I2" s="1985"/>
      <c r="J2" s="1985"/>
      <c r="K2" s="1985"/>
      <c r="L2" s="1985"/>
      <c r="M2" s="1985"/>
      <c r="N2" s="1985"/>
      <c r="O2" s="1985"/>
      <c r="P2" s="1985"/>
      <c r="Q2" s="1985"/>
      <c r="R2" s="1985"/>
    </row>
    <row r="3" spans="1:28" ht="18">
      <c r="A3" s="1429" t="s">
        <v>881</v>
      </c>
      <c r="B3" s="568"/>
      <c r="C3" s="568"/>
      <c r="D3" s="568"/>
      <c r="E3" s="568"/>
      <c r="F3" s="568"/>
      <c r="G3" s="568"/>
      <c r="H3" s="568"/>
      <c r="I3" s="569"/>
      <c r="J3" s="569"/>
      <c r="K3" s="421"/>
      <c r="L3" s="421"/>
      <c r="M3" s="421"/>
      <c r="N3" s="421"/>
      <c r="O3" s="421"/>
      <c r="P3" s="421"/>
      <c r="Q3" s="421"/>
      <c r="R3" s="421"/>
      <c r="X3" s="97"/>
      <c r="Y3" s="97"/>
      <c r="Z3" s="97"/>
      <c r="AA3" s="97"/>
      <c r="AB3" s="97"/>
    </row>
    <row r="4" spans="1:28">
      <c r="A4" s="421"/>
      <c r="B4" s="421"/>
      <c r="C4" s="421"/>
      <c r="D4" s="421"/>
      <c r="E4" s="1764" t="s">
        <v>1103</v>
      </c>
      <c r="F4" s="1765">
        <v>2022</v>
      </c>
      <c r="G4" s="421"/>
      <c r="H4" s="421"/>
      <c r="I4" s="421"/>
      <c r="J4" s="421"/>
      <c r="K4" s="421"/>
      <c r="L4" s="421"/>
      <c r="M4" s="421"/>
      <c r="N4" s="421"/>
      <c r="O4" s="421"/>
      <c r="P4" s="421"/>
      <c r="Q4" s="421"/>
      <c r="R4" s="421"/>
      <c r="X4" s="97"/>
      <c r="Y4" s="97"/>
      <c r="Z4" s="97"/>
      <c r="AA4" s="97"/>
      <c r="AB4" s="97"/>
    </row>
    <row r="5" spans="1:28" ht="16.5">
      <c r="A5" s="420"/>
      <c r="B5" s="420"/>
      <c r="C5" s="420"/>
      <c r="D5" s="419"/>
      <c r="E5" s="1764" t="s">
        <v>1104</v>
      </c>
      <c r="F5" s="1766">
        <v>2023</v>
      </c>
      <c r="G5" s="419"/>
      <c r="H5" s="419"/>
      <c r="I5" s="419"/>
      <c r="J5" s="570"/>
      <c r="K5" s="419"/>
      <c r="L5" s="419"/>
      <c r="M5" s="419"/>
      <c r="N5" s="419"/>
      <c r="O5" s="419"/>
      <c r="P5" s="419"/>
      <c r="Q5" s="419"/>
      <c r="R5" s="419"/>
      <c r="X5" s="97"/>
      <c r="Y5" s="97"/>
      <c r="Z5" s="97"/>
      <c r="AA5" s="97"/>
      <c r="AB5" s="97"/>
    </row>
    <row r="6" spans="1:28" ht="13.5">
      <c r="A6" s="571" t="s">
        <v>620</v>
      </c>
      <c r="B6" s="571" t="s">
        <v>621</v>
      </c>
      <c r="C6" s="571" t="s">
        <v>622</v>
      </c>
      <c r="D6" s="571" t="s">
        <v>623</v>
      </c>
      <c r="E6" s="1764" t="s">
        <v>1105</v>
      </c>
      <c r="F6" s="1766">
        <v>2024</v>
      </c>
      <c r="G6" s="572"/>
      <c r="H6" s="572"/>
      <c r="I6" s="572"/>
      <c r="J6" s="572"/>
      <c r="K6" s="572"/>
      <c r="L6" s="572"/>
      <c r="M6" s="572"/>
      <c r="N6" s="572"/>
      <c r="O6" s="572"/>
      <c r="P6" s="572"/>
      <c r="Q6" s="572"/>
      <c r="R6" s="572"/>
      <c r="X6" s="596"/>
      <c r="Y6" s="596"/>
      <c r="Z6" s="596"/>
      <c r="AA6" s="596"/>
      <c r="AB6" s="97"/>
    </row>
    <row r="7" spans="1:28" ht="13.5">
      <c r="A7" s="420"/>
      <c r="B7" s="571"/>
      <c r="C7" s="571"/>
      <c r="D7" s="572"/>
      <c r="E7" s="572"/>
      <c r="F7" s="572"/>
      <c r="G7" s="572"/>
      <c r="H7" s="572"/>
      <c r="I7" s="572"/>
      <c r="J7" s="572"/>
      <c r="K7" s="572"/>
      <c r="L7" s="572"/>
      <c r="M7" s="572"/>
      <c r="N7" s="572"/>
      <c r="O7" s="572"/>
      <c r="P7" s="572"/>
      <c r="Q7" s="572"/>
      <c r="R7" s="572"/>
      <c r="X7" s="843"/>
      <c r="Y7" s="843"/>
      <c r="Z7" s="843"/>
      <c r="AA7" s="843"/>
      <c r="AB7" s="97"/>
    </row>
    <row r="8" spans="1:28" ht="13.5">
      <c r="A8" s="573" t="s">
        <v>624</v>
      </c>
      <c r="B8" s="571"/>
      <c r="C8" s="571"/>
      <c r="D8" s="572"/>
      <c r="E8" s="572"/>
      <c r="F8" s="572"/>
      <c r="G8" s="572"/>
      <c r="H8" s="572"/>
      <c r="I8" s="572"/>
      <c r="J8" s="572"/>
      <c r="K8" s="572"/>
      <c r="L8" s="572"/>
      <c r="M8" s="572"/>
      <c r="N8" s="572"/>
      <c r="X8" s="843"/>
      <c r="Y8" s="843"/>
      <c r="Z8" s="843"/>
      <c r="AA8" s="843"/>
      <c r="AB8" s="97"/>
    </row>
    <row r="9" spans="1:28" ht="15.75">
      <c r="A9" s="574">
        <v>1</v>
      </c>
      <c r="B9" s="574" t="s">
        <v>625</v>
      </c>
      <c r="C9" s="574" t="s">
        <v>600</v>
      </c>
      <c r="D9" s="1777" t="s">
        <v>1090</v>
      </c>
      <c r="E9" s="576"/>
      <c r="F9" s="576"/>
      <c r="G9" s="576"/>
      <c r="H9" s="576"/>
      <c r="I9" s="576"/>
      <c r="J9" s="576"/>
      <c r="K9" s="576"/>
      <c r="L9" s="576"/>
      <c r="M9" s="576"/>
      <c r="N9" s="576"/>
      <c r="X9" s="843"/>
      <c r="Y9" s="844"/>
      <c r="Z9" s="844"/>
      <c r="AA9" s="845"/>
      <c r="AB9" s="97"/>
    </row>
    <row r="10" spans="1:28" ht="13.5">
      <c r="A10" s="574">
        <v>2</v>
      </c>
      <c r="B10" s="574" t="s">
        <v>625</v>
      </c>
      <c r="C10" s="574" t="s">
        <v>600</v>
      </c>
      <c r="D10" s="575" t="s">
        <v>1091</v>
      </c>
      <c r="E10" s="576"/>
      <c r="F10" s="576"/>
      <c r="G10" s="576"/>
      <c r="H10" s="576"/>
      <c r="I10" s="576"/>
      <c r="J10" s="576"/>
      <c r="K10" s="576"/>
      <c r="L10" s="576"/>
      <c r="M10" s="576"/>
      <c r="N10" s="576"/>
      <c r="X10" s="843"/>
      <c r="Y10" s="844"/>
      <c r="Z10" s="844"/>
      <c r="AA10" s="845"/>
      <c r="AB10" s="97"/>
    </row>
    <row r="11" spans="1:28" ht="13.5">
      <c r="A11" s="574">
        <v>3</v>
      </c>
      <c r="B11" s="574" t="s">
        <v>625</v>
      </c>
      <c r="C11" s="574" t="s">
        <v>600</v>
      </c>
      <c r="D11" s="575" t="s">
        <v>1092</v>
      </c>
      <c r="E11" s="576"/>
      <c r="F11" s="576"/>
      <c r="G11" s="576"/>
      <c r="H11" s="576"/>
      <c r="I11" s="576"/>
      <c r="J11" s="576"/>
      <c r="K11" s="576"/>
      <c r="L11" s="576"/>
      <c r="M11" s="576"/>
      <c r="N11" s="576"/>
      <c r="X11" s="843"/>
      <c r="Y11" s="844"/>
      <c r="Z11" s="844"/>
      <c r="AA11" s="845"/>
      <c r="AB11" s="97"/>
    </row>
    <row r="12" spans="1:28" ht="13.5">
      <c r="A12" s="574">
        <v>4</v>
      </c>
      <c r="B12" s="574" t="s">
        <v>626</v>
      </c>
      <c r="C12" s="574" t="s">
        <v>600</v>
      </c>
      <c r="D12" s="575" t="s">
        <v>961</v>
      </c>
      <c r="E12" s="576"/>
      <c r="F12" s="576"/>
      <c r="G12" s="576"/>
      <c r="H12" s="576"/>
      <c r="I12" s="576"/>
      <c r="J12" s="576"/>
      <c r="K12" s="576"/>
      <c r="L12" s="576"/>
      <c r="M12" s="576"/>
      <c r="N12" s="576"/>
      <c r="X12" s="596"/>
      <c r="Y12" s="846"/>
      <c r="Z12" s="846"/>
      <c r="AA12" s="845"/>
      <c r="AB12" s="97"/>
    </row>
    <row r="13" spans="1:28" ht="13.5">
      <c r="A13" s="574">
        <v>5</v>
      </c>
      <c r="B13" s="577" t="s">
        <v>627</v>
      </c>
      <c r="C13" s="574" t="s">
        <v>600</v>
      </c>
      <c r="D13" s="575" t="s">
        <v>1093</v>
      </c>
      <c r="E13" s="576"/>
      <c r="F13" s="576"/>
      <c r="G13" s="576"/>
      <c r="H13" s="576"/>
      <c r="I13" s="576"/>
      <c r="J13" s="576"/>
      <c r="K13" s="576"/>
      <c r="L13" s="576"/>
      <c r="M13" s="576"/>
      <c r="N13" s="576"/>
      <c r="X13" s="596"/>
      <c r="Y13" s="846"/>
      <c r="Z13" s="846"/>
      <c r="AA13" s="845"/>
      <c r="AB13" s="97"/>
    </row>
    <row r="14" spans="1:28" ht="13.5">
      <c r="A14" s="571">
        <v>6</v>
      </c>
      <c r="B14" s="571" t="s">
        <v>625</v>
      </c>
      <c r="C14" s="574" t="s">
        <v>601</v>
      </c>
      <c r="D14" s="575" t="s">
        <v>1094</v>
      </c>
      <c r="E14" s="572"/>
      <c r="F14" s="572"/>
      <c r="G14" s="572"/>
      <c r="H14" s="572"/>
      <c r="I14" s="572"/>
      <c r="J14" s="572"/>
      <c r="K14" s="572"/>
      <c r="L14" s="572"/>
      <c r="M14" s="572"/>
      <c r="N14" s="572"/>
      <c r="X14" s="596"/>
      <c r="Y14" s="846"/>
      <c r="Z14" s="846"/>
      <c r="AA14" s="845"/>
      <c r="AB14" s="97"/>
    </row>
    <row r="15" spans="1:28" ht="13.5">
      <c r="A15" s="571">
        <v>7</v>
      </c>
      <c r="B15" s="571" t="s">
        <v>625</v>
      </c>
      <c r="C15" s="574" t="s">
        <v>601</v>
      </c>
      <c r="D15" s="575" t="str">
        <f>+D65</f>
        <v>Reconciliation</v>
      </c>
      <c r="E15" s="579"/>
      <c r="F15" s="579"/>
      <c r="G15" s="579"/>
      <c r="H15" s="579"/>
      <c r="I15" s="579"/>
      <c r="J15" s="579"/>
      <c r="K15" s="572"/>
      <c r="L15" s="572"/>
      <c r="M15" s="572"/>
      <c r="N15" s="572"/>
      <c r="X15" s="596"/>
      <c r="Y15" s="846"/>
      <c r="Z15" s="846"/>
      <c r="AA15" s="845"/>
      <c r="AB15" s="97"/>
    </row>
    <row r="16" spans="1:28" ht="13.5">
      <c r="A16" s="571">
        <v>8</v>
      </c>
      <c r="B16" s="571" t="s">
        <v>625</v>
      </c>
      <c r="C16" s="574" t="s">
        <v>601</v>
      </c>
      <c r="D16" s="575" t="s">
        <v>1108</v>
      </c>
      <c r="E16" s="572"/>
      <c r="F16" s="572"/>
      <c r="G16" s="572"/>
      <c r="H16" s="572"/>
      <c r="I16" s="572"/>
      <c r="J16" s="572"/>
      <c r="K16" s="572"/>
      <c r="L16" s="572"/>
      <c r="M16" s="572"/>
      <c r="N16" s="572"/>
      <c r="X16" s="596"/>
      <c r="Y16" s="846"/>
      <c r="Z16" s="846"/>
      <c r="AA16" s="845"/>
      <c r="AB16" s="97"/>
    </row>
    <row r="17" spans="1:28" ht="13.5">
      <c r="A17" s="571">
        <v>9</v>
      </c>
      <c r="B17" s="571" t="s">
        <v>625</v>
      </c>
      <c r="C17" s="574" t="s">
        <v>601</v>
      </c>
      <c r="D17" s="575" t="s">
        <v>1095</v>
      </c>
      <c r="E17" s="572"/>
      <c r="F17" s="572"/>
      <c r="G17" s="572"/>
      <c r="H17" s="572"/>
      <c r="I17" s="572"/>
      <c r="J17" s="572"/>
      <c r="K17" s="572"/>
      <c r="L17" s="572"/>
      <c r="M17" s="572"/>
      <c r="N17" s="572"/>
      <c r="X17" s="596"/>
      <c r="Y17" s="846"/>
      <c r="Z17" s="846"/>
      <c r="AA17" s="845"/>
      <c r="AB17" s="97"/>
    </row>
    <row r="18" spans="1:28" ht="13.5">
      <c r="A18" s="571">
        <v>10</v>
      </c>
      <c r="B18" s="571" t="s">
        <v>626</v>
      </c>
      <c r="C18" s="574" t="s">
        <v>601</v>
      </c>
      <c r="D18" s="575" t="s">
        <v>460</v>
      </c>
      <c r="E18" s="572"/>
      <c r="F18" s="572"/>
      <c r="G18" s="572"/>
      <c r="H18" s="572"/>
      <c r="I18" s="572"/>
      <c r="J18" s="572"/>
      <c r="K18" s="572"/>
      <c r="L18" s="572"/>
      <c r="M18" s="572"/>
      <c r="N18" s="572"/>
      <c r="X18" s="596"/>
      <c r="Y18" s="846"/>
      <c r="Z18" s="846"/>
      <c r="AA18" s="845"/>
      <c r="AB18" s="97"/>
    </row>
    <row r="19" spans="1:28" ht="13.5">
      <c r="A19" s="571">
        <v>11</v>
      </c>
      <c r="B19" s="580" t="s">
        <v>627</v>
      </c>
      <c r="C19" s="574" t="s">
        <v>601</v>
      </c>
      <c r="D19" s="575" t="s">
        <v>1096</v>
      </c>
      <c r="E19" s="572"/>
      <c r="F19" s="572"/>
      <c r="G19" s="572"/>
      <c r="H19" s="572"/>
      <c r="I19" s="572"/>
      <c r="J19" s="572"/>
      <c r="K19" s="572"/>
      <c r="L19" s="572"/>
      <c r="M19" s="572"/>
      <c r="N19" s="572"/>
      <c r="X19" s="596"/>
      <c r="Y19" s="846"/>
      <c r="Z19" s="846"/>
      <c r="AA19" s="846"/>
      <c r="AB19" s="97"/>
    </row>
    <row r="20" spans="1:28" ht="13.5">
      <c r="A20" s="571"/>
      <c r="B20" s="580"/>
      <c r="C20" s="571"/>
      <c r="D20" s="578"/>
      <c r="E20" s="572"/>
      <c r="F20" s="572"/>
      <c r="G20" s="572"/>
      <c r="H20" s="572"/>
      <c r="I20" s="572"/>
      <c r="J20" s="572"/>
      <c r="K20" s="572"/>
      <c r="L20" s="572"/>
      <c r="M20" s="572"/>
      <c r="N20" s="572"/>
      <c r="X20" s="596"/>
      <c r="Y20" s="596"/>
      <c r="Z20" s="596"/>
      <c r="AA20" s="596"/>
      <c r="AB20" s="97"/>
    </row>
    <row r="21" spans="1:28" ht="13.5">
      <c r="A21" s="581"/>
      <c r="B21" s="574"/>
      <c r="C21" s="571"/>
      <c r="D21" s="582"/>
      <c r="E21" s="572"/>
      <c r="F21" s="572"/>
      <c r="G21" s="572"/>
      <c r="H21" s="572"/>
      <c r="I21" s="572"/>
      <c r="J21" s="572"/>
      <c r="K21" s="572"/>
      <c r="L21" s="572"/>
      <c r="M21" s="572"/>
      <c r="N21" s="572"/>
      <c r="X21" s="596"/>
      <c r="Y21" s="596"/>
      <c r="Z21" s="596"/>
      <c r="AA21" s="596"/>
      <c r="AB21" s="97"/>
    </row>
    <row r="22" spans="1:28" ht="13.5">
      <c r="A22" s="571">
        <v>1</v>
      </c>
      <c r="B22" s="571" t="s">
        <v>625</v>
      </c>
      <c r="C22" s="571" t="s">
        <v>600</v>
      </c>
      <c r="D22" s="572" t="s">
        <v>1097</v>
      </c>
      <c r="E22" s="572"/>
      <c r="F22" s="572"/>
      <c r="G22" s="572"/>
      <c r="H22" s="572"/>
      <c r="I22" s="572"/>
      <c r="J22" s="419"/>
      <c r="K22" s="572"/>
      <c r="L22" s="572"/>
      <c r="M22" s="572"/>
      <c r="N22" s="572"/>
    </row>
    <row r="23" spans="1:28" ht="13.5">
      <c r="A23" s="571"/>
      <c r="B23" s="571"/>
      <c r="C23" s="571"/>
      <c r="D23" s="583"/>
      <c r="E23" s="572" t="s">
        <v>366</v>
      </c>
      <c r="F23" s="572"/>
      <c r="G23" s="1778" t="s">
        <v>1087</v>
      </c>
      <c r="H23" s="1499"/>
      <c r="I23" s="1499"/>
      <c r="J23" s="1499"/>
      <c r="K23" s="572"/>
      <c r="L23" s="572"/>
      <c r="M23" s="572"/>
      <c r="N23" s="572"/>
    </row>
    <row r="24" spans="1:28" ht="13.5">
      <c r="A24" s="571"/>
      <c r="B24" s="571"/>
      <c r="C24" s="571"/>
      <c r="D24" s="585"/>
      <c r="E24" s="572"/>
      <c r="F24" s="572"/>
      <c r="G24" s="572"/>
      <c r="H24" s="572"/>
      <c r="I24" s="572"/>
      <c r="J24" s="572"/>
      <c r="K24" s="572"/>
      <c r="L24" s="572"/>
      <c r="M24" s="572"/>
      <c r="N24" s="572"/>
      <c r="O24" s="572"/>
      <c r="P24" s="572"/>
      <c r="Q24" s="572"/>
      <c r="R24" s="572"/>
    </row>
    <row r="25" spans="1:28" ht="13.5">
      <c r="A25" s="571">
        <v>2</v>
      </c>
      <c r="B25" s="571" t="s">
        <v>625</v>
      </c>
      <c r="C25" s="571" t="s">
        <v>600</v>
      </c>
      <c r="D25" s="578" t="s">
        <v>1091</v>
      </c>
      <c r="E25" s="572"/>
      <c r="F25" s="572"/>
      <c r="G25" s="572"/>
      <c r="H25" s="572"/>
      <c r="I25" s="572"/>
      <c r="J25" s="419"/>
      <c r="K25" s="572"/>
      <c r="L25" s="572"/>
      <c r="M25" s="572"/>
      <c r="N25" s="572"/>
      <c r="O25" s="572"/>
      <c r="P25" s="572"/>
      <c r="Q25" s="572"/>
      <c r="R25" s="572"/>
    </row>
    <row r="26" spans="1:28" ht="13.5">
      <c r="A26" s="571"/>
      <c r="C26" s="571"/>
      <c r="D26" s="578"/>
      <c r="E26" s="572"/>
      <c r="F26" s="572"/>
      <c r="G26" s="572"/>
      <c r="H26" s="572"/>
      <c r="I26" s="572"/>
      <c r="J26" s="419"/>
      <c r="K26" s="572"/>
      <c r="L26" s="572"/>
      <c r="M26" s="572"/>
      <c r="N26" s="572"/>
      <c r="O26" s="572"/>
      <c r="P26" s="572"/>
      <c r="Q26" s="572"/>
      <c r="R26" s="572"/>
    </row>
    <row r="27" spans="1:28" ht="13.5">
      <c r="A27" s="571"/>
      <c r="B27" s="419"/>
      <c r="C27" s="478" t="s">
        <v>263</v>
      </c>
      <c r="D27" s="478" t="s">
        <v>264</v>
      </c>
      <c r="E27" s="478" t="s">
        <v>356</v>
      </c>
      <c r="F27" s="478" t="s">
        <v>265</v>
      </c>
      <c r="G27" s="478" t="s">
        <v>266</v>
      </c>
      <c r="H27" s="478" t="s">
        <v>262</v>
      </c>
      <c r="I27" s="478"/>
      <c r="J27" s="478" t="s">
        <v>569</v>
      </c>
      <c r="K27" s="478" t="s">
        <v>570</v>
      </c>
      <c r="L27" s="478" t="s">
        <v>962</v>
      </c>
      <c r="M27" s="574" t="s">
        <v>963</v>
      </c>
      <c r="N27" s="571" t="s">
        <v>964</v>
      </c>
      <c r="O27" s="571" t="s">
        <v>965</v>
      </c>
      <c r="P27" s="571"/>
      <c r="Q27" s="574"/>
      <c r="R27" s="574"/>
    </row>
    <row r="28" spans="1:28" ht="13.5">
      <c r="A28" s="571"/>
      <c r="B28" s="419"/>
      <c r="C28" s="571" t="s">
        <v>219</v>
      </c>
      <c r="D28" s="571" t="s">
        <v>219</v>
      </c>
      <c r="E28" s="571" t="s">
        <v>219</v>
      </c>
      <c r="F28" s="571" t="s">
        <v>219</v>
      </c>
      <c r="G28" s="571" t="s">
        <v>219</v>
      </c>
      <c r="H28" s="571" t="s">
        <v>219</v>
      </c>
      <c r="I28" s="571"/>
      <c r="J28" s="571" t="s">
        <v>72</v>
      </c>
      <c r="K28" s="571" t="s">
        <v>72</v>
      </c>
      <c r="L28" s="571" t="s">
        <v>72</v>
      </c>
      <c r="M28" s="571" t="s">
        <v>72</v>
      </c>
      <c r="N28" s="571" t="s">
        <v>72</v>
      </c>
      <c r="O28" s="571" t="s">
        <v>72</v>
      </c>
      <c r="P28" s="571"/>
      <c r="Q28" s="574"/>
      <c r="R28" s="2"/>
    </row>
    <row r="29" spans="1:28" ht="13.5">
      <c r="A29" s="571"/>
      <c r="B29" s="572"/>
      <c r="C29" s="571" t="s">
        <v>68</v>
      </c>
      <c r="D29" s="571" t="s">
        <v>68</v>
      </c>
      <c r="E29" s="571" t="s">
        <v>68</v>
      </c>
      <c r="F29" s="571" t="s">
        <v>68</v>
      </c>
      <c r="G29" s="622"/>
      <c r="H29" s="622"/>
      <c r="I29" s="571"/>
      <c r="J29" s="571" t="s">
        <v>73</v>
      </c>
      <c r="K29" s="571" t="s">
        <v>74</v>
      </c>
      <c r="L29" s="571" t="s">
        <v>75</v>
      </c>
      <c r="M29" s="571" t="s">
        <v>76</v>
      </c>
      <c r="N29" s="571" t="s">
        <v>77</v>
      </c>
      <c r="O29" s="571" t="s">
        <v>78</v>
      </c>
      <c r="P29" s="571"/>
      <c r="Q29" s="576"/>
      <c r="R29" s="2"/>
    </row>
    <row r="30" spans="1:28" ht="13.5">
      <c r="A30" s="571"/>
      <c r="B30" s="572"/>
      <c r="C30" s="571"/>
      <c r="D30" s="571"/>
      <c r="E30" s="571"/>
      <c r="F30" s="571"/>
      <c r="G30" s="571" t="s">
        <v>69</v>
      </c>
      <c r="H30" s="571" t="s">
        <v>70</v>
      </c>
      <c r="I30" s="571"/>
      <c r="J30" s="571"/>
      <c r="K30" s="571"/>
      <c r="L30" s="571"/>
      <c r="M30" s="571"/>
      <c r="N30" s="571"/>
      <c r="O30" s="571"/>
      <c r="Q30" s="576"/>
      <c r="R30" s="2"/>
    </row>
    <row r="31" spans="1:28" ht="13.5">
      <c r="A31" s="571"/>
      <c r="B31" s="572"/>
      <c r="C31" s="571"/>
      <c r="D31" s="586"/>
      <c r="E31" s="586"/>
      <c r="F31" s="586"/>
      <c r="G31" s="571"/>
      <c r="H31" s="571"/>
      <c r="I31" s="621"/>
      <c r="J31" s="571"/>
      <c r="K31" s="571"/>
      <c r="L31" s="587"/>
      <c r="M31" s="571"/>
      <c r="N31" s="571"/>
      <c r="O31" s="582"/>
      <c r="Q31" s="576"/>
      <c r="R31" s="2"/>
    </row>
    <row r="32" spans="1:28" ht="13.5">
      <c r="A32" s="571"/>
      <c r="B32" s="572" t="s">
        <v>628</v>
      </c>
      <c r="C32" s="847"/>
      <c r="D32" s="588"/>
      <c r="E32" s="588"/>
      <c r="F32" s="588"/>
      <c r="G32" s="588"/>
      <c r="H32" s="588"/>
      <c r="I32" s="621"/>
      <c r="J32" s="587">
        <f t="shared" ref="J32:O32" si="0">C32</f>
        <v>0</v>
      </c>
      <c r="K32" s="587">
        <f t="shared" si="0"/>
        <v>0</v>
      </c>
      <c r="L32" s="587">
        <f t="shared" si="0"/>
        <v>0</v>
      </c>
      <c r="M32" s="587">
        <f t="shared" si="0"/>
        <v>0</v>
      </c>
      <c r="N32" s="587">
        <f t="shared" si="0"/>
        <v>0</v>
      </c>
      <c r="O32" s="587">
        <f t="shared" si="0"/>
        <v>0</v>
      </c>
      <c r="P32" s="587"/>
      <c r="Q32" s="576"/>
      <c r="R32" s="2"/>
    </row>
    <row r="33" spans="1:18" ht="13.5">
      <c r="A33" s="571"/>
      <c r="B33" s="572" t="s">
        <v>629</v>
      </c>
      <c r="C33" s="847"/>
      <c r="D33" s="588"/>
      <c r="E33" s="588"/>
      <c r="F33" s="588"/>
      <c r="G33" s="588"/>
      <c r="H33" s="588"/>
      <c r="I33" s="621"/>
      <c r="J33" s="587">
        <f>J32+C33</f>
        <v>0</v>
      </c>
      <c r="K33" s="587">
        <f t="shared" ref="K33:O43" si="1">K32+D33</f>
        <v>0</v>
      </c>
      <c r="L33" s="587">
        <f t="shared" si="1"/>
        <v>0</v>
      </c>
      <c r="M33" s="587">
        <f t="shared" si="1"/>
        <v>0</v>
      </c>
      <c r="N33" s="587">
        <f t="shared" si="1"/>
        <v>0</v>
      </c>
      <c r="O33" s="587">
        <f t="shared" si="1"/>
        <v>0</v>
      </c>
      <c r="P33" s="587"/>
      <c r="Q33" s="576"/>
      <c r="R33" s="2"/>
    </row>
    <row r="34" spans="1:18" ht="13.5">
      <c r="A34" s="571"/>
      <c r="B34" s="572" t="s">
        <v>630</v>
      </c>
      <c r="C34" s="847"/>
      <c r="D34" s="588"/>
      <c r="E34" s="588"/>
      <c r="F34" s="588"/>
      <c r="G34" s="588"/>
      <c r="H34" s="588"/>
      <c r="I34" s="621"/>
      <c r="J34" s="587">
        <f t="shared" ref="J34:J43" si="2">J33+C34</f>
        <v>0</v>
      </c>
      <c r="K34" s="587">
        <f t="shared" si="1"/>
        <v>0</v>
      </c>
      <c r="L34" s="587">
        <f t="shared" si="1"/>
        <v>0</v>
      </c>
      <c r="M34" s="587">
        <f t="shared" si="1"/>
        <v>0</v>
      </c>
      <c r="N34" s="587">
        <f t="shared" si="1"/>
        <v>0</v>
      </c>
      <c r="O34" s="587">
        <f t="shared" si="1"/>
        <v>0</v>
      </c>
      <c r="P34" s="587"/>
      <c r="Q34" s="576"/>
      <c r="R34" s="2"/>
    </row>
    <row r="35" spans="1:18" ht="13.5">
      <c r="A35" s="571"/>
      <c r="B35" s="572" t="s">
        <v>631</v>
      </c>
      <c r="C35" s="847"/>
      <c r="D35" s="588"/>
      <c r="E35" s="588"/>
      <c r="F35" s="588"/>
      <c r="G35" s="588"/>
      <c r="H35" s="588"/>
      <c r="I35" s="621"/>
      <c r="J35" s="587">
        <f t="shared" si="2"/>
        <v>0</v>
      </c>
      <c r="K35" s="587">
        <f t="shared" si="1"/>
        <v>0</v>
      </c>
      <c r="L35" s="587">
        <f t="shared" si="1"/>
        <v>0</v>
      </c>
      <c r="M35" s="587">
        <f t="shared" si="1"/>
        <v>0</v>
      </c>
      <c r="N35" s="587">
        <f t="shared" si="1"/>
        <v>0</v>
      </c>
      <c r="O35" s="587">
        <f t="shared" si="1"/>
        <v>0</v>
      </c>
      <c r="P35" s="587"/>
      <c r="Q35" s="576"/>
      <c r="R35" s="2"/>
    </row>
    <row r="36" spans="1:18" ht="13.5">
      <c r="A36" s="571"/>
      <c r="B36" s="572" t="s">
        <v>626</v>
      </c>
      <c r="C36" s="847"/>
      <c r="D36" s="588"/>
      <c r="E36" s="588"/>
      <c r="F36" s="588"/>
      <c r="G36" s="588"/>
      <c r="H36" s="588"/>
      <c r="I36" s="621"/>
      <c r="J36" s="587">
        <f t="shared" si="2"/>
        <v>0</v>
      </c>
      <c r="K36" s="587">
        <f t="shared" si="1"/>
        <v>0</v>
      </c>
      <c r="L36" s="587">
        <f t="shared" si="1"/>
        <v>0</v>
      </c>
      <c r="M36" s="587">
        <f t="shared" si="1"/>
        <v>0</v>
      </c>
      <c r="N36" s="587">
        <f t="shared" si="1"/>
        <v>0</v>
      </c>
      <c r="O36" s="587">
        <f t="shared" si="1"/>
        <v>0</v>
      </c>
      <c r="P36" s="587"/>
      <c r="Q36" s="576"/>
      <c r="R36" s="2"/>
    </row>
    <row r="37" spans="1:18" ht="13.5">
      <c r="A37" s="571"/>
      <c r="B37" s="572" t="s">
        <v>632</v>
      </c>
      <c r="C37" s="847"/>
      <c r="D37" s="588"/>
      <c r="E37" s="588"/>
      <c r="F37" s="588"/>
      <c r="G37" s="588"/>
      <c r="H37" s="588"/>
      <c r="I37" s="621"/>
      <c r="J37" s="587">
        <f t="shared" si="2"/>
        <v>0</v>
      </c>
      <c r="K37" s="587">
        <f t="shared" si="1"/>
        <v>0</v>
      </c>
      <c r="L37" s="587">
        <f t="shared" si="1"/>
        <v>0</v>
      </c>
      <c r="M37" s="587">
        <f t="shared" si="1"/>
        <v>0</v>
      </c>
      <c r="N37" s="587">
        <f t="shared" si="1"/>
        <v>0</v>
      </c>
      <c r="O37" s="587">
        <f t="shared" si="1"/>
        <v>0</v>
      </c>
      <c r="P37" s="587"/>
      <c r="Q37" s="576"/>
      <c r="R37" s="2"/>
    </row>
    <row r="38" spans="1:18" ht="13.5">
      <c r="A38" s="571"/>
      <c r="B38" s="572" t="s">
        <v>633</v>
      </c>
      <c r="C38" s="847"/>
      <c r="D38" s="588"/>
      <c r="E38" s="588"/>
      <c r="F38" s="588"/>
      <c r="G38" s="588"/>
      <c r="H38" s="588"/>
      <c r="I38" s="621"/>
      <c r="J38" s="587">
        <f t="shared" si="2"/>
        <v>0</v>
      </c>
      <c r="K38" s="587">
        <f t="shared" si="1"/>
        <v>0</v>
      </c>
      <c r="L38" s="587">
        <f t="shared" si="1"/>
        <v>0</v>
      </c>
      <c r="M38" s="587">
        <f t="shared" si="1"/>
        <v>0</v>
      </c>
      <c r="N38" s="587">
        <f t="shared" si="1"/>
        <v>0</v>
      </c>
      <c r="O38" s="587">
        <f t="shared" si="1"/>
        <v>0</v>
      </c>
      <c r="P38" s="587"/>
      <c r="Q38" s="576"/>
      <c r="R38" s="2"/>
    </row>
    <row r="39" spans="1:18" ht="13.5">
      <c r="A39" s="571"/>
      <c r="B39" s="572" t="s">
        <v>634</v>
      </c>
      <c r="C39" s="847"/>
      <c r="D39" s="588"/>
      <c r="E39" s="588"/>
      <c r="F39" s="588"/>
      <c r="G39" s="588"/>
      <c r="H39" s="588"/>
      <c r="I39" s="621"/>
      <c r="J39" s="587">
        <f t="shared" si="2"/>
        <v>0</v>
      </c>
      <c r="K39" s="587">
        <f t="shared" si="1"/>
        <v>0</v>
      </c>
      <c r="L39" s="587">
        <f t="shared" si="1"/>
        <v>0</v>
      </c>
      <c r="M39" s="587">
        <f t="shared" si="1"/>
        <v>0</v>
      </c>
      <c r="N39" s="587">
        <f t="shared" si="1"/>
        <v>0</v>
      </c>
      <c r="O39" s="587">
        <f t="shared" si="1"/>
        <v>0</v>
      </c>
      <c r="P39" s="587"/>
      <c r="Q39" s="576"/>
      <c r="R39" s="2"/>
    </row>
    <row r="40" spans="1:18" ht="13.5">
      <c r="A40" s="571"/>
      <c r="B40" s="572" t="s">
        <v>635</v>
      </c>
      <c r="C40" s="847"/>
      <c r="D40" s="588"/>
      <c r="E40" s="588"/>
      <c r="F40" s="588"/>
      <c r="G40" s="588"/>
      <c r="H40" s="588"/>
      <c r="I40" s="621"/>
      <c r="J40" s="587">
        <f t="shared" si="2"/>
        <v>0</v>
      </c>
      <c r="K40" s="587">
        <f t="shared" si="1"/>
        <v>0</v>
      </c>
      <c r="L40" s="587">
        <f t="shared" si="1"/>
        <v>0</v>
      </c>
      <c r="M40" s="587">
        <f t="shared" si="1"/>
        <v>0</v>
      </c>
      <c r="N40" s="587">
        <f t="shared" si="1"/>
        <v>0</v>
      </c>
      <c r="O40" s="587">
        <f t="shared" si="1"/>
        <v>0</v>
      </c>
      <c r="P40" s="587"/>
      <c r="Q40" s="576"/>
      <c r="R40" s="2"/>
    </row>
    <row r="41" spans="1:18" ht="13.5">
      <c r="A41" s="571"/>
      <c r="B41" s="572" t="s">
        <v>636</v>
      </c>
      <c r="C41" s="847"/>
      <c r="D41" s="588"/>
      <c r="E41" s="588"/>
      <c r="F41" s="588"/>
      <c r="G41" s="588"/>
      <c r="H41" s="588"/>
      <c r="I41" s="621"/>
      <c r="J41" s="587">
        <f t="shared" si="2"/>
        <v>0</v>
      </c>
      <c r="K41" s="587">
        <f t="shared" si="1"/>
        <v>0</v>
      </c>
      <c r="L41" s="587">
        <f t="shared" si="1"/>
        <v>0</v>
      </c>
      <c r="M41" s="587">
        <f t="shared" si="1"/>
        <v>0</v>
      </c>
      <c r="N41" s="587">
        <f t="shared" si="1"/>
        <v>0</v>
      </c>
      <c r="O41" s="587">
        <f t="shared" si="1"/>
        <v>0</v>
      </c>
      <c r="P41" s="587"/>
      <c r="Q41" s="576"/>
      <c r="R41" s="2"/>
    </row>
    <row r="42" spans="1:18" ht="13.5">
      <c r="A42" s="571"/>
      <c r="B42" s="572" t="s">
        <v>637</v>
      </c>
      <c r="C42" s="847"/>
      <c r="D42" s="588"/>
      <c r="E42" s="588"/>
      <c r="F42" s="588"/>
      <c r="G42" s="588"/>
      <c r="H42" s="588"/>
      <c r="I42" s="621"/>
      <c r="J42" s="587">
        <f t="shared" si="2"/>
        <v>0</v>
      </c>
      <c r="K42" s="587">
        <f t="shared" si="1"/>
        <v>0</v>
      </c>
      <c r="L42" s="587">
        <f t="shared" si="1"/>
        <v>0</v>
      </c>
      <c r="M42" s="587">
        <f t="shared" si="1"/>
        <v>0</v>
      </c>
      <c r="N42" s="587">
        <f t="shared" si="1"/>
        <v>0</v>
      </c>
      <c r="O42" s="587">
        <f t="shared" si="1"/>
        <v>0</v>
      </c>
      <c r="P42" s="587"/>
      <c r="Q42" s="576"/>
      <c r="R42" s="2"/>
    </row>
    <row r="43" spans="1:18" ht="13.5">
      <c r="A43" s="571"/>
      <c r="B43" s="572" t="s">
        <v>638</v>
      </c>
      <c r="C43" s="847"/>
      <c r="D43" s="588"/>
      <c r="E43" s="588"/>
      <c r="F43" s="588"/>
      <c r="G43" s="588"/>
      <c r="H43" s="588"/>
      <c r="I43" s="621"/>
      <c r="J43" s="587">
        <f t="shared" si="2"/>
        <v>0</v>
      </c>
      <c r="K43" s="587">
        <f t="shared" si="1"/>
        <v>0</v>
      </c>
      <c r="L43" s="587">
        <f t="shared" si="1"/>
        <v>0</v>
      </c>
      <c r="M43" s="587">
        <f t="shared" si="1"/>
        <v>0</v>
      </c>
      <c r="N43" s="587">
        <f t="shared" si="1"/>
        <v>0</v>
      </c>
      <c r="O43" s="587">
        <f t="shared" si="1"/>
        <v>0</v>
      </c>
      <c r="P43" s="587"/>
      <c r="Q43" s="576"/>
      <c r="R43" s="2"/>
    </row>
    <row r="44" spans="1:18" ht="13.5">
      <c r="A44" s="571"/>
      <c r="B44" s="572" t="s">
        <v>850</v>
      </c>
      <c r="C44" s="587">
        <f t="shared" ref="C44:H44" si="3">SUM(C32:C43)</f>
        <v>0</v>
      </c>
      <c r="D44" s="587">
        <f t="shared" si="3"/>
        <v>0</v>
      </c>
      <c r="E44" s="587">
        <f t="shared" si="3"/>
        <v>0</v>
      </c>
      <c r="F44" s="587">
        <f t="shared" si="3"/>
        <v>0</v>
      </c>
      <c r="G44" s="587">
        <f t="shared" si="3"/>
        <v>0</v>
      </c>
      <c r="H44" s="587">
        <f t="shared" si="3"/>
        <v>0</v>
      </c>
      <c r="I44" s="587" t="s">
        <v>79</v>
      </c>
      <c r="J44" s="587">
        <f t="shared" ref="J44:O44" si="4">AVERAGE(J32:J43)</f>
        <v>0</v>
      </c>
      <c r="K44" s="587">
        <f t="shared" si="4"/>
        <v>0</v>
      </c>
      <c r="L44" s="587">
        <f t="shared" si="4"/>
        <v>0</v>
      </c>
      <c r="M44" s="587">
        <f t="shared" si="4"/>
        <v>0</v>
      </c>
      <c r="N44" s="587">
        <f t="shared" si="4"/>
        <v>0</v>
      </c>
      <c r="O44" s="587">
        <f t="shared" si="4"/>
        <v>0</v>
      </c>
      <c r="P44" s="587"/>
      <c r="Q44" s="608"/>
      <c r="R44" s="2"/>
    </row>
    <row r="45" spans="1:18" ht="13.5">
      <c r="A45" s="571"/>
      <c r="C45" s="572"/>
      <c r="D45" s="419"/>
      <c r="E45" s="419"/>
      <c r="F45" s="419"/>
      <c r="G45" s="419"/>
      <c r="H45" s="419"/>
      <c r="I45" s="419"/>
      <c r="J45" s="419"/>
      <c r="K45" s="419"/>
      <c r="L45" s="589"/>
      <c r="M45" s="572"/>
      <c r="N45" s="572"/>
      <c r="O45" s="572"/>
      <c r="Q45" s="576"/>
      <c r="R45" s="2"/>
    </row>
    <row r="46" spans="1:18" ht="13.5">
      <c r="A46" s="571"/>
      <c r="B46" s="572" t="s">
        <v>81</v>
      </c>
      <c r="C46" s="572"/>
      <c r="D46" s="419"/>
      <c r="E46" s="419"/>
      <c r="F46" s="419"/>
      <c r="G46" s="419"/>
      <c r="H46" s="419"/>
      <c r="I46" s="419"/>
      <c r="J46" s="572"/>
      <c r="K46" s="623" t="s">
        <v>80</v>
      </c>
      <c r="L46" s="419"/>
      <c r="M46" s="587">
        <f>SUM(J44:O44)</f>
        <v>0</v>
      </c>
      <c r="N46" s="587"/>
      <c r="O46" s="587"/>
      <c r="Q46" s="608"/>
      <c r="R46" s="2"/>
    </row>
    <row r="47" spans="1:18" ht="13.5">
      <c r="A47" s="571"/>
      <c r="B47" s="572"/>
      <c r="C47" s="572"/>
      <c r="D47" s="419"/>
      <c r="E47" s="419"/>
      <c r="F47" s="419"/>
      <c r="G47" s="419"/>
      <c r="H47" s="419"/>
      <c r="I47" s="419"/>
      <c r="J47" s="572"/>
      <c r="K47" s="572"/>
      <c r="L47" s="419"/>
      <c r="M47" s="587"/>
      <c r="N47" s="572"/>
      <c r="O47" s="587"/>
      <c r="Q47" s="608"/>
      <c r="R47" s="2"/>
    </row>
    <row r="48" spans="1:18" ht="13.5">
      <c r="A48" s="571"/>
      <c r="B48" s="571"/>
      <c r="C48" s="571"/>
      <c r="D48" s="572"/>
      <c r="E48" s="572"/>
      <c r="F48" s="419"/>
      <c r="G48" s="419"/>
      <c r="H48" s="419"/>
      <c r="I48" s="419"/>
      <c r="J48" s="572"/>
      <c r="L48" s="419"/>
      <c r="M48" s="590"/>
      <c r="N48" s="590"/>
      <c r="O48" s="591"/>
      <c r="Q48" s="576"/>
      <c r="R48" s="2"/>
    </row>
    <row r="49" spans="1:18" ht="13.5">
      <c r="A49" s="571">
        <v>3</v>
      </c>
      <c r="B49" s="571" t="s">
        <v>625</v>
      </c>
      <c r="C49" s="571" t="s">
        <v>600</v>
      </c>
      <c r="D49" s="578" t="s">
        <v>1092</v>
      </c>
      <c r="E49" s="572"/>
      <c r="F49" s="572"/>
      <c r="G49" s="572"/>
      <c r="H49" s="572"/>
      <c r="I49" s="572"/>
      <c r="J49" s="572"/>
      <c r="K49" s="572"/>
      <c r="L49" s="587"/>
      <c r="M49" s="572"/>
      <c r="N49" s="572"/>
      <c r="O49" s="572"/>
      <c r="P49" s="572"/>
      <c r="Q49" s="572"/>
      <c r="R49" s="572"/>
    </row>
    <row r="50" spans="1:18" ht="13.5">
      <c r="A50" s="571"/>
      <c r="B50" s="571"/>
      <c r="C50" s="571"/>
      <c r="D50" s="592"/>
      <c r="E50" s="585"/>
      <c r="F50" s="587"/>
      <c r="G50" s="1768" t="s">
        <v>1086</v>
      </c>
      <c r="H50" s="1498"/>
      <c r="I50" s="572"/>
      <c r="J50" s="572"/>
      <c r="K50" s="572"/>
      <c r="L50" s="587"/>
      <c r="M50" s="572"/>
      <c r="N50" s="572"/>
      <c r="O50" s="572"/>
      <c r="P50" s="572"/>
      <c r="Q50" s="572"/>
      <c r="R50" s="572"/>
    </row>
    <row r="51" spans="1:18" ht="13.5">
      <c r="A51" s="571"/>
      <c r="B51" s="571"/>
      <c r="C51" s="571"/>
      <c r="D51" s="593"/>
      <c r="E51" s="571"/>
      <c r="F51" s="587"/>
      <c r="G51" s="1769"/>
      <c r="H51" s="1498"/>
      <c r="I51" s="572"/>
      <c r="J51" s="572"/>
      <c r="K51" s="572"/>
      <c r="L51" s="572"/>
      <c r="M51" s="572"/>
      <c r="N51" s="572"/>
      <c r="O51" s="572"/>
      <c r="P51" s="572"/>
      <c r="Q51" s="572"/>
      <c r="R51" s="572"/>
    </row>
    <row r="52" spans="1:18" ht="13.5">
      <c r="A52" s="571">
        <v>4</v>
      </c>
      <c r="B52" s="571" t="s">
        <v>626</v>
      </c>
      <c r="C52" s="571" t="s">
        <v>600</v>
      </c>
      <c r="D52" s="572" t="s">
        <v>961</v>
      </c>
      <c r="E52" s="572"/>
      <c r="F52" s="572"/>
      <c r="G52" s="1770"/>
      <c r="H52" s="1499"/>
      <c r="I52" s="572"/>
      <c r="J52" s="572"/>
      <c r="K52" s="572"/>
      <c r="L52" s="572"/>
      <c r="M52" s="572"/>
      <c r="N52" s="572"/>
      <c r="O52" s="572"/>
      <c r="P52" s="572"/>
      <c r="Q52" s="572"/>
      <c r="R52" s="572"/>
    </row>
    <row r="53" spans="1:18" ht="13.5">
      <c r="A53" s="571"/>
      <c r="B53" s="571"/>
      <c r="C53" s="571"/>
      <c r="D53" s="583">
        <f>D50</f>
        <v>0</v>
      </c>
      <c r="E53" s="419"/>
      <c r="F53" s="593"/>
      <c r="G53" s="1768" t="s">
        <v>1086</v>
      </c>
      <c r="H53" s="1499"/>
      <c r="I53" s="572"/>
      <c r="J53" s="572"/>
      <c r="K53" s="572"/>
      <c r="L53" s="572"/>
      <c r="M53" s="572"/>
      <c r="N53" s="572"/>
      <c r="O53" s="572"/>
      <c r="P53" s="572"/>
      <c r="Q53" s="572"/>
      <c r="R53" s="572"/>
    </row>
    <row r="54" spans="1:18" ht="13.5">
      <c r="A54" s="571"/>
      <c r="B54" s="571"/>
      <c r="C54" s="571"/>
      <c r="D54" s="594"/>
      <c r="E54" s="572"/>
      <c r="F54" s="572"/>
      <c r="G54" s="1770"/>
      <c r="H54" s="1499"/>
      <c r="I54" s="572"/>
      <c r="J54" s="572"/>
      <c r="K54" s="572"/>
      <c r="L54" s="572"/>
      <c r="M54" s="572"/>
      <c r="N54" s="572"/>
      <c r="O54" s="572"/>
      <c r="P54" s="572"/>
      <c r="Q54" s="572"/>
      <c r="R54" s="572"/>
    </row>
    <row r="55" spans="1:18" ht="13.5">
      <c r="A55" s="571">
        <v>5</v>
      </c>
      <c r="B55" s="571" t="s">
        <v>627</v>
      </c>
      <c r="C55" s="571" t="s">
        <v>600</v>
      </c>
      <c r="D55" s="575" t="s">
        <v>1093</v>
      </c>
      <c r="E55" s="572"/>
      <c r="F55" s="572"/>
      <c r="G55" s="1770"/>
      <c r="H55" s="572"/>
      <c r="I55" s="572"/>
      <c r="J55" s="572"/>
      <c r="K55" s="572"/>
      <c r="L55" s="572"/>
      <c r="M55" s="572"/>
      <c r="N55" s="572"/>
      <c r="O55" s="572"/>
      <c r="P55" s="572"/>
      <c r="Q55" s="572"/>
      <c r="R55" s="572"/>
    </row>
    <row r="56" spans="1:18" ht="13.5">
      <c r="A56" s="571"/>
      <c r="B56" s="571"/>
      <c r="C56" s="571"/>
      <c r="D56" s="592">
        <f>D53</f>
        <v>0</v>
      </c>
      <c r="E56" s="572"/>
      <c r="F56" s="572"/>
      <c r="G56" s="1770"/>
      <c r="H56" s="572"/>
      <c r="I56" s="572"/>
      <c r="J56" s="572"/>
      <c r="K56" s="572"/>
      <c r="L56" s="572"/>
      <c r="M56" s="572"/>
      <c r="N56" s="572"/>
      <c r="O56" s="572"/>
      <c r="P56" s="572"/>
      <c r="Q56" s="572"/>
      <c r="R56" s="572"/>
    </row>
    <row r="57" spans="1:18" ht="13.5">
      <c r="A57" s="595"/>
      <c r="B57" s="595"/>
      <c r="C57" s="595"/>
      <c r="D57" s="596"/>
      <c r="E57" s="596"/>
      <c r="F57" s="596"/>
      <c r="G57" s="1771"/>
      <c r="H57" s="596"/>
      <c r="I57" s="596"/>
      <c r="J57" s="596"/>
      <c r="K57" s="596"/>
      <c r="L57" s="572"/>
      <c r="M57" s="572"/>
      <c r="N57" s="572"/>
      <c r="O57" s="572"/>
      <c r="P57" s="572"/>
      <c r="Q57" s="572"/>
      <c r="R57" s="572"/>
    </row>
    <row r="58" spans="1:18" ht="15.75">
      <c r="A58" s="595"/>
      <c r="B58" s="595"/>
      <c r="C58" s="595"/>
      <c r="D58" s="596"/>
      <c r="E58" s="596"/>
      <c r="F58" s="596"/>
      <c r="G58" s="1771"/>
      <c r="H58" s="596"/>
      <c r="I58" s="596"/>
      <c r="J58" s="597"/>
      <c r="K58" s="596"/>
      <c r="L58" s="572"/>
      <c r="M58" s="572"/>
      <c r="N58" s="572"/>
      <c r="O58" s="572"/>
      <c r="P58" s="572"/>
      <c r="Q58" s="572"/>
      <c r="R58" s="572"/>
    </row>
    <row r="59" spans="1:18" ht="15.75">
      <c r="A59" s="595"/>
      <c r="B59" s="595"/>
      <c r="C59" s="595"/>
      <c r="D59" s="596"/>
      <c r="E59" s="596"/>
      <c r="F59" s="596"/>
      <c r="G59" s="1771"/>
      <c r="H59" s="596"/>
      <c r="I59" s="596"/>
      <c r="J59" s="597"/>
      <c r="K59" s="596"/>
      <c r="L59" s="572"/>
      <c r="M59" s="572"/>
      <c r="N59" s="572"/>
      <c r="O59" s="572"/>
      <c r="P59" s="572"/>
      <c r="Q59" s="572"/>
      <c r="R59" s="572"/>
    </row>
    <row r="60" spans="1:18" ht="13.5">
      <c r="A60" s="571">
        <v>6</v>
      </c>
      <c r="B60" s="571" t="s">
        <v>625</v>
      </c>
      <c r="C60" s="571" t="s">
        <v>601</v>
      </c>
      <c r="D60" s="578" t="s">
        <v>1094</v>
      </c>
      <c r="E60" s="572"/>
      <c r="F60" s="572"/>
      <c r="G60" s="1770"/>
      <c r="H60" s="572"/>
      <c r="I60" s="572"/>
      <c r="J60" s="572"/>
      <c r="K60" s="572"/>
      <c r="L60" s="572"/>
      <c r="M60" s="572"/>
      <c r="N60" s="572"/>
      <c r="O60" s="572"/>
      <c r="P60" s="572"/>
      <c r="Q60" s="572"/>
      <c r="R60" s="572"/>
    </row>
    <row r="61" spans="1:18" ht="13.5">
      <c r="A61" s="571"/>
      <c r="B61" s="571"/>
      <c r="C61" s="571"/>
      <c r="D61" s="598"/>
      <c r="E61" s="572" t="s">
        <v>656</v>
      </c>
      <c r="F61" s="572"/>
      <c r="G61" s="1768" t="s">
        <v>1086</v>
      </c>
      <c r="H61" s="572"/>
      <c r="I61" s="572"/>
      <c r="J61" s="419"/>
      <c r="K61" s="572"/>
      <c r="L61" s="572"/>
      <c r="M61" s="572"/>
      <c r="N61" s="572"/>
      <c r="O61" s="572"/>
      <c r="P61" s="572"/>
      <c r="Q61" s="572"/>
      <c r="R61" s="572"/>
    </row>
    <row r="62" spans="1:18" ht="13.5">
      <c r="A62" s="571"/>
      <c r="B62" s="571"/>
      <c r="C62" s="571"/>
      <c r="D62" s="599"/>
      <c r="E62" s="572"/>
      <c r="F62" s="572"/>
      <c r="G62" s="1772"/>
      <c r="H62" s="572"/>
      <c r="I62" s="572"/>
      <c r="J62" s="572"/>
      <c r="K62" s="572"/>
      <c r="L62" s="572"/>
      <c r="M62" s="572"/>
      <c r="N62" s="572"/>
      <c r="O62" s="572"/>
      <c r="P62" s="572"/>
      <c r="Q62" s="572"/>
      <c r="R62" s="572"/>
    </row>
    <row r="63" spans="1:18" ht="13.5">
      <c r="A63" s="571"/>
      <c r="B63" s="571"/>
      <c r="C63" s="571"/>
      <c r="D63" s="600"/>
      <c r="E63" s="572"/>
      <c r="F63" s="572"/>
      <c r="G63" s="1770"/>
      <c r="H63" s="572"/>
      <c r="I63" s="572"/>
      <c r="J63" s="572"/>
      <c r="K63" s="572"/>
      <c r="L63" s="572"/>
      <c r="M63" s="572"/>
      <c r="N63" s="572"/>
      <c r="O63" s="572"/>
      <c r="P63" s="572"/>
      <c r="Q63" s="572"/>
      <c r="R63" s="572"/>
    </row>
    <row r="64" spans="1:18" ht="13.5">
      <c r="A64" s="571"/>
      <c r="B64" s="571"/>
      <c r="C64" s="571"/>
      <c r="D64" s="572"/>
      <c r="E64" s="572"/>
      <c r="F64" s="572"/>
      <c r="G64" s="1770"/>
      <c r="H64" s="587"/>
      <c r="I64" s="572"/>
      <c r="J64" s="572"/>
      <c r="K64" s="572"/>
      <c r="L64" s="572"/>
      <c r="M64" s="572"/>
      <c r="N64" s="572"/>
      <c r="O64" s="572"/>
      <c r="P64" s="572"/>
      <c r="Q64" s="572"/>
      <c r="R64" s="572"/>
    </row>
    <row r="65" spans="1:18" ht="13.5">
      <c r="A65" s="571">
        <v>7</v>
      </c>
      <c r="B65" s="571" t="s">
        <v>625</v>
      </c>
      <c r="C65" s="571" t="s">
        <v>601</v>
      </c>
      <c r="D65" s="578" t="str">
        <f>+'6 - Est and True up'!D65</f>
        <v>Reconciliation</v>
      </c>
      <c r="E65" s="579"/>
      <c r="F65" s="579"/>
      <c r="G65" s="1773"/>
      <c r="H65" s="579"/>
      <c r="I65" s="579"/>
      <c r="J65" s="579"/>
      <c r="K65" s="572"/>
      <c r="L65" s="572"/>
      <c r="M65" s="572"/>
      <c r="N65" s="572"/>
      <c r="O65" s="572"/>
      <c r="P65" s="572"/>
      <c r="Q65" s="572"/>
      <c r="R65" s="572"/>
    </row>
    <row r="66" spans="1:18" ht="13.5">
      <c r="A66" s="571"/>
      <c r="B66" s="571"/>
      <c r="C66" s="571"/>
      <c r="D66" s="601"/>
      <c r="E66" s="602"/>
      <c r="F66" s="602"/>
      <c r="G66" s="1774"/>
      <c r="H66" s="579"/>
      <c r="I66" s="579"/>
      <c r="J66" s="579"/>
      <c r="K66" s="572"/>
      <c r="L66" s="572"/>
      <c r="M66" s="572"/>
      <c r="N66" s="572"/>
      <c r="O66" s="572"/>
      <c r="P66" s="572"/>
      <c r="Q66" s="572"/>
      <c r="R66" s="572"/>
    </row>
    <row r="67" spans="1:18" ht="13.5">
      <c r="A67" s="571"/>
      <c r="B67" s="572"/>
      <c r="C67" s="572"/>
      <c r="D67" s="419"/>
      <c r="E67" s="419"/>
      <c r="F67" s="419"/>
      <c r="G67" s="1775"/>
      <c r="H67" s="419"/>
      <c r="I67" s="419"/>
      <c r="J67" s="572"/>
      <c r="K67" s="572"/>
      <c r="L67" s="587"/>
      <c r="M67" s="572"/>
      <c r="N67" s="419"/>
      <c r="O67" s="572"/>
      <c r="P67" s="572"/>
      <c r="Q67" s="576"/>
      <c r="R67" s="617"/>
    </row>
    <row r="68" spans="1:18" ht="13.5">
      <c r="A68" s="571"/>
      <c r="B68" s="571"/>
      <c r="C68" s="571"/>
      <c r="D68" s="598">
        <v>7382114</v>
      </c>
      <c r="E68" s="604" t="s">
        <v>979</v>
      </c>
      <c r="F68" s="572"/>
      <c r="G68" s="1768" t="s">
        <v>1086</v>
      </c>
      <c r="H68" s="572"/>
      <c r="I68" s="572"/>
      <c r="J68" s="572"/>
      <c r="K68" s="572"/>
      <c r="L68" s="587"/>
      <c r="M68" s="572"/>
      <c r="N68" s="419"/>
      <c r="O68" s="606"/>
      <c r="P68" s="607"/>
      <c r="Q68" s="607"/>
      <c r="R68" s="607"/>
    </row>
    <row r="69" spans="1:18" ht="13.5">
      <c r="A69" s="420"/>
      <c r="B69" s="571"/>
      <c r="C69" s="571"/>
      <c r="D69" s="419"/>
      <c r="E69" s="572" t="s">
        <v>999</v>
      </c>
      <c r="F69" s="572"/>
      <c r="G69" s="576"/>
      <c r="H69" s="608"/>
      <c r="I69" s="576"/>
      <c r="J69" s="572"/>
      <c r="K69" s="572"/>
      <c r="L69" s="572"/>
      <c r="M69" s="572"/>
      <c r="N69" s="572"/>
      <c r="O69" s="572"/>
      <c r="P69" s="572"/>
      <c r="Q69" s="572"/>
      <c r="R69" s="572"/>
    </row>
    <row r="70" spans="1:18" ht="13.5">
      <c r="A70" s="571"/>
      <c r="B70" s="571"/>
      <c r="C70" s="571"/>
      <c r="D70" s="604"/>
      <c r="E70" s="572"/>
      <c r="F70" s="572"/>
      <c r="G70" s="576"/>
      <c r="H70" s="608"/>
      <c r="I70" s="576"/>
      <c r="J70" s="572"/>
      <c r="K70" s="572"/>
      <c r="L70" s="572"/>
      <c r="M70" s="572"/>
      <c r="N70" s="572"/>
      <c r="O70" s="572"/>
      <c r="P70" s="572"/>
      <c r="Q70" s="572"/>
      <c r="R70" s="572"/>
    </row>
    <row r="71" spans="1:18" ht="13.5">
      <c r="A71" s="420"/>
      <c r="B71" s="571"/>
      <c r="C71" s="571"/>
      <c r="D71" s="609">
        <v>0</v>
      </c>
      <c r="E71" s="572" t="s">
        <v>421</v>
      </c>
      <c r="F71" s="572"/>
      <c r="G71" s="576"/>
      <c r="H71" s="608"/>
      <c r="I71" s="576"/>
      <c r="J71" s="572"/>
      <c r="K71" s="572"/>
      <c r="L71" s="572"/>
      <c r="M71" s="572"/>
      <c r="N71" s="572"/>
      <c r="O71" s="572"/>
      <c r="P71" s="572"/>
      <c r="Q71" s="572"/>
      <c r="R71" s="572"/>
    </row>
    <row r="72" spans="1:18" ht="13.5">
      <c r="A72" s="420"/>
      <c r="B72" s="571"/>
      <c r="C72" s="571"/>
      <c r="D72" s="419"/>
      <c r="E72" s="572"/>
      <c r="F72" s="572"/>
      <c r="G72" s="576"/>
      <c r="H72" s="608"/>
      <c r="I72" s="576"/>
      <c r="J72" s="572"/>
      <c r="K72" s="572"/>
      <c r="L72" s="572"/>
      <c r="M72" s="572"/>
      <c r="N72" s="572"/>
      <c r="O72" s="572"/>
      <c r="P72" s="572"/>
      <c r="Q72" s="572"/>
      <c r="R72" s="572"/>
    </row>
    <row r="73" spans="1:18" ht="13.5">
      <c r="A73" s="571"/>
      <c r="B73" s="571"/>
      <c r="C73" s="571"/>
      <c r="D73" s="604"/>
      <c r="E73" s="572"/>
      <c r="F73" s="572"/>
      <c r="G73" s="576"/>
      <c r="H73" s="608"/>
      <c r="I73" s="576"/>
      <c r="J73" s="572"/>
      <c r="K73" s="572"/>
      <c r="L73" s="572"/>
      <c r="M73" s="572"/>
      <c r="N73" s="572"/>
      <c r="O73" s="572"/>
      <c r="P73" s="572"/>
      <c r="Q73" s="572"/>
      <c r="R73" s="572"/>
    </row>
    <row r="74" spans="1:18" ht="13.5">
      <c r="A74" s="571">
        <v>8</v>
      </c>
      <c r="B74" s="571" t="s">
        <v>625</v>
      </c>
      <c r="C74" s="571" t="s">
        <v>601</v>
      </c>
      <c r="D74" s="578" t="str">
        <f>+'6A-Colstrip'!D74</f>
        <v>True-Up Adjustment</v>
      </c>
      <c r="E74" s="572"/>
      <c r="F74" s="572"/>
      <c r="G74" s="572"/>
      <c r="H74" s="572"/>
      <c r="I74" s="572"/>
      <c r="J74" s="572"/>
      <c r="K74" s="572"/>
      <c r="L74" s="572"/>
      <c r="M74" s="572"/>
      <c r="N74" s="572"/>
      <c r="O74" s="572"/>
      <c r="P74" s="572"/>
      <c r="Q74" s="572"/>
      <c r="R74" s="572"/>
    </row>
    <row r="75" spans="1:18" ht="13.5">
      <c r="A75" s="571"/>
      <c r="B75" s="571"/>
      <c r="C75" s="571"/>
      <c r="D75" s="578"/>
      <c r="E75" s="572"/>
      <c r="F75" s="572"/>
      <c r="G75" s="572"/>
      <c r="H75" s="572"/>
      <c r="I75" s="572"/>
      <c r="J75" s="572"/>
      <c r="K75" s="572"/>
      <c r="L75" s="572"/>
      <c r="M75" s="572"/>
      <c r="N75" s="572"/>
      <c r="O75" s="572"/>
      <c r="P75" s="572"/>
      <c r="Q75" s="572"/>
      <c r="R75" s="572"/>
    </row>
    <row r="76" spans="1:18" ht="13.5">
      <c r="A76" s="574"/>
      <c r="B76" s="574"/>
      <c r="C76" s="571"/>
      <c r="D76" s="418" t="s">
        <v>943</v>
      </c>
      <c r="E76" s="419"/>
      <c r="F76" s="419"/>
      <c r="G76" s="419"/>
      <c r="H76" s="419"/>
      <c r="I76" s="419"/>
      <c r="J76" s="419"/>
      <c r="K76" s="419"/>
      <c r="L76" s="572"/>
      <c r="M76" s="572"/>
      <c r="N76" s="572"/>
      <c r="O76" s="572"/>
      <c r="P76" s="572"/>
      <c r="Q76" s="572"/>
      <c r="R76" s="572"/>
    </row>
    <row r="77" spans="1:18" ht="13.5">
      <c r="A77" s="574"/>
      <c r="B77" s="574"/>
      <c r="C77" s="571"/>
      <c r="D77" s="419"/>
      <c r="E77" s="572" t="s">
        <v>1000</v>
      </c>
      <c r="F77" s="572"/>
      <c r="G77" s="572"/>
      <c r="H77" s="572"/>
      <c r="I77" s="572"/>
      <c r="J77" s="572"/>
      <c r="K77" s="419"/>
      <c r="L77" s="572"/>
      <c r="M77" s="572"/>
      <c r="N77" s="572"/>
      <c r="O77" s="572"/>
      <c r="P77" s="572"/>
      <c r="Q77" s="572"/>
      <c r="R77" s="572"/>
    </row>
    <row r="78" spans="1:18" ht="27">
      <c r="A78" s="574"/>
      <c r="B78" s="574"/>
      <c r="C78" s="571"/>
      <c r="D78" s="419"/>
      <c r="E78" s="826" t="s">
        <v>621</v>
      </c>
      <c r="F78" s="826" t="s">
        <v>1001</v>
      </c>
      <c r="G78" s="826" t="s">
        <v>1002</v>
      </c>
      <c r="H78" s="826" t="s">
        <v>1003</v>
      </c>
      <c r="I78" s="826" t="s">
        <v>1004</v>
      </c>
      <c r="J78" s="826" t="s">
        <v>1005</v>
      </c>
      <c r="K78" s="603"/>
      <c r="L78" s="572"/>
      <c r="M78" s="1755" t="s">
        <v>1098</v>
      </c>
      <c r="N78" s="624"/>
      <c r="O78" s="572"/>
      <c r="P78" s="572"/>
      <c r="Q78" s="572"/>
      <c r="R78" s="572"/>
    </row>
    <row r="79" spans="1:18" ht="13.5">
      <c r="A79" s="574"/>
      <c r="B79" s="574"/>
      <c r="C79" s="571"/>
      <c r="D79" s="419"/>
      <c r="E79" s="572" t="s">
        <v>628</v>
      </c>
      <c r="F79" s="841">
        <v>0.7624886406949325</v>
      </c>
      <c r="G79" s="610">
        <f>'WKSHT4 - Monthly Tx System Peak'!C34</f>
        <v>700</v>
      </c>
      <c r="H79" s="625">
        <f t="shared" ref="H79:H90" si="5">+F79*G79*1000</f>
        <v>533742.04848645278</v>
      </c>
      <c r="I79" s="1346">
        <f>-120452.598667183/12</f>
        <v>-10037.716555598583</v>
      </c>
      <c r="J79" s="625">
        <f t="shared" ref="J79:J90" si="6">+H79-I79</f>
        <v>543779.76504205132</v>
      </c>
      <c r="K79" s="419"/>
      <c r="L79" s="572"/>
      <c r="M79" s="1346"/>
      <c r="N79" s="2018"/>
      <c r="O79" s="572"/>
      <c r="P79" s="572"/>
      <c r="Q79" s="572"/>
      <c r="R79" s="572"/>
    </row>
    <row r="80" spans="1:18" ht="13.5">
      <c r="A80" s="574"/>
      <c r="B80" s="574"/>
      <c r="C80" s="571"/>
      <c r="D80" s="419"/>
      <c r="E80" s="572" t="s">
        <v>629</v>
      </c>
      <c r="F80" s="841">
        <v>0.7624886406949325</v>
      </c>
      <c r="G80" s="610">
        <f>'WKSHT4 - Monthly Tx System Peak'!C35</f>
        <v>700</v>
      </c>
      <c r="H80" s="625">
        <f t="shared" si="5"/>
        <v>533742.04848645278</v>
      </c>
      <c r="I80" s="1346">
        <f t="shared" ref="I80:I83" si="7">-120452.598667183/12</f>
        <v>-10037.716555598583</v>
      </c>
      <c r="J80" s="625">
        <f t="shared" si="6"/>
        <v>543779.76504205132</v>
      </c>
      <c r="K80" s="419"/>
      <c r="L80" s="572"/>
      <c r="M80" s="1779"/>
      <c r="N80" s="2018"/>
      <c r="O80" s="572"/>
      <c r="P80" s="572"/>
      <c r="Q80" s="572"/>
      <c r="R80" s="572"/>
    </row>
    <row r="81" spans="1:18" ht="13.5">
      <c r="A81" s="574"/>
      <c r="B81" s="574"/>
      <c r="C81" s="571"/>
      <c r="D81" s="419"/>
      <c r="E81" s="572" t="s">
        <v>630</v>
      </c>
      <c r="F81" s="841">
        <v>0.7624886406949325</v>
      </c>
      <c r="G81" s="610">
        <f>'WKSHT4 - Monthly Tx System Peak'!C36</f>
        <v>700</v>
      </c>
      <c r="H81" s="625">
        <f t="shared" si="5"/>
        <v>533742.04848645278</v>
      </c>
      <c r="I81" s="1346">
        <f t="shared" si="7"/>
        <v>-10037.716555598583</v>
      </c>
      <c r="J81" s="625">
        <f t="shared" si="6"/>
        <v>543779.76504205132</v>
      </c>
      <c r="K81" s="419"/>
      <c r="L81" s="572"/>
      <c r="M81" s="610"/>
      <c r="N81" s="610"/>
      <c r="O81" s="572"/>
      <c r="P81" s="572"/>
      <c r="Q81" s="572"/>
      <c r="R81" s="572"/>
    </row>
    <row r="82" spans="1:18" ht="13.5">
      <c r="A82" s="574"/>
      <c r="B82" s="574"/>
      <c r="C82" s="571"/>
      <c r="D82" s="419"/>
      <c r="E82" s="572" t="s">
        <v>631</v>
      </c>
      <c r="F82" s="841">
        <v>0.7624886406949325</v>
      </c>
      <c r="G82" s="610">
        <f>'WKSHT4 - Monthly Tx System Peak'!C38</f>
        <v>700</v>
      </c>
      <c r="H82" s="625">
        <f t="shared" si="5"/>
        <v>533742.04848645278</v>
      </c>
      <c r="I82" s="1346">
        <f t="shared" si="7"/>
        <v>-10037.716555598583</v>
      </c>
      <c r="J82" s="625">
        <f t="shared" si="6"/>
        <v>543779.76504205132</v>
      </c>
      <c r="K82" s="419"/>
      <c r="L82" s="572"/>
      <c r="M82" s="610"/>
      <c r="N82" s="610"/>
      <c r="O82" s="572"/>
      <c r="P82" s="572"/>
      <c r="Q82" s="572"/>
      <c r="R82" s="572"/>
    </row>
    <row r="83" spans="1:18" ht="13.5">
      <c r="A83" s="574"/>
      <c r="B83" s="574"/>
      <c r="C83" s="571"/>
      <c r="D83" s="419"/>
      <c r="E83" s="572" t="s">
        <v>626</v>
      </c>
      <c r="F83" s="841">
        <v>0.7624886406949325</v>
      </c>
      <c r="G83" s="610">
        <f>'WKSHT4 - Monthly Tx System Peak'!C39</f>
        <v>700</v>
      </c>
      <c r="H83" s="625">
        <f t="shared" si="5"/>
        <v>533742.04848645278</v>
      </c>
      <c r="I83" s="1346">
        <f t="shared" si="7"/>
        <v>-10037.716555598583</v>
      </c>
      <c r="J83" s="625">
        <f t="shared" si="6"/>
        <v>543779.76504205132</v>
      </c>
      <c r="K83" s="419"/>
      <c r="L83" s="572"/>
      <c r="M83" s="610"/>
      <c r="N83" s="610"/>
      <c r="O83" s="572"/>
      <c r="P83" s="572"/>
      <c r="Q83" s="572"/>
      <c r="R83" s="572"/>
    </row>
    <row r="84" spans="1:18" ht="15.75">
      <c r="A84" s="574"/>
      <c r="B84" s="574"/>
      <c r="C84" s="571"/>
      <c r="D84" s="419"/>
      <c r="E84" s="572" t="s">
        <v>632</v>
      </c>
      <c r="F84" s="841">
        <v>0.72620013877217626</v>
      </c>
      <c r="G84" s="610">
        <f>'WKSHT4 - Monthly Tx System Peak'!C40</f>
        <v>700</v>
      </c>
      <c r="H84" s="625">
        <f t="shared" si="5"/>
        <v>508340.09714052337</v>
      </c>
      <c r="I84" s="1346">
        <v>-18950.285603925633</v>
      </c>
      <c r="J84" s="625">
        <f t="shared" si="6"/>
        <v>527290.38274444896</v>
      </c>
      <c r="K84" s="419"/>
      <c r="L84" s="572"/>
      <c r="M84" s="1756">
        <f>SUM(M79:M83)</f>
        <v>0</v>
      </c>
      <c r="N84" s="576" t="s">
        <v>1099</v>
      </c>
      <c r="O84" s="572"/>
      <c r="P84" s="572"/>
      <c r="Q84" s="572"/>
      <c r="R84" s="572"/>
    </row>
    <row r="85" spans="1:18" ht="13.5">
      <c r="A85" s="574"/>
      <c r="B85" s="574"/>
      <c r="C85" s="571"/>
      <c r="D85" s="419"/>
      <c r="E85" s="572" t="s">
        <v>633</v>
      </c>
      <c r="F85" s="841">
        <v>0.72620013877217626</v>
      </c>
      <c r="G85" s="610">
        <f>'WKSHT4 - Monthly Tx System Peak'!C42</f>
        <v>700</v>
      </c>
      <c r="H85" s="625">
        <f t="shared" si="5"/>
        <v>508340.09714052337</v>
      </c>
      <c r="I85" s="1346">
        <v>-18950.285603925633</v>
      </c>
      <c r="J85" s="625">
        <f t="shared" si="6"/>
        <v>527290.38274444896</v>
      </c>
      <c r="K85" s="419"/>
      <c r="L85" s="572"/>
      <c r="M85" s="572"/>
      <c r="N85" s="572"/>
      <c r="O85" s="572"/>
      <c r="P85" s="572"/>
      <c r="Q85" s="572"/>
      <c r="R85" s="572"/>
    </row>
    <row r="86" spans="1:18" ht="13.5">
      <c r="A86" s="574"/>
      <c r="B86" s="574"/>
      <c r="C86" s="571"/>
      <c r="D86" s="419"/>
      <c r="E86" s="572" t="s">
        <v>634</v>
      </c>
      <c r="F86" s="841">
        <v>0.72620013877217626</v>
      </c>
      <c r="G86" s="610">
        <f>'WKSHT4 - Monthly Tx System Peak'!C43</f>
        <v>700</v>
      </c>
      <c r="H86" s="625">
        <f t="shared" si="5"/>
        <v>508340.09714052337</v>
      </c>
      <c r="I86" s="1346">
        <v>-18950.285603925633</v>
      </c>
      <c r="J86" s="625">
        <f t="shared" si="6"/>
        <v>527290.38274444896</v>
      </c>
      <c r="K86" s="419"/>
      <c r="L86" s="572"/>
      <c r="M86" s="572"/>
      <c r="N86" s="572"/>
      <c r="O86" s="572"/>
      <c r="P86" s="572"/>
      <c r="Q86" s="572"/>
      <c r="R86" s="572"/>
    </row>
    <row r="87" spans="1:18" ht="13.5">
      <c r="A87" s="574"/>
      <c r="B87" s="574"/>
      <c r="C87" s="571"/>
      <c r="D87" s="419"/>
      <c r="E87" s="572" t="s">
        <v>635</v>
      </c>
      <c r="F87" s="841">
        <v>0.72620013877217626</v>
      </c>
      <c r="G87" s="610">
        <f>'WKSHT4 - Monthly Tx System Peak'!C44</f>
        <v>700</v>
      </c>
      <c r="H87" s="625">
        <f t="shared" si="5"/>
        <v>508340.09714052337</v>
      </c>
      <c r="I87" s="1346">
        <v>-18950.285603925633</v>
      </c>
      <c r="J87" s="625">
        <f t="shared" si="6"/>
        <v>527290.38274444896</v>
      </c>
      <c r="K87" s="419"/>
      <c r="L87" s="572"/>
      <c r="M87" s="572"/>
      <c r="N87" s="572"/>
      <c r="O87" s="572"/>
      <c r="P87" s="572"/>
      <c r="Q87" s="572"/>
      <c r="R87" s="572"/>
    </row>
    <row r="88" spans="1:18" ht="13.5">
      <c r="A88" s="574"/>
      <c r="B88" s="574"/>
      <c r="C88" s="571"/>
      <c r="D88" s="419"/>
      <c r="E88" s="572" t="s">
        <v>636</v>
      </c>
      <c r="F88" s="841">
        <v>0.72620013877217626</v>
      </c>
      <c r="G88" s="610">
        <f>'WKSHT4 - Monthly Tx System Peak'!C46</f>
        <v>600</v>
      </c>
      <c r="H88" s="625">
        <f t="shared" si="5"/>
        <v>435720.08326330577</v>
      </c>
      <c r="I88" s="1346">
        <v>-18950.285603925633</v>
      </c>
      <c r="J88" s="625">
        <f t="shared" si="6"/>
        <v>454670.36886723142</v>
      </c>
      <c r="K88" s="419"/>
      <c r="L88" s="572"/>
      <c r="M88" s="572"/>
      <c r="N88" s="572"/>
      <c r="O88" s="572"/>
      <c r="P88" s="572"/>
      <c r="Q88" s="572"/>
      <c r="R88" s="572"/>
    </row>
    <row r="89" spans="1:18" ht="13.5">
      <c r="A89" s="574"/>
      <c r="B89" s="574"/>
      <c r="C89" s="571"/>
      <c r="D89" s="419"/>
      <c r="E89" s="572" t="s">
        <v>637</v>
      </c>
      <c r="F89" s="841">
        <v>0.72620013877217626</v>
      </c>
      <c r="G89" s="610">
        <f>'WKSHT4 - Monthly Tx System Peak'!C47</f>
        <v>600</v>
      </c>
      <c r="H89" s="625">
        <f t="shared" si="5"/>
        <v>435720.08326330577</v>
      </c>
      <c r="I89" s="1346">
        <v>-18950.285603925633</v>
      </c>
      <c r="J89" s="625">
        <f t="shared" si="6"/>
        <v>454670.36886723142</v>
      </c>
      <c r="K89" s="419"/>
      <c r="L89" s="572"/>
      <c r="M89" s="572"/>
      <c r="N89" s="572"/>
      <c r="O89" s="572"/>
      <c r="P89" s="572"/>
      <c r="Q89" s="572"/>
      <c r="R89" s="572"/>
    </row>
    <row r="90" spans="1:18" ht="13.5">
      <c r="A90" s="574"/>
      <c r="B90" s="574"/>
      <c r="C90" s="571"/>
      <c r="D90" s="419"/>
      <c r="E90" s="572" t="s">
        <v>638</v>
      </c>
      <c r="F90" s="841">
        <v>0.72620013877217626</v>
      </c>
      <c r="G90" s="610">
        <f>'WKSHT4 - Monthly Tx System Peak'!C48</f>
        <v>600</v>
      </c>
      <c r="H90" s="625">
        <f t="shared" si="5"/>
        <v>435720.08326330577</v>
      </c>
      <c r="I90" s="1346">
        <v>-18950.285603925633</v>
      </c>
      <c r="J90" s="625">
        <f t="shared" si="6"/>
        <v>454670.36886723142</v>
      </c>
      <c r="K90" s="419"/>
      <c r="L90" s="572"/>
      <c r="M90" s="572"/>
      <c r="N90" s="572"/>
      <c r="O90" s="572"/>
      <c r="P90" s="572"/>
      <c r="Q90" s="572"/>
      <c r="R90" s="572"/>
    </row>
    <row r="91" spans="1:18" ht="13.5">
      <c r="A91" s="574"/>
      <c r="B91" s="574"/>
      <c r="C91" s="571"/>
      <c r="D91" s="572"/>
      <c r="E91" s="572" t="s">
        <v>1006</v>
      </c>
      <c r="F91" s="611"/>
      <c r="G91" s="611"/>
      <c r="H91" s="611"/>
      <c r="I91" s="611"/>
      <c r="J91" s="611">
        <f>SUM(J79:J90)</f>
        <v>6192071.4627897479</v>
      </c>
      <c r="K91" s="419"/>
      <c r="L91" s="572"/>
      <c r="M91" s="572"/>
      <c r="N91" s="572"/>
      <c r="O91" s="572"/>
      <c r="P91" s="572"/>
      <c r="Q91" s="572"/>
      <c r="R91" s="572"/>
    </row>
    <row r="92" spans="1:18" ht="13.5">
      <c r="A92" s="574"/>
      <c r="B92" s="574"/>
      <c r="C92" s="571"/>
      <c r="D92" s="572"/>
      <c r="E92" s="611"/>
      <c r="F92" s="611"/>
      <c r="G92" s="611"/>
      <c r="H92" s="611"/>
      <c r="I92" s="611"/>
      <c r="J92" s="419"/>
      <c r="K92" s="419"/>
      <c r="L92" s="572"/>
      <c r="M92" s="572"/>
      <c r="N92" s="572"/>
      <c r="O92" s="572"/>
      <c r="P92" s="572"/>
      <c r="Q92" s="572"/>
      <c r="R92" s="572"/>
    </row>
    <row r="93" spans="1:18" ht="13.5">
      <c r="A93" s="574"/>
      <c r="B93" s="574"/>
      <c r="C93" s="571"/>
      <c r="D93" s="578"/>
      <c r="E93" s="572"/>
      <c r="F93" s="419"/>
      <c r="G93" s="572"/>
      <c r="H93" s="572"/>
      <c r="I93" s="572"/>
      <c r="J93" s="572"/>
      <c r="K93" s="572"/>
      <c r="L93" s="572"/>
      <c r="M93" s="572"/>
      <c r="N93" s="572"/>
      <c r="O93" s="572"/>
      <c r="P93" s="572"/>
      <c r="Q93" s="572"/>
      <c r="R93" s="572"/>
    </row>
    <row r="94" spans="1:18" ht="31.5">
      <c r="A94" s="574"/>
      <c r="B94" s="574"/>
      <c r="C94" s="571"/>
      <c r="D94" s="1757" t="s">
        <v>1007</v>
      </c>
      <c r="E94" s="1780"/>
      <c r="F94" s="1780" t="s">
        <v>982</v>
      </c>
      <c r="G94" s="572"/>
      <c r="H94" s="1759" t="s">
        <v>1100</v>
      </c>
      <c r="I94" s="176"/>
      <c r="J94" s="1760" t="s">
        <v>1101</v>
      </c>
      <c r="K94" s="185"/>
      <c r="L94" s="1761" t="s">
        <v>1102</v>
      </c>
      <c r="M94" s="572"/>
      <c r="N94" s="572"/>
      <c r="O94" s="572"/>
      <c r="P94" s="572"/>
      <c r="Q94" s="572"/>
      <c r="R94" s="572"/>
    </row>
    <row r="95" spans="1:18" ht="13.5">
      <c r="A95" s="574"/>
      <c r="B95" s="574"/>
      <c r="C95" s="578" t="s">
        <v>1008</v>
      </c>
      <c r="D95" s="608">
        <f>D68</f>
        <v>7382114</v>
      </c>
      <c r="E95" s="571" t="s">
        <v>422</v>
      </c>
      <c r="F95" s="608">
        <f>J91</f>
        <v>6192071.4627897479</v>
      </c>
      <c r="G95" s="571" t="s">
        <v>423</v>
      </c>
      <c r="H95" s="587">
        <f>D95-F95</f>
        <v>1190042.5372102521</v>
      </c>
      <c r="I95" s="571" t="s">
        <v>422</v>
      </c>
      <c r="J95" s="1776">
        <f>M84</f>
        <v>0</v>
      </c>
      <c r="K95" s="571" t="s">
        <v>423</v>
      </c>
      <c r="L95" s="1737">
        <f>H95-J95</f>
        <v>1190042.5372102521</v>
      </c>
      <c r="M95" s="183"/>
      <c r="N95" s="572"/>
      <c r="O95" s="572"/>
      <c r="P95" s="572"/>
      <c r="Q95" s="572"/>
      <c r="R95" s="572"/>
    </row>
    <row r="96" spans="1:18" ht="15.75">
      <c r="A96" s="571"/>
      <c r="B96" s="571"/>
      <c r="C96" s="571"/>
      <c r="D96" s="612"/>
      <c r="E96" s="571"/>
      <c r="F96" s="587"/>
      <c r="G96" s="571"/>
      <c r="H96" s="587"/>
      <c r="I96" s="572"/>
      <c r="J96" s="176"/>
      <c r="K96" s="12"/>
      <c r="L96" s="12"/>
      <c r="M96" s="183"/>
      <c r="N96" s="572"/>
      <c r="O96" s="572"/>
      <c r="P96" s="572"/>
      <c r="Q96" s="572"/>
      <c r="R96" s="572"/>
    </row>
    <row r="97" spans="1:18" ht="15.75">
      <c r="A97" s="571"/>
      <c r="B97" s="571"/>
      <c r="C97" s="571"/>
      <c r="D97" s="612"/>
      <c r="E97" s="571"/>
      <c r="F97" s="587"/>
      <c r="G97" s="571"/>
      <c r="H97" s="587"/>
      <c r="I97" s="572"/>
      <c r="J97" s="176"/>
      <c r="K97" s="12"/>
      <c r="L97" s="12"/>
      <c r="M97" s="183"/>
      <c r="N97" s="572"/>
      <c r="O97" s="572"/>
      <c r="P97" s="572"/>
      <c r="Q97" s="572"/>
      <c r="R97" s="572"/>
    </row>
    <row r="98" spans="1:18" ht="15.75">
      <c r="A98" s="571"/>
      <c r="B98" s="571"/>
      <c r="C98" s="571"/>
      <c r="D98" s="1319" t="s">
        <v>639</v>
      </c>
      <c r="E98" s="574"/>
      <c r="F98" s="608"/>
      <c r="G98" s="571"/>
      <c r="H98" s="587"/>
      <c r="I98" s="572"/>
      <c r="J98" s="176"/>
      <c r="K98" s="12"/>
      <c r="L98" s="12"/>
      <c r="M98" s="183"/>
      <c r="N98" s="572"/>
      <c r="O98" s="572"/>
      <c r="P98" s="572"/>
      <c r="Q98" s="572"/>
      <c r="R98" s="572"/>
    </row>
    <row r="99" spans="1:18" ht="15.75">
      <c r="A99" s="571"/>
      <c r="B99" s="571"/>
      <c r="C99" s="571"/>
      <c r="D99" s="2016" t="s">
        <v>1009</v>
      </c>
      <c r="E99" s="2016"/>
      <c r="F99" s="176">
        <f>'6 - Est and True up'!F119</f>
        <v>6.3E-3</v>
      </c>
      <c r="G99" s="574"/>
      <c r="H99" s="608"/>
      <c r="I99" s="572"/>
      <c r="J99" s="176"/>
      <c r="K99" s="12"/>
      <c r="L99" s="12"/>
      <c r="M99" s="183"/>
      <c r="N99" s="572"/>
      <c r="O99" s="572"/>
      <c r="P99" s="572"/>
      <c r="Q99" s="572"/>
      <c r="R99" s="572"/>
    </row>
    <row r="100" spans="1:18" ht="13.5">
      <c r="A100" s="571"/>
      <c r="B100" s="571"/>
      <c r="C100" s="571"/>
      <c r="D100" s="605" t="s">
        <v>621</v>
      </c>
      <c r="E100" s="571" t="s">
        <v>640</v>
      </c>
      <c r="F100" s="574" t="s">
        <v>1010</v>
      </c>
      <c r="G100" s="1734" t="s">
        <v>1011</v>
      </c>
      <c r="H100" s="574"/>
      <c r="I100" s="605" t="s">
        <v>641</v>
      </c>
      <c r="J100" s="575" t="s">
        <v>1012</v>
      </c>
      <c r="K100" s="572"/>
      <c r="L100" s="572"/>
      <c r="M100" s="572"/>
      <c r="N100" s="572"/>
      <c r="O100" s="572"/>
      <c r="P100" s="572"/>
      <c r="Q100" s="572"/>
      <c r="R100" s="572"/>
    </row>
    <row r="101" spans="1:18" ht="13.5">
      <c r="A101" s="571"/>
      <c r="B101" s="571"/>
      <c r="C101" s="571"/>
      <c r="D101" s="571"/>
      <c r="E101" s="571"/>
      <c r="F101" s="574" t="s">
        <v>1013</v>
      </c>
      <c r="G101" s="574" t="s">
        <v>1014</v>
      </c>
      <c r="H101" s="574" t="s">
        <v>642</v>
      </c>
      <c r="I101" s="571"/>
      <c r="J101" s="571"/>
      <c r="K101" s="572" t="s">
        <v>1015</v>
      </c>
      <c r="L101" s="572"/>
      <c r="M101" s="572"/>
      <c r="N101" s="572"/>
      <c r="O101" s="572"/>
      <c r="P101" s="572"/>
      <c r="Q101" s="572"/>
      <c r="R101" s="572"/>
    </row>
    <row r="102" spans="1:18" ht="13.5">
      <c r="A102" s="571"/>
      <c r="B102" s="571"/>
      <c r="C102" s="571"/>
      <c r="D102" s="572" t="s">
        <v>628</v>
      </c>
      <c r="E102" s="572" t="s">
        <v>367</v>
      </c>
      <c r="F102" s="1735">
        <f>L95/12</f>
        <v>99170.211434187673</v>
      </c>
      <c r="G102" s="1730">
        <f>+F99</f>
        <v>6.3E-3</v>
      </c>
      <c r="H102" s="576">
        <v>12</v>
      </c>
      <c r="I102" s="582">
        <f>+F102*G102*H102</f>
        <v>7497.2679844245877</v>
      </c>
      <c r="J102" s="582">
        <f>+F102+I102</f>
        <v>106667.47941861226</v>
      </c>
      <c r="K102" s="572" t="s">
        <v>1016</v>
      </c>
      <c r="L102" s="572"/>
      <c r="M102" s="572"/>
      <c r="N102" s="572"/>
      <c r="O102" s="572"/>
      <c r="P102" s="572"/>
      <c r="Q102" s="572"/>
      <c r="R102" s="572"/>
    </row>
    <row r="103" spans="1:18" ht="13.5">
      <c r="A103" s="571"/>
      <c r="B103" s="571"/>
      <c r="C103" s="571"/>
      <c r="D103" s="572" t="s">
        <v>629</v>
      </c>
      <c r="E103" s="572" t="s">
        <v>367</v>
      </c>
      <c r="F103" s="608">
        <f t="shared" ref="F103:G113" si="8">+F102</f>
        <v>99170.211434187673</v>
      </c>
      <c r="G103" s="1731">
        <f>+G102</f>
        <v>6.3E-3</v>
      </c>
      <c r="H103" s="576">
        <v>11</v>
      </c>
      <c r="I103" s="582">
        <f t="shared" ref="I103:I113" si="9">+F103*G103*H103</f>
        <v>6872.4956523892051</v>
      </c>
      <c r="J103" s="582">
        <f t="shared" ref="J103:J113" si="10">+F103+I103</f>
        <v>106042.70708657688</v>
      </c>
      <c r="K103" s="572" t="s">
        <v>1017</v>
      </c>
      <c r="L103" s="572"/>
      <c r="M103" s="572"/>
      <c r="N103" s="572"/>
      <c r="O103" s="572"/>
      <c r="P103" s="572"/>
      <c r="Q103" s="572"/>
      <c r="R103" s="572"/>
    </row>
    <row r="104" spans="1:18" ht="13.5">
      <c r="A104" s="571"/>
      <c r="B104" s="571"/>
      <c r="C104" s="571"/>
      <c r="D104" s="572" t="s">
        <v>630</v>
      </c>
      <c r="E104" s="572" t="s">
        <v>367</v>
      </c>
      <c r="F104" s="608">
        <f t="shared" si="8"/>
        <v>99170.211434187673</v>
      </c>
      <c r="G104" s="1731">
        <f t="shared" si="8"/>
        <v>6.3E-3</v>
      </c>
      <c r="H104" s="576">
        <v>10</v>
      </c>
      <c r="I104" s="582">
        <f t="shared" si="9"/>
        <v>6247.7233203538235</v>
      </c>
      <c r="J104" s="582">
        <f t="shared" si="10"/>
        <v>105417.93475454149</v>
      </c>
      <c r="K104" s="572"/>
      <c r="L104" s="572"/>
      <c r="M104" s="572"/>
      <c r="N104" s="572"/>
      <c r="O104" s="572"/>
      <c r="P104" s="572"/>
      <c r="Q104" s="572"/>
      <c r="R104" s="572"/>
    </row>
    <row r="105" spans="1:18" ht="13.5">
      <c r="A105" s="571"/>
      <c r="B105" s="571"/>
      <c r="C105" s="571"/>
      <c r="D105" s="572" t="s">
        <v>631</v>
      </c>
      <c r="E105" s="572" t="s">
        <v>367</v>
      </c>
      <c r="F105" s="608">
        <f t="shared" si="8"/>
        <v>99170.211434187673</v>
      </c>
      <c r="G105" s="1731">
        <f t="shared" si="8"/>
        <v>6.3E-3</v>
      </c>
      <c r="H105" s="576">
        <v>9</v>
      </c>
      <c r="I105" s="582">
        <f t="shared" si="9"/>
        <v>5622.950988318441</v>
      </c>
      <c r="J105" s="582">
        <f t="shared" si="10"/>
        <v>104793.16242250611</v>
      </c>
      <c r="K105" s="572"/>
      <c r="L105" s="572"/>
      <c r="M105" s="572"/>
      <c r="N105" s="572"/>
      <c r="O105" s="572"/>
      <c r="P105" s="572"/>
      <c r="Q105" s="572"/>
      <c r="R105" s="572"/>
    </row>
    <row r="106" spans="1:18" ht="13.5">
      <c r="A106" s="571"/>
      <c r="B106" s="571"/>
      <c r="C106" s="571"/>
      <c r="D106" s="572" t="s">
        <v>626</v>
      </c>
      <c r="E106" s="572" t="s">
        <v>367</v>
      </c>
      <c r="F106" s="608">
        <f t="shared" si="8"/>
        <v>99170.211434187673</v>
      </c>
      <c r="G106" s="1731">
        <f t="shared" si="8"/>
        <v>6.3E-3</v>
      </c>
      <c r="H106" s="576">
        <v>8</v>
      </c>
      <c r="I106" s="582">
        <f t="shared" si="9"/>
        <v>4998.1786562830584</v>
      </c>
      <c r="J106" s="582">
        <f t="shared" si="10"/>
        <v>104168.39009047073</v>
      </c>
      <c r="K106" s="572"/>
      <c r="L106" s="572"/>
      <c r="M106" s="572"/>
      <c r="N106" s="572"/>
      <c r="O106" s="572"/>
      <c r="P106" s="572"/>
      <c r="Q106" s="572"/>
      <c r="R106" s="572"/>
    </row>
    <row r="107" spans="1:18" ht="13.5">
      <c r="A107" s="571"/>
      <c r="B107" s="571"/>
      <c r="C107" s="571"/>
      <c r="D107" s="572" t="s">
        <v>632</v>
      </c>
      <c r="E107" s="572" t="s">
        <v>367</v>
      </c>
      <c r="F107" s="608">
        <f t="shared" si="8"/>
        <v>99170.211434187673</v>
      </c>
      <c r="G107" s="1731">
        <f t="shared" si="8"/>
        <v>6.3E-3</v>
      </c>
      <c r="H107" s="576">
        <v>7</v>
      </c>
      <c r="I107" s="582">
        <f t="shared" si="9"/>
        <v>4373.4063242476759</v>
      </c>
      <c r="J107" s="582">
        <f t="shared" si="10"/>
        <v>103543.61775843534</v>
      </c>
      <c r="K107" s="572"/>
      <c r="L107" s="572"/>
      <c r="M107" s="572"/>
      <c r="N107" s="572"/>
      <c r="O107" s="572"/>
      <c r="P107" s="572"/>
      <c r="Q107" s="572"/>
      <c r="R107" s="572"/>
    </row>
    <row r="108" spans="1:18" ht="13.5">
      <c r="A108" s="571"/>
      <c r="B108" s="571"/>
      <c r="C108" s="571"/>
      <c r="D108" s="572" t="s">
        <v>633</v>
      </c>
      <c r="E108" s="572" t="s">
        <v>367</v>
      </c>
      <c r="F108" s="608">
        <f t="shared" si="8"/>
        <v>99170.211434187673</v>
      </c>
      <c r="G108" s="1731">
        <f t="shared" si="8"/>
        <v>6.3E-3</v>
      </c>
      <c r="H108" s="576">
        <v>6</v>
      </c>
      <c r="I108" s="582">
        <f t="shared" si="9"/>
        <v>3748.6339922122938</v>
      </c>
      <c r="J108" s="582">
        <f t="shared" si="10"/>
        <v>102918.84542639997</v>
      </c>
      <c r="K108" s="572"/>
      <c r="L108" s="572"/>
      <c r="M108" s="572"/>
      <c r="N108" s="572"/>
      <c r="O108" s="572"/>
      <c r="P108" s="572"/>
      <c r="Q108" s="572"/>
      <c r="R108" s="572"/>
    </row>
    <row r="109" spans="1:18" ht="13.5">
      <c r="A109" s="571"/>
      <c r="B109" s="571"/>
      <c r="C109" s="571"/>
      <c r="D109" s="572" t="s">
        <v>634</v>
      </c>
      <c r="E109" s="572" t="s">
        <v>600</v>
      </c>
      <c r="F109" s="608">
        <f t="shared" si="8"/>
        <v>99170.211434187673</v>
      </c>
      <c r="G109" s="1731">
        <f t="shared" si="8"/>
        <v>6.3E-3</v>
      </c>
      <c r="H109" s="576">
        <v>5</v>
      </c>
      <c r="I109" s="582">
        <f t="shared" si="9"/>
        <v>3123.8616601769118</v>
      </c>
      <c r="J109" s="582">
        <f t="shared" si="10"/>
        <v>102294.07309436459</v>
      </c>
      <c r="K109" s="572"/>
      <c r="L109" s="572"/>
      <c r="M109" s="572"/>
      <c r="N109" s="572"/>
      <c r="O109" s="572"/>
      <c r="P109" s="572"/>
      <c r="Q109" s="572"/>
      <c r="R109" s="572"/>
    </row>
    <row r="110" spans="1:18" ht="13.5">
      <c r="A110" s="571"/>
      <c r="B110" s="571"/>
      <c r="C110" s="571"/>
      <c r="D110" s="572" t="s">
        <v>635</v>
      </c>
      <c r="E110" s="572" t="s">
        <v>600</v>
      </c>
      <c r="F110" s="608">
        <f t="shared" si="8"/>
        <v>99170.211434187673</v>
      </c>
      <c r="G110" s="1731">
        <f t="shared" si="8"/>
        <v>6.3E-3</v>
      </c>
      <c r="H110" s="576">
        <v>4</v>
      </c>
      <c r="I110" s="582">
        <f t="shared" si="9"/>
        <v>2499.0893281415292</v>
      </c>
      <c r="J110" s="582">
        <f t="shared" si="10"/>
        <v>101669.30076232921</v>
      </c>
      <c r="K110" s="572"/>
      <c r="L110" s="572"/>
      <c r="M110" s="572"/>
      <c r="N110" s="572"/>
      <c r="O110" s="572"/>
      <c r="P110" s="572"/>
      <c r="Q110" s="572"/>
      <c r="R110" s="572"/>
    </row>
    <row r="111" spans="1:18" ht="13.5">
      <c r="A111" s="571"/>
      <c r="B111" s="571"/>
      <c r="C111" s="571"/>
      <c r="D111" s="572" t="s">
        <v>636</v>
      </c>
      <c r="E111" s="572" t="s">
        <v>600</v>
      </c>
      <c r="F111" s="608">
        <f t="shared" si="8"/>
        <v>99170.211434187673</v>
      </c>
      <c r="G111" s="1731">
        <f t="shared" si="8"/>
        <v>6.3E-3</v>
      </c>
      <c r="H111" s="576">
        <v>3</v>
      </c>
      <c r="I111" s="582">
        <f t="shared" si="9"/>
        <v>1874.3169961061469</v>
      </c>
      <c r="J111" s="582">
        <f t="shared" si="10"/>
        <v>101044.52843029382</v>
      </c>
      <c r="K111" s="572"/>
      <c r="L111" s="572"/>
      <c r="M111" s="572"/>
      <c r="N111" s="572"/>
      <c r="O111" s="572"/>
      <c r="P111" s="572"/>
      <c r="Q111" s="572"/>
      <c r="R111" s="572"/>
    </row>
    <row r="112" spans="1:18" ht="13.5">
      <c r="A112" s="571"/>
      <c r="B112" s="571"/>
      <c r="C112" s="571"/>
      <c r="D112" s="572" t="s">
        <v>637</v>
      </c>
      <c r="E112" s="572" t="s">
        <v>600</v>
      </c>
      <c r="F112" s="608">
        <f t="shared" si="8"/>
        <v>99170.211434187673</v>
      </c>
      <c r="G112" s="1731">
        <f t="shared" si="8"/>
        <v>6.3E-3</v>
      </c>
      <c r="H112" s="576">
        <v>2</v>
      </c>
      <c r="I112" s="582">
        <f t="shared" si="9"/>
        <v>1249.5446640707646</v>
      </c>
      <c r="J112" s="582">
        <f t="shared" si="10"/>
        <v>100419.75609825844</v>
      </c>
      <c r="K112" s="572"/>
      <c r="L112" s="572"/>
      <c r="M112" s="572"/>
      <c r="N112" s="572"/>
      <c r="O112" s="572"/>
      <c r="P112" s="572"/>
      <c r="Q112" s="572"/>
      <c r="R112" s="572"/>
    </row>
    <row r="113" spans="1:18" ht="13.5">
      <c r="A113" s="571"/>
      <c r="B113" s="571"/>
      <c r="C113" s="571"/>
      <c r="D113" s="572" t="s">
        <v>638</v>
      </c>
      <c r="E113" s="572" t="s">
        <v>600</v>
      </c>
      <c r="F113" s="608">
        <f t="shared" si="8"/>
        <v>99170.211434187673</v>
      </c>
      <c r="G113" s="1731">
        <f t="shared" si="8"/>
        <v>6.3E-3</v>
      </c>
      <c r="H113" s="576">
        <v>1</v>
      </c>
      <c r="I113" s="582">
        <f t="shared" si="9"/>
        <v>624.77233203538231</v>
      </c>
      <c r="J113" s="582">
        <f t="shared" si="10"/>
        <v>99794.983766223057</v>
      </c>
      <c r="K113" s="572"/>
      <c r="L113" s="572"/>
      <c r="M113" s="572"/>
      <c r="N113" s="572"/>
      <c r="O113" s="572"/>
      <c r="P113" s="572"/>
      <c r="Q113" s="572"/>
      <c r="R113" s="572"/>
    </row>
    <row r="114" spans="1:18" ht="13.5">
      <c r="A114" s="571"/>
      <c r="B114" s="571"/>
      <c r="C114" s="571"/>
      <c r="D114" s="572" t="s">
        <v>850</v>
      </c>
      <c r="E114" s="572"/>
      <c r="F114" s="608">
        <v>0</v>
      </c>
      <c r="G114" s="576"/>
      <c r="H114" s="576"/>
      <c r="I114" s="572"/>
      <c r="J114" s="582">
        <f>SUM(J102:J113)</f>
        <v>1238774.7791090121</v>
      </c>
      <c r="K114" s="572"/>
      <c r="L114" s="572"/>
      <c r="M114" s="572"/>
      <c r="N114" s="572"/>
      <c r="O114" s="572"/>
      <c r="P114" s="572"/>
      <c r="Q114" s="572"/>
      <c r="R114" s="572"/>
    </row>
    <row r="115" spans="1:18" ht="13.5">
      <c r="A115" s="571"/>
      <c r="B115" s="571"/>
      <c r="C115" s="571"/>
      <c r="D115" s="572"/>
      <c r="E115" s="572"/>
      <c r="F115" s="1734" t="s">
        <v>643</v>
      </c>
      <c r="G115" s="1732" t="s">
        <v>1018</v>
      </c>
      <c r="H115" s="1732" t="s">
        <v>1019</v>
      </c>
      <c r="I115" s="605" t="s">
        <v>641</v>
      </c>
      <c r="J115" s="582" t="str">
        <f>+J100</f>
        <v>Surcharge (Refund) Owed</v>
      </c>
      <c r="K115" s="572"/>
      <c r="L115" s="572"/>
      <c r="M115" s="572"/>
      <c r="N115" s="572"/>
      <c r="O115" s="572"/>
      <c r="P115" s="572"/>
      <c r="Q115" s="572"/>
      <c r="R115" s="572"/>
    </row>
    <row r="116" spans="1:18" ht="13.5">
      <c r="A116" s="571"/>
      <c r="B116" s="571"/>
      <c r="C116" s="571"/>
      <c r="D116" s="572" t="s">
        <v>628</v>
      </c>
      <c r="E116" s="572" t="s">
        <v>600</v>
      </c>
      <c r="F116" s="608">
        <f>+J114</f>
        <v>1238774.7791090121</v>
      </c>
      <c r="G116" s="1731">
        <f>+G113</f>
        <v>6.3E-3</v>
      </c>
      <c r="H116" s="589">
        <v>0</v>
      </c>
      <c r="I116" s="582">
        <f t="shared" ref="I116:I132" si="11">+F116*G116</f>
        <v>7804.2811083867764</v>
      </c>
      <c r="J116" s="582">
        <f>+F116+I116-H116</f>
        <v>1246579.0602173989</v>
      </c>
      <c r="K116" s="572"/>
      <c r="L116" s="572"/>
      <c r="M116" s="572"/>
      <c r="N116" s="572"/>
      <c r="O116" s="572"/>
      <c r="P116" s="572"/>
      <c r="Q116" s="572"/>
      <c r="R116" s="572"/>
    </row>
    <row r="117" spans="1:18" ht="13.5">
      <c r="A117" s="571"/>
      <c r="B117" s="571"/>
      <c r="C117" s="571"/>
      <c r="D117" s="572" t="s">
        <v>629</v>
      </c>
      <c r="E117" s="572" t="s">
        <v>600</v>
      </c>
      <c r="F117" s="608">
        <f>+J116</f>
        <v>1246579.0602173989</v>
      </c>
      <c r="G117" s="1731">
        <f>+G116</f>
        <v>6.3E-3</v>
      </c>
      <c r="H117" s="1736">
        <v>0</v>
      </c>
      <c r="I117" s="582">
        <f t="shared" si="11"/>
        <v>7853.448079369613</v>
      </c>
      <c r="J117" s="582">
        <f t="shared" ref="J117:J132" si="12">+F117+I117-H117</f>
        <v>1254432.5082967686</v>
      </c>
      <c r="K117" s="572"/>
      <c r="L117" s="572"/>
      <c r="M117" s="572"/>
      <c r="N117" s="572"/>
      <c r="O117" s="572"/>
      <c r="P117" s="572"/>
      <c r="Q117" s="572"/>
      <c r="R117" s="572"/>
    </row>
    <row r="118" spans="1:18" ht="13.5">
      <c r="A118" s="571"/>
      <c r="B118" s="571"/>
      <c r="C118" s="571"/>
      <c r="D118" s="572" t="s">
        <v>630</v>
      </c>
      <c r="E118" s="572" t="s">
        <v>600</v>
      </c>
      <c r="F118" s="608">
        <f t="shared" ref="F118:F132" si="13">+J117</f>
        <v>1254432.5082967686</v>
      </c>
      <c r="G118" s="1731">
        <f t="shared" ref="G118:G132" si="14">+G117</f>
        <v>6.3E-3</v>
      </c>
      <c r="H118" s="1736">
        <f t="shared" ref="H118:H132" si="15">H117</f>
        <v>0</v>
      </c>
      <c r="I118" s="582">
        <f t="shared" si="11"/>
        <v>7902.9248022696429</v>
      </c>
      <c r="J118" s="582">
        <f t="shared" si="12"/>
        <v>1262335.4330990382</v>
      </c>
      <c r="K118" s="572"/>
      <c r="L118" s="572"/>
      <c r="M118" s="572"/>
      <c r="N118" s="572"/>
      <c r="O118" s="572"/>
      <c r="P118" s="572"/>
      <c r="Q118" s="572"/>
      <c r="R118" s="572"/>
    </row>
    <row r="119" spans="1:18" ht="13.5">
      <c r="A119" s="571"/>
      <c r="B119" s="571"/>
      <c r="C119" s="571"/>
      <c r="D119" s="572" t="s">
        <v>631</v>
      </c>
      <c r="E119" s="572" t="s">
        <v>600</v>
      </c>
      <c r="F119" s="608">
        <f t="shared" si="13"/>
        <v>1262335.4330990382</v>
      </c>
      <c r="G119" s="1731">
        <f t="shared" si="14"/>
        <v>6.3E-3</v>
      </c>
      <c r="H119" s="1736">
        <f t="shared" si="15"/>
        <v>0</v>
      </c>
      <c r="I119" s="582">
        <f t="shared" si="11"/>
        <v>7952.7132285239404</v>
      </c>
      <c r="J119" s="582">
        <f t="shared" si="12"/>
        <v>1270288.1463275622</v>
      </c>
      <c r="K119" s="615"/>
      <c r="L119" s="572"/>
      <c r="M119" s="572"/>
      <c r="N119" s="572"/>
      <c r="O119" s="572"/>
      <c r="P119" s="572"/>
      <c r="Q119" s="572"/>
      <c r="R119" s="572"/>
    </row>
    <row r="120" spans="1:18" ht="13.5">
      <c r="A120" s="571"/>
      <c r="B120" s="571"/>
      <c r="C120" s="571"/>
      <c r="D120" s="572" t="s">
        <v>626</v>
      </c>
      <c r="E120" s="572" t="s">
        <v>600</v>
      </c>
      <c r="F120" s="608">
        <f t="shared" si="13"/>
        <v>1270288.1463275622</v>
      </c>
      <c r="G120" s="1731">
        <f t="shared" si="14"/>
        <v>6.3E-3</v>
      </c>
      <c r="H120" s="1736">
        <f t="shared" si="15"/>
        <v>0</v>
      </c>
      <c r="I120" s="582">
        <f t="shared" si="11"/>
        <v>8002.8153218636417</v>
      </c>
      <c r="J120" s="582">
        <f t="shared" si="12"/>
        <v>1278290.9616494258</v>
      </c>
      <c r="K120" s="614"/>
      <c r="L120" s="572"/>
      <c r="M120" s="572"/>
      <c r="N120" s="572"/>
      <c r="O120" s="572"/>
      <c r="P120" s="572"/>
      <c r="Q120" s="572"/>
      <c r="R120" s="572"/>
    </row>
    <row r="121" spans="1:18" ht="13.5">
      <c r="A121" s="571"/>
      <c r="B121" s="571"/>
      <c r="C121" s="571"/>
      <c r="D121" s="572" t="s">
        <v>632</v>
      </c>
      <c r="E121" s="572" t="s">
        <v>600</v>
      </c>
      <c r="F121" s="608">
        <f t="shared" si="13"/>
        <v>1278290.9616494258</v>
      </c>
      <c r="G121" s="1731">
        <f t="shared" si="14"/>
        <v>6.3E-3</v>
      </c>
      <c r="H121" s="589">
        <f>-PMT(G121,12,J120)</f>
        <v>110936.634920296</v>
      </c>
      <c r="I121" s="582">
        <f t="shared" si="11"/>
        <v>8053.2330583913827</v>
      </c>
      <c r="J121" s="582">
        <f t="shared" si="12"/>
        <v>1175407.5597875211</v>
      </c>
      <c r="K121" s="572"/>
      <c r="L121" s="572"/>
      <c r="M121" s="572"/>
      <c r="N121" s="572"/>
      <c r="O121" s="572"/>
      <c r="P121" s="572"/>
      <c r="Q121" s="572"/>
      <c r="R121" s="572"/>
    </row>
    <row r="122" spans="1:18" ht="13.5">
      <c r="A122" s="571"/>
      <c r="B122" s="571"/>
      <c r="C122" s="571"/>
      <c r="D122" s="572" t="s">
        <v>633</v>
      </c>
      <c r="E122" s="572" t="s">
        <v>600</v>
      </c>
      <c r="F122" s="608">
        <f t="shared" si="13"/>
        <v>1175407.5597875211</v>
      </c>
      <c r="G122" s="1731">
        <f t="shared" si="14"/>
        <v>6.3E-3</v>
      </c>
      <c r="H122" s="1736">
        <f t="shared" si="15"/>
        <v>110936.634920296</v>
      </c>
      <c r="I122" s="582">
        <f t="shared" si="11"/>
        <v>7405.0676266613837</v>
      </c>
      <c r="J122" s="582">
        <f t="shared" si="12"/>
        <v>1071875.9924938865</v>
      </c>
      <c r="K122" s="572"/>
      <c r="L122" s="572"/>
      <c r="M122" s="572"/>
      <c r="N122" s="572"/>
      <c r="O122" s="572"/>
      <c r="P122" s="572"/>
      <c r="Q122" s="572"/>
      <c r="R122" s="572"/>
    </row>
    <row r="123" spans="1:18" ht="13.5">
      <c r="A123" s="571"/>
      <c r="B123" s="571"/>
      <c r="C123" s="571"/>
      <c r="D123" s="572" t="s">
        <v>634</v>
      </c>
      <c r="E123" s="572" t="s">
        <v>600</v>
      </c>
      <c r="F123" s="608">
        <f t="shared" si="13"/>
        <v>1071875.9924938865</v>
      </c>
      <c r="G123" s="1731">
        <f t="shared" si="14"/>
        <v>6.3E-3</v>
      </c>
      <c r="H123" s="1736">
        <f t="shared" si="15"/>
        <v>110936.634920296</v>
      </c>
      <c r="I123" s="582">
        <f t="shared" si="11"/>
        <v>6752.8187527114851</v>
      </c>
      <c r="J123" s="582">
        <f t="shared" si="12"/>
        <v>967692.17632630188</v>
      </c>
      <c r="K123" s="572"/>
      <c r="L123" s="572"/>
      <c r="M123" s="572"/>
      <c r="N123" s="572"/>
      <c r="O123" s="572"/>
      <c r="P123" s="572"/>
      <c r="Q123" s="572"/>
      <c r="R123" s="572"/>
    </row>
    <row r="124" spans="1:18" ht="13.5">
      <c r="A124" s="571"/>
      <c r="B124" s="571"/>
      <c r="C124" s="571"/>
      <c r="D124" s="572" t="s">
        <v>635</v>
      </c>
      <c r="E124" s="572" t="s">
        <v>600</v>
      </c>
      <c r="F124" s="608">
        <f t="shared" si="13"/>
        <v>967692.17632630188</v>
      </c>
      <c r="G124" s="1731">
        <f t="shared" si="14"/>
        <v>6.3E-3</v>
      </c>
      <c r="H124" s="1736">
        <f t="shared" si="15"/>
        <v>110936.634920296</v>
      </c>
      <c r="I124" s="582">
        <f t="shared" si="11"/>
        <v>6096.460710855702</v>
      </c>
      <c r="J124" s="582">
        <f t="shared" si="12"/>
        <v>862852.00211686152</v>
      </c>
      <c r="K124" s="572"/>
      <c r="L124" s="572"/>
      <c r="M124" s="572"/>
      <c r="N124" s="572"/>
      <c r="O124" s="572"/>
      <c r="P124" s="572"/>
      <c r="Q124" s="572"/>
      <c r="R124" s="572"/>
    </row>
    <row r="125" spans="1:18" ht="13.5">
      <c r="A125" s="571"/>
      <c r="B125" s="571"/>
      <c r="C125" s="571"/>
      <c r="D125" s="572" t="s">
        <v>636</v>
      </c>
      <c r="E125" s="572" t="s">
        <v>600</v>
      </c>
      <c r="F125" s="608">
        <f t="shared" si="13"/>
        <v>862852.00211686152</v>
      </c>
      <c r="G125" s="1731">
        <f t="shared" si="14"/>
        <v>6.3E-3</v>
      </c>
      <c r="H125" s="1736">
        <f t="shared" si="15"/>
        <v>110936.634920296</v>
      </c>
      <c r="I125" s="582">
        <f t="shared" si="11"/>
        <v>5435.9676133362273</v>
      </c>
      <c r="J125" s="582">
        <f t="shared" si="12"/>
        <v>757351.33480990177</v>
      </c>
      <c r="K125" s="572"/>
      <c r="L125" s="572"/>
      <c r="M125" s="572"/>
      <c r="N125" s="572"/>
      <c r="O125" s="572"/>
      <c r="P125" s="572"/>
      <c r="Q125" s="572"/>
      <c r="R125" s="572"/>
    </row>
    <row r="126" spans="1:18" ht="13.5">
      <c r="A126" s="571"/>
      <c r="B126" s="571"/>
      <c r="C126" s="571"/>
      <c r="D126" s="572" t="s">
        <v>637</v>
      </c>
      <c r="E126" s="572" t="s">
        <v>600</v>
      </c>
      <c r="F126" s="608">
        <f t="shared" si="13"/>
        <v>757351.33480990177</v>
      </c>
      <c r="G126" s="1731">
        <f t="shared" si="14"/>
        <v>6.3E-3</v>
      </c>
      <c r="H126" s="1736">
        <f t="shared" si="15"/>
        <v>110936.634920296</v>
      </c>
      <c r="I126" s="582">
        <f t="shared" si="11"/>
        <v>4771.3134093023809</v>
      </c>
      <c r="J126" s="582">
        <f t="shared" si="12"/>
        <v>651186.01329890813</v>
      </c>
      <c r="K126" s="572"/>
      <c r="L126" s="572"/>
      <c r="M126" s="572"/>
      <c r="N126" s="572"/>
      <c r="O126" s="572"/>
      <c r="P126" s="572"/>
      <c r="Q126" s="572"/>
      <c r="R126" s="572"/>
    </row>
    <row r="127" spans="1:18" ht="13.5">
      <c r="A127" s="571"/>
      <c r="B127" s="571"/>
      <c r="C127" s="571"/>
      <c r="D127" s="572" t="s">
        <v>638</v>
      </c>
      <c r="E127" s="572" t="s">
        <v>600</v>
      </c>
      <c r="F127" s="608">
        <f t="shared" si="13"/>
        <v>651186.01329890813</v>
      </c>
      <c r="G127" s="1731">
        <f t="shared" si="14"/>
        <v>6.3E-3</v>
      </c>
      <c r="H127" s="1736">
        <f t="shared" si="15"/>
        <v>110936.634920296</v>
      </c>
      <c r="I127" s="582">
        <f t="shared" si="11"/>
        <v>4102.4718837831215</v>
      </c>
      <c r="J127" s="582">
        <f t="shared" si="12"/>
        <v>544351.85026239522</v>
      </c>
      <c r="K127" s="572"/>
      <c r="L127" s="572"/>
      <c r="M127" s="572"/>
      <c r="N127" s="572"/>
      <c r="O127" s="572"/>
      <c r="P127" s="572"/>
      <c r="Q127" s="572"/>
      <c r="R127" s="572"/>
    </row>
    <row r="128" spans="1:18" ht="13.5">
      <c r="A128" s="571"/>
      <c r="B128" s="571"/>
      <c r="C128" s="571"/>
      <c r="D128" s="572" t="s">
        <v>628</v>
      </c>
      <c r="E128" s="572" t="s">
        <v>601</v>
      </c>
      <c r="F128" s="608">
        <f t="shared" si="13"/>
        <v>544351.85026239522</v>
      </c>
      <c r="G128" s="1731">
        <f t="shared" si="14"/>
        <v>6.3E-3</v>
      </c>
      <c r="H128" s="1736">
        <f t="shared" si="15"/>
        <v>110936.634920296</v>
      </c>
      <c r="I128" s="582">
        <f t="shared" si="11"/>
        <v>3429.4166566530898</v>
      </c>
      <c r="J128" s="582">
        <f t="shared" si="12"/>
        <v>436844.63199875224</v>
      </c>
      <c r="K128" s="572"/>
      <c r="L128" s="572"/>
      <c r="M128" s="572"/>
      <c r="N128" s="572"/>
      <c r="O128" s="572"/>
      <c r="P128" s="572"/>
      <c r="Q128" s="572"/>
      <c r="R128" s="572"/>
    </row>
    <row r="129" spans="1:18" ht="13.5">
      <c r="A129" s="571"/>
      <c r="B129" s="571"/>
      <c r="C129" s="571"/>
      <c r="D129" s="572" t="s">
        <v>629</v>
      </c>
      <c r="E129" s="572" t="s">
        <v>601</v>
      </c>
      <c r="F129" s="608">
        <f t="shared" si="13"/>
        <v>436844.63199875224</v>
      </c>
      <c r="G129" s="1731">
        <f t="shared" si="14"/>
        <v>6.3E-3</v>
      </c>
      <c r="H129" s="1736">
        <f t="shared" si="15"/>
        <v>110936.634920296</v>
      </c>
      <c r="I129" s="582">
        <f t="shared" si="11"/>
        <v>2752.1211815921392</v>
      </c>
      <c r="J129" s="582">
        <f t="shared" si="12"/>
        <v>328660.11826004833</v>
      </c>
      <c r="K129" s="572"/>
      <c r="L129" s="572"/>
      <c r="M129" s="572"/>
      <c r="N129" s="572"/>
      <c r="O129" s="572"/>
      <c r="P129" s="572"/>
      <c r="Q129" s="572"/>
      <c r="R129" s="572"/>
    </row>
    <row r="130" spans="1:18" ht="13.5">
      <c r="A130" s="571"/>
      <c r="B130" s="571"/>
      <c r="C130" s="571"/>
      <c r="D130" s="572" t="s">
        <v>630</v>
      </c>
      <c r="E130" s="572" t="s">
        <v>601</v>
      </c>
      <c r="F130" s="608">
        <f t="shared" si="13"/>
        <v>328660.11826004833</v>
      </c>
      <c r="G130" s="1731">
        <f t="shared" si="14"/>
        <v>6.3E-3</v>
      </c>
      <c r="H130" s="1736">
        <f t="shared" si="15"/>
        <v>110936.634920296</v>
      </c>
      <c r="I130" s="582">
        <f t="shared" si="11"/>
        <v>2070.5587450383046</v>
      </c>
      <c r="J130" s="582">
        <f t="shared" si="12"/>
        <v>219794.04208479062</v>
      </c>
      <c r="K130" s="572"/>
      <c r="L130" s="572"/>
      <c r="M130" s="572"/>
      <c r="N130" s="572"/>
      <c r="O130" s="572"/>
      <c r="P130" s="572"/>
      <c r="Q130" s="572"/>
      <c r="R130" s="572"/>
    </row>
    <row r="131" spans="1:18" ht="13.5">
      <c r="A131" s="571"/>
      <c r="B131" s="571"/>
      <c r="C131" s="571"/>
      <c r="D131" s="572" t="s">
        <v>631</v>
      </c>
      <c r="E131" s="572" t="s">
        <v>601</v>
      </c>
      <c r="F131" s="608">
        <f t="shared" si="13"/>
        <v>219794.04208479062</v>
      </c>
      <c r="G131" s="1731">
        <f t="shared" si="14"/>
        <v>6.3E-3</v>
      </c>
      <c r="H131" s="1736">
        <f t="shared" si="15"/>
        <v>110936.634920296</v>
      </c>
      <c r="I131" s="582">
        <f t="shared" si="11"/>
        <v>1384.702465134181</v>
      </c>
      <c r="J131" s="582">
        <f t="shared" si="12"/>
        <v>110242.1096296288</v>
      </c>
      <c r="K131" s="572"/>
      <c r="L131" s="572"/>
      <c r="M131" s="572"/>
      <c r="N131" s="572"/>
      <c r="O131" s="572"/>
      <c r="P131" s="572"/>
      <c r="Q131" s="572"/>
      <c r="R131" s="572"/>
    </row>
    <row r="132" spans="1:18" ht="13.5">
      <c r="A132" s="571"/>
      <c r="B132" s="571"/>
      <c r="C132" s="571"/>
      <c r="D132" s="572" t="s">
        <v>626</v>
      </c>
      <c r="E132" s="572" t="s">
        <v>601</v>
      </c>
      <c r="F132" s="608">
        <f t="shared" si="13"/>
        <v>110242.1096296288</v>
      </c>
      <c r="G132" s="1731">
        <f t="shared" si="14"/>
        <v>6.3E-3</v>
      </c>
      <c r="H132" s="1736">
        <f t="shared" si="15"/>
        <v>110936.634920296</v>
      </c>
      <c r="I132" s="582">
        <f t="shared" si="11"/>
        <v>694.52529066666148</v>
      </c>
      <c r="J132" s="582">
        <f t="shared" si="12"/>
        <v>-5.3842086344957352E-10</v>
      </c>
      <c r="K132" s="572"/>
      <c r="L132" s="572"/>
      <c r="M132" s="572"/>
      <c r="N132" s="572"/>
      <c r="O132" s="572"/>
      <c r="P132" s="572"/>
      <c r="Q132" s="572"/>
      <c r="R132" s="572"/>
    </row>
    <row r="133" spans="1:18" ht="13.5">
      <c r="A133" s="571"/>
      <c r="B133" s="571"/>
      <c r="C133" s="571"/>
      <c r="D133" s="572" t="s">
        <v>657</v>
      </c>
      <c r="E133" s="572"/>
      <c r="F133" s="576"/>
      <c r="G133" s="576"/>
      <c r="H133" s="608">
        <f>SUM(H116:H132)</f>
        <v>1331239.6190435521</v>
      </c>
      <c r="I133" s="572"/>
      <c r="J133" s="572"/>
      <c r="K133" s="572"/>
      <c r="L133" s="572"/>
      <c r="M133" s="572"/>
      <c r="N133" s="572"/>
      <c r="O133" s="572"/>
      <c r="P133" s="572"/>
      <c r="Q133" s="572"/>
      <c r="R133" s="572"/>
    </row>
    <row r="134" spans="1:18" ht="13.5">
      <c r="A134" s="571"/>
      <c r="B134" s="571"/>
      <c r="C134" s="571"/>
      <c r="D134" s="572"/>
      <c r="E134" s="572"/>
      <c r="F134" s="572"/>
      <c r="G134" s="572"/>
      <c r="H134" s="572"/>
      <c r="I134" s="572"/>
      <c r="J134" s="572"/>
      <c r="K134" s="572"/>
      <c r="L134" s="572"/>
      <c r="M134" s="572"/>
      <c r="N134" s="572"/>
      <c r="O134" s="572"/>
      <c r="P134" s="572"/>
      <c r="Q134" s="572"/>
      <c r="R134" s="572"/>
    </row>
    <row r="135" spans="1:18" ht="13.5">
      <c r="A135" s="420"/>
      <c r="B135" s="571"/>
      <c r="C135" s="571"/>
      <c r="D135" s="613" t="str">
        <f>+D133</f>
        <v>Total with interest</v>
      </c>
      <c r="E135" s="571"/>
      <c r="F135" s="419"/>
      <c r="G135" s="571"/>
      <c r="H135" s="587">
        <f>+H133</f>
        <v>1331239.6190435521</v>
      </c>
      <c r="I135" s="571"/>
      <c r="J135" s="587"/>
      <c r="K135" s="572"/>
      <c r="L135" s="572"/>
      <c r="M135" s="572"/>
      <c r="N135" s="572"/>
      <c r="O135" s="572"/>
      <c r="P135" s="572"/>
      <c r="Q135" s="572"/>
      <c r="R135" s="572"/>
    </row>
    <row r="136" spans="1:18" ht="13.5">
      <c r="A136" s="420"/>
      <c r="B136" s="571"/>
      <c r="C136" s="571"/>
      <c r="D136" s="613" t="s">
        <v>66</v>
      </c>
      <c r="E136" s="571"/>
      <c r="F136" s="419"/>
      <c r="G136" s="571"/>
      <c r="H136" s="616">
        <f>'ATT H-1 '!L286</f>
        <v>7384530.7635047119</v>
      </c>
      <c r="I136" s="584"/>
      <c r="J136" s="608"/>
      <c r="K136" s="572"/>
      <c r="L136" s="572"/>
      <c r="M136" s="572"/>
      <c r="N136" s="572"/>
      <c r="O136" s="572"/>
      <c r="P136" s="572"/>
      <c r="Q136" s="572"/>
      <c r="R136" s="572"/>
    </row>
    <row r="137" spans="1:18" ht="13.5">
      <c r="A137" s="420"/>
      <c r="B137" s="571"/>
      <c r="C137" s="571"/>
      <c r="D137" s="613" t="s">
        <v>67</v>
      </c>
      <c r="E137" s="571"/>
      <c r="F137" s="419"/>
      <c r="G137" s="571"/>
      <c r="H137" s="587">
        <f>+H135+H136</f>
        <v>8715770.3825482633</v>
      </c>
      <c r="I137" s="575"/>
      <c r="J137" s="608"/>
      <c r="K137" s="572"/>
      <c r="L137" s="572"/>
      <c r="M137" s="572"/>
      <c r="N137" s="572"/>
      <c r="O137" s="572"/>
      <c r="P137" s="572"/>
      <c r="Q137" s="572"/>
      <c r="R137" s="572"/>
    </row>
    <row r="138" spans="1:18" ht="13.5">
      <c r="A138" s="571"/>
      <c r="B138" s="571"/>
      <c r="C138" s="571"/>
      <c r="D138" s="604"/>
      <c r="E138" s="572"/>
      <c r="F138" s="572"/>
      <c r="G138" s="576"/>
      <c r="H138" s="608"/>
      <c r="I138" s="576"/>
      <c r="J138" s="572"/>
      <c r="K138" s="572"/>
      <c r="L138" s="572"/>
      <c r="M138" s="572"/>
      <c r="N138" s="572"/>
      <c r="O138" s="572"/>
      <c r="P138" s="572"/>
      <c r="Q138" s="572"/>
      <c r="R138" s="572"/>
    </row>
    <row r="139" spans="1:18" ht="13.5">
      <c r="A139" s="571">
        <v>9</v>
      </c>
      <c r="B139" s="571" t="s">
        <v>625</v>
      </c>
      <c r="C139" s="571" t="s">
        <v>601</v>
      </c>
      <c r="D139" s="578" t="s">
        <v>1106</v>
      </c>
      <c r="E139" s="572"/>
      <c r="F139" s="572"/>
      <c r="G139" s="572"/>
      <c r="H139" s="572"/>
      <c r="I139" s="572"/>
      <c r="J139" s="419"/>
      <c r="K139" s="572"/>
      <c r="L139" s="572"/>
      <c r="M139" s="572"/>
      <c r="N139" s="572"/>
      <c r="O139" s="572"/>
      <c r="P139" s="572"/>
      <c r="Q139" s="572"/>
      <c r="R139" s="572"/>
    </row>
    <row r="140" spans="1:18" ht="13.5">
      <c r="A140" s="571"/>
      <c r="B140" s="571"/>
      <c r="C140" s="571"/>
      <c r="D140" s="578"/>
      <c r="E140" s="572"/>
      <c r="F140" s="572"/>
      <c r="G140" s="572"/>
      <c r="H140" s="572"/>
      <c r="I140" s="572"/>
      <c r="J140" s="419"/>
      <c r="K140" s="572"/>
      <c r="L140" s="572"/>
      <c r="M140" s="572"/>
      <c r="N140" s="572"/>
      <c r="O140" s="572"/>
      <c r="P140" s="572"/>
      <c r="Q140" s="572"/>
      <c r="R140" s="572"/>
    </row>
    <row r="141" spans="1:18" ht="13.5">
      <c r="A141" s="571"/>
      <c r="B141" s="419"/>
      <c r="C141" s="478" t="s">
        <v>263</v>
      </c>
      <c r="D141" s="478" t="s">
        <v>264</v>
      </c>
      <c r="E141" s="478" t="s">
        <v>356</v>
      </c>
      <c r="F141" s="478" t="s">
        <v>265</v>
      </c>
      <c r="G141" s="478" t="s">
        <v>266</v>
      </c>
      <c r="H141" s="478" t="s">
        <v>262</v>
      </c>
      <c r="I141" s="478"/>
      <c r="J141" s="478" t="s">
        <v>569</v>
      </c>
      <c r="K141" s="478" t="s">
        <v>570</v>
      </c>
      <c r="L141" s="478" t="s">
        <v>962</v>
      </c>
      <c r="M141" s="574" t="s">
        <v>963</v>
      </c>
      <c r="N141" s="571" t="s">
        <v>964</v>
      </c>
      <c r="O141" s="571" t="s">
        <v>965</v>
      </c>
      <c r="P141" s="571"/>
      <c r="Q141" s="571"/>
      <c r="R141" s="571"/>
    </row>
    <row r="142" spans="1:18" ht="13.5">
      <c r="A142" s="571"/>
      <c r="B142" s="419"/>
      <c r="C142" s="571" t="s">
        <v>219</v>
      </c>
      <c r="D142" s="571" t="s">
        <v>219</v>
      </c>
      <c r="E142" s="571" t="s">
        <v>219</v>
      </c>
      <c r="F142" s="571" t="s">
        <v>219</v>
      </c>
      <c r="G142" s="571" t="s">
        <v>219</v>
      </c>
      <c r="H142" s="571" t="s">
        <v>219</v>
      </c>
      <c r="I142" s="571"/>
      <c r="J142" s="571" t="s">
        <v>72</v>
      </c>
      <c r="K142" s="571" t="s">
        <v>72</v>
      </c>
      <c r="L142" s="571" t="s">
        <v>72</v>
      </c>
      <c r="M142" s="571" t="s">
        <v>72</v>
      </c>
      <c r="N142" s="571" t="s">
        <v>72</v>
      </c>
      <c r="O142" s="571" t="s">
        <v>72</v>
      </c>
      <c r="P142" s="571"/>
      <c r="Q142" s="571"/>
      <c r="R142" s="571"/>
    </row>
    <row r="143" spans="1:18" ht="13.5">
      <c r="A143" s="571"/>
      <c r="B143" s="572"/>
      <c r="C143" s="571" t="s">
        <v>68</v>
      </c>
      <c r="D143" s="571" t="s">
        <v>68</v>
      </c>
      <c r="E143" s="571" t="s">
        <v>68</v>
      </c>
      <c r="F143" s="622"/>
      <c r="G143" s="622"/>
      <c r="H143" s="622"/>
      <c r="I143" s="571"/>
      <c r="J143" s="571" t="s">
        <v>73</v>
      </c>
      <c r="K143" s="571" t="s">
        <v>74</v>
      </c>
      <c r="L143" s="571" t="s">
        <v>75</v>
      </c>
      <c r="M143" s="571" t="s">
        <v>76</v>
      </c>
      <c r="N143" s="571" t="s">
        <v>77</v>
      </c>
      <c r="O143" s="571" t="s">
        <v>78</v>
      </c>
      <c r="P143" s="571"/>
      <c r="Q143" s="571"/>
      <c r="R143" s="571"/>
    </row>
    <row r="144" spans="1:18" ht="13.5">
      <c r="A144" s="571"/>
      <c r="B144" s="572"/>
      <c r="C144" s="571"/>
      <c r="D144" s="571"/>
      <c r="E144" s="571"/>
      <c r="F144" s="571" t="s">
        <v>69</v>
      </c>
      <c r="G144" s="571" t="s">
        <v>70</v>
      </c>
      <c r="H144" s="571" t="s">
        <v>71</v>
      </c>
      <c r="I144" s="571"/>
      <c r="J144" s="571"/>
      <c r="K144" s="571"/>
      <c r="L144" s="571"/>
      <c r="M144" s="571"/>
      <c r="N144" s="571"/>
      <c r="O144" s="571"/>
      <c r="P144" s="571"/>
      <c r="Q144" s="571"/>
      <c r="R144" s="571"/>
    </row>
    <row r="145" spans="1:18" ht="13.5">
      <c r="A145" s="571"/>
      <c r="B145" s="572"/>
      <c r="C145" s="571"/>
      <c r="D145" s="586"/>
      <c r="E145" s="586"/>
      <c r="F145" s="586"/>
      <c r="G145" s="571"/>
      <c r="H145" s="571"/>
      <c r="I145" s="621"/>
      <c r="J145" s="571"/>
      <c r="K145" s="571"/>
      <c r="L145" s="587"/>
      <c r="M145" s="571"/>
      <c r="N145" s="571"/>
      <c r="O145" s="582"/>
      <c r="P145" s="571"/>
      <c r="Q145" s="605"/>
      <c r="R145" s="587"/>
    </row>
    <row r="146" spans="1:18" ht="13.5">
      <c r="A146" s="571"/>
      <c r="B146" s="572" t="s">
        <v>628</v>
      </c>
      <c r="C146" s="588"/>
      <c r="D146" s="588"/>
      <c r="E146" s="588"/>
      <c r="F146" s="588"/>
      <c r="G146" s="588"/>
      <c r="H146" s="588"/>
      <c r="I146" s="621"/>
      <c r="J146" s="587">
        <f t="shared" ref="J146:O146" si="16">C146</f>
        <v>0</v>
      </c>
      <c r="K146" s="587">
        <f t="shared" si="16"/>
        <v>0</v>
      </c>
      <c r="L146" s="587">
        <f t="shared" si="16"/>
        <v>0</v>
      </c>
      <c r="M146" s="587">
        <f t="shared" si="16"/>
        <v>0</v>
      </c>
      <c r="N146" s="587">
        <f t="shared" si="16"/>
        <v>0</v>
      </c>
      <c r="O146" s="587">
        <f t="shared" si="16"/>
        <v>0</v>
      </c>
      <c r="P146" s="587"/>
      <c r="Q146" s="587"/>
      <c r="R146" s="587"/>
    </row>
    <row r="147" spans="1:18" ht="13.5">
      <c r="A147" s="571"/>
      <c r="B147" s="572" t="s">
        <v>629</v>
      </c>
      <c r="C147" s="588"/>
      <c r="D147" s="588"/>
      <c r="E147" s="588"/>
      <c r="F147" s="588"/>
      <c r="G147" s="588"/>
      <c r="H147" s="588"/>
      <c r="I147" s="621"/>
      <c r="J147" s="587">
        <f>J146+C147</f>
        <v>0</v>
      </c>
      <c r="K147" s="587">
        <f t="shared" ref="K147:K157" si="17">K146+D147</f>
        <v>0</v>
      </c>
      <c r="L147" s="587">
        <f t="shared" ref="L147:L157" si="18">L146+E147</f>
        <v>0</v>
      </c>
      <c r="M147" s="587">
        <f t="shared" ref="M147:M157" si="19">M146+F147</f>
        <v>0</v>
      </c>
      <c r="N147" s="587">
        <f t="shared" ref="N147:N157" si="20">N146+G147</f>
        <v>0</v>
      </c>
      <c r="O147" s="587">
        <f t="shared" ref="O147:O157" si="21">O146+H147</f>
        <v>0</v>
      </c>
      <c r="P147" s="587"/>
      <c r="Q147" s="587"/>
      <c r="R147" s="587"/>
    </row>
    <row r="148" spans="1:18" ht="13.5">
      <c r="A148" s="571"/>
      <c r="B148" s="572" t="s">
        <v>630</v>
      </c>
      <c r="C148" s="588"/>
      <c r="D148" s="588"/>
      <c r="E148" s="588"/>
      <c r="F148" s="588"/>
      <c r="G148" s="588"/>
      <c r="H148" s="588"/>
      <c r="I148" s="621"/>
      <c r="J148" s="587">
        <f t="shared" ref="J148:J157" si="22">J147+C148</f>
        <v>0</v>
      </c>
      <c r="K148" s="587">
        <f t="shared" si="17"/>
        <v>0</v>
      </c>
      <c r="L148" s="587">
        <f t="shared" si="18"/>
        <v>0</v>
      </c>
      <c r="M148" s="587">
        <f t="shared" si="19"/>
        <v>0</v>
      </c>
      <c r="N148" s="587">
        <f t="shared" si="20"/>
        <v>0</v>
      </c>
      <c r="O148" s="587">
        <f t="shared" si="21"/>
        <v>0</v>
      </c>
      <c r="P148" s="587"/>
      <c r="Q148" s="587"/>
      <c r="R148" s="587"/>
    </row>
    <row r="149" spans="1:18" ht="13.5">
      <c r="A149" s="571"/>
      <c r="B149" s="572" t="s">
        <v>631</v>
      </c>
      <c r="C149" s="588"/>
      <c r="D149" s="588"/>
      <c r="E149" s="588"/>
      <c r="F149" s="588"/>
      <c r="G149" s="588"/>
      <c r="H149" s="588"/>
      <c r="I149" s="621"/>
      <c r="J149" s="587">
        <f t="shared" si="22"/>
        <v>0</v>
      </c>
      <c r="K149" s="587">
        <f t="shared" si="17"/>
        <v>0</v>
      </c>
      <c r="L149" s="587">
        <f t="shared" si="18"/>
        <v>0</v>
      </c>
      <c r="M149" s="587">
        <f t="shared" si="19"/>
        <v>0</v>
      </c>
      <c r="N149" s="587">
        <f t="shared" si="20"/>
        <v>0</v>
      </c>
      <c r="O149" s="587">
        <f t="shared" si="21"/>
        <v>0</v>
      </c>
      <c r="P149" s="587"/>
      <c r="Q149" s="587"/>
      <c r="R149" s="587"/>
    </row>
    <row r="150" spans="1:18" ht="13.5">
      <c r="A150" s="571"/>
      <c r="B150" s="572" t="s">
        <v>626</v>
      </c>
      <c r="C150" s="588"/>
      <c r="D150" s="588"/>
      <c r="E150" s="588"/>
      <c r="F150" s="588"/>
      <c r="G150" s="588"/>
      <c r="H150" s="588"/>
      <c r="I150" s="621"/>
      <c r="J150" s="587">
        <f t="shared" si="22"/>
        <v>0</v>
      </c>
      <c r="K150" s="587">
        <f t="shared" si="17"/>
        <v>0</v>
      </c>
      <c r="L150" s="587">
        <f t="shared" si="18"/>
        <v>0</v>
      </c>
      <c r="M150" s="587">
        <f t="shared" si="19"/>
        <v>0</v>
      </c>
      <c r="N150" s="587">
        <f t="shared" si="20"/>
        <v>0</v>
      </c>
      <c r="O150" s="587">
        <f t="shared" si="21"/>
        <v>0</v>
      </c>
      <c r="P150" s="587"/>
      <c r="Q150" s="587"/>
      <c r="R150" s="587"/>
    </row>
    <row r="151" spans="1:18" ht="13.5">
      <c r="A151" s="571"/>
      <c r="B151" s="572" t="s">
        <v>632</v>
      </c>
      <c r="C151" s="588"/>
      <c r="D151" s="588"/>
      <c r="E151" s="588"/>
      <c r="F151" s="588"/>
      <c r="G151" s="588"/>
      <c r="H151" s="588"/>
      <c r="I151" s="621"/>
      <c r="J151" s="587">
        <f t="shared" si="22"/>
        <v>0</v>
      </c>
      <c r="K151" s="587">
        <f t="shared" si="17"/>
        <v>0</v>
      </c>
      <c r="L151" s="587">
        <f t="shared" si="18"/>
        <v>0</v>
      </c>
      <c r="M151" s="587">
        <f t="shared" si="19"/>
        <v>0</v>
      </c>
      <c r="N151" s="587">
        <f t="shared" si="20"/>
        <v>0</v>
      </c>
      <c r="O151" s="587">
        <f t="shared" si="21"/>
        <v>0</v>
      </c>
      <c r="P151" s="587"/>
      <c r="Q151" s="587"/>
      <c r="R151" s="587"/>
    </row>
    <row r="152" spans="1:18" ht="13.5">
      <c r="A152" s="571"/>
      <c r="B152" s="572" t="s">
        <v>633</v>
      </c>
      <c r="C152" s="588"/>
      <c r="D152" s="588"/>
      <c r="E152" s="588"/>
      <c r="F152" s="588"/>
      <c r="G152" s="588"/>
      <c r="H152" s="588"/>
      <c r="I152" s="621"/>
      <c r="J152" s="587">
        <f t="shared" si="22"/>
        <v>0</v>
      </c>
      <c r="K152" s="587">
        <f t="shared" si="17"/>
        <v>0</v>
      </c>
      <c r="L152" s="587">
        <f t="shared" si="18"/>
        <v>0</v>
      </c>
      <c r="M152" s="587">
        <f t="shared" si="19"/>
        <v>0</v>
      </c>
      <c r="N152" s="587">
        <f t="shared" si="20"/>
        <v>0</v>
      </c>
      <c r="O152" s="587">
        <f t="shared" si="21"/>
        <v>0</v>
      </c>
      <c r="P152" s="587"/>
      <c r="Q152" s="587"/>
      <c r="R152" s="587"/>
    </row>
    <row r="153" spans="1:18" ht="13.5">
      <c r="A153" s="571"/>
      <c r="B153" s="572" t="s">
        <v>634</v>
      </c>
      <c r="C153" s="588"/>
      <c r="D153" s="588"/>
      <c r="E153" s="588"/>
      <c r="F153" s="588"/>
      <c r="G153" s="588"/>
      <c r="H153" s="588"/>
      <c r="I153" s="621"/>
      <c r="J153" s="587">
        <f t="shared" si="22"/>
        <v>0</v>
      </c>
      <c r="K153" s="587">
        <f t="shared" si="17"/>
        <v>0</v>
      </c>
      <c r="L153" s="587">
        <f t="shared" si="18"/>
        <v>0</v>
      </c>
      <c r="M153" s="587">
        <f t="shared" si="19"/>
        <v>0</v>
      </c>
      <c r="N153" s="587">
        <f t="shared" si="20"/>
        <v>0</v>
      </c>
      <c r="O153" s="587">
        <f t="shared" si="21"/>
        <v>0</v>
      </c>
      <c r="P153" s="587"/>
      <c r="Q153" s="587"/>
      <c r="R153" s="587"/>
    </row>
    <row r="154" spans="1:18" ht="13.5">
      <c r="A154" s="571"/>
      <c r="B154" s="572" t="s">
        <v>635</v>
      </c>
      <c r="C154" s="588"/>
      <c r="D154" s="588"/>
      <c r="E154" s="588"/>
      <c r="F154" s="588"/>
      <c r="G154" s="588"/>
      <c r="H154" s="588"/>
      <c r="I154" s="621"/>
      <c r="J154" s="587">
        <f t="shared" si="22"/>
        <v>0</v>
      </c>
      <c r="K154" s="587">
        <f t="shared" si="17"/>
        <v>0</v>
      </c>
      <c r="L154" s="587">
        <f t="shared" si="18"/>
        <v>0</v>
      </c>
      <c r="M154" s="587">
        <f t="shared" si="19"/>
        <v>0</v>
      </c>
      <c r="N154" s="587">
        <f t="shared" si="20"/>
        <v>0</v>
      </c>
      <c r="O154" s="587">
        <f t="shared" si="21"/>
        <v>0</v>
      </c>
      <c r="P154" s="587"/>
      <c r="Q154" s="587"/>
      <c r="R154" s="587"/>
    </row>
    <row r="155" spans="1:18" ht="13.5">
      <c r="A155" s="571"/>
      <c r="B155" s="572" t="s">
        <v>636</v>
      </c>
      <c r="C155" s="588"/>
      <c r="D155" s="588"/>
      <c r="E155" s="588"/>
      <c r="F155" s="588"/>
      <c r="G155" s="588"/>
      <c r="H155" s="588"/>
      <c r="I155" s="621"/>
      <c r="J155" s="587">
        <f t="shared" si="22"/>
        <v>0</v>
      </c>
      <c r="K155" s="587">
        <f t="shared" si="17"/>
        <v>0</v>
      </c>
      <c r="L155" s="587">
        <f t="shared" si="18"/>
        <v>0</v>
      </c>
      <c r="M155" s="587">
        <f t="shared" si="19"/>
        <v>0</v>
      </c>
      <c r="N155" s="587">
        <f t="shared" si="20"/>
        <v>0</v>
      </c>
      <c r="O155" s="587">
        <f t="shared" si="21"/>
        <v>0</v>
      </c>
      <c r="P155" s="587"/>
      <c r="Q155" s="587"/>
      <c r="R155" s="587"/>
    </row>
    <row r="156" spans="1:18" ht="13.5">
      <c r="A156" s="571"/>
      <c r="B156" s="572" t="s">
        <v>637</v>
      </c>
      <c r="C156" s="588"/>
      <c r="D156" s="588"/>
      <c r="E156" s="588"/>
      <c r="F156" s="588"/>
      <c r="G156" s="588"/>
      <c r="H156" s="588"/>
      <c r="I156" s="621"/>
      <c r="J156" s="587">
        <f t="shared" si="22"/>
        <v>0</v>
      </c>
      <c r="K156" s="587">
        <f t="shared" si="17"/>
        <v>0</v>
      </c>
      <c r="L156" s="587">
        <f t="shared" si="18"/>
        <v>0</v>
      </c>
      <c r="M156" s="587">
        <f t="shared" si="19"/>
        <v>0</v>
      </c>
      <c r="N156" s="587">
        <f t="shared" si="20"/>
        <v>0</v>
      </c>
      <c r="O156" s="587">
        <f t="shared" si="21"/>
        <v>0</v>
      </c>
      <c r="P156" s="587"/>
      <c r="Q156" s="587"/>
      <c r="R156" s="587"/>
    </row>
    <row r="157" spans="1:18" ht="13.5">
      <c r="A157" s="571"/>
      <c r="B157" s="572" t="s">
        <v>638</v>
      </c>
      <c r="C157" s="588"/>
      <c r="D157" s="588"/>
      <c r="E157" s="588"/>
      <c r="F157" s="588"/>
      <c r="G157" s="588"/>
      <c r="H157" s="588"/>
      <c r="I157" s="621"/>
      <c r="J157" s="587">
        <f t="shared" si="22"/>
        <v>0</v>
      </c>
      <c r="K157" s="587">
        <f t="shared" si="17"/>
        <v>0</v>
      </c>
      <c r="L157" s="587">
        <f t="shared" si="18"/>
        <v>0</v>
      </c>
      <c r="M157" s="587">
        <f t="shared" si="19"/>
        <v>0</v>
      </c>
      <c r="N157" s="587">
        <f t="shared" si="20"/>
        <v>0</v>
      </c>
      <c r="O157" s="587">
        <f t="shared" si="21"/>
        <v>0</v>
      </c>
      <c r="P157" s="587"/>
      <c r="Q157" s="587"/>
      <c r="R157" s="587"/>
    </row>
    <row r="158" spans="1:18" ht="13.5">
      <c r="A158" s="571"/>
      <c r="B158" s="572" t="s">
        <v>850</v>
      </c>
      <c r="C158" s="587">
        <f t="shared" ref="C158:H158" si="23">SUM(C146:C157)</f>
        <v>0</v>
      </c>
      <c r="D158" s="587">
        <f t="shared" si="23"/>
        <v>0</v>
      </c>
      <c r="E158" s="587">
        <f t="shared" si="23"/>
        <v>0</v>
      </c>
      <c r="F158" s="587">
        <f t="shared" si="23"/>
        <v>0</v>
      </c>
      <c r="G158" s="587">
        <f t="shared" si="23"/>
        <v>0</v>
      </c>
      <c r="H158" s="587">
        <f t="shared" si="23"/>
        <v>0</v>
      </c>
      <c r="I158" s="587" t="s">
        <v>79</v>
      </c>
      <c r="J158" s="587">
        <f t="shared" ref="J158:O158" si="24">AVERAGE(J146:J157)</f>
        <v>0</v>
      </c>
      <c r="K158" s="587">
        <f t="shared" si="24"/>
        <v>0</v>
      </c>
      <c r="L158" s="587">
        <f t="shared" si="24"/>
        <v>0</v>
      </c>
      <c r="M158" s="587">
        <f t="shared" si="24"/>
        <v>0</v>
      </c>
      <c r="N158" s="587">
        <f t="shared" si="24"/>
        <v>0</v>
      </c>
      <c r="O158" s="587">
        <f t="shared" si="24"/>
        <v>0</v>
      </c>
      <c r="P158" s="587"/>
      <c r="Q158" s="587"/>
      <c r="R158" s="587"/>
    </row>
    <row r="159" spans="1:18" ht="13.5">
      <c r="A159" s="571"/>
      <c r="C159" s="572"/>
      <c r="D159" s="419"/>
      <c r="E159" s="419"/>
      <c r="F159" s="419"/>
      <c r="G159" s="419"/>
      <c r="H159" s="419"/>
      <c r="I159" s="419"/>
      <c r="J159" s="419"/>
      <c r="K159" s="419"/>
      <c r="L159" s="589"/>
      <c r="M159" s="572"/>
      <c r="N159" s="572"/>
      <c r="O159" s="572"/>
      <c r="P159" s="419"/>
      <c r="Q159" s="589"/>
      <c r="R159" s="572"/>
    </row>
    <row r="160" spans="1:18" ht="15.75">
      <c r="A160" s="571" t="s">
        <v>759</v>
      </c>
      <c r="B160" s="572" t="s">
        <v>81</v>
      </c>
      <c r="C160" s="572"/>
      <c r="D160" s="419"/>
      <c r="E160" s="419"/>
      <c r="F160" s="419"/>
      <c r="G160" s="419"/>
      <c r="H160" s="419"/>
      <c r="I160" s="419"/>
      <c r="J160" s="572"/>
      <c r="K160" s="623" t="s">
        <v>80</v>
      </c>
      <c r="L160" s="419"/>
      <c r="M160" s="587">
        <f>SUM(J158:O158)</f>
        <v>0</v>
      </c>
      <c r="N160" s="587"/>
      <c r="O160" s="1767" t="s">
        <v>1107</v>
      </c>
      <c r="P160" s="572"/>
      <c r="Q160" s="589"/>
      <c r="R160" s="587"/>
    </row>
    <row r="161" spans="1:18" ht="13.5">
      <c r="A161" s="571"/>
      <c r="B161" s="572"/>
      <c r="C161" s="572"/>
      <c r="D161" s="419"/>
      <c r="E161" s="419"/>
      <c r="F161" s="419"/>
      <c r="G161" s="419"/>
      <c r="H161" s="419"/>
      <c r="I161" s="419"/>
      <c r="J161" s="572"/>
      <c r="K161" s="572"/>
      <c r="L161" s="587"/>
      <c r="M161" s="572"/>
      <c r="N161" s="419"/>
      <c r="O161" s="572"/>
      <c r="P161" s="572"/>
      <c r="Q161" s="572"/>
      <c r="R161" s="572"/>
    </row>
    <row r="162" spans="1:18" ht="13.5">
      <c r="A162" s="571"/>
      <c r="B162" s="571"/>
      <c r="C162" s="571"/>
      <c r="D162" s="572"/>
      <c r="E162" s="572"/>
      <c r="F162" s="419"/>
      <c r="G162" s="572"/>
      <c r="H162" s="572"/>
      <c r="I162" s="587"/>
      <c r="J162" s="572"/>
      <c r="K162" s="419"/>
      <c r="L162" s="572"/>
      <c r="M162" s="572"/>
      <c r="N162" s="590"/>
      <c r="O162" s="590"/>
      <c r="P162" s="572"/>
      <c r="Q162" s="572"/>
      <c r="R162" s="590"/>
    </row>
    <row r="163" spans="1:18" ht="13.5">
      <c r="A163" s="420"/>
      <c r="B163" s="571"/>
      <c r="C163" s="571"/>
      <c r="D163" s="593"/>
      <c r="E163" s="571"/>
      <c r="F163" s="419"/>
      <c r="G163" s="571"/>
      <c r="H163" s="587"/>
      <c r="I163" s="575"/>
      <c r="J163" s="608"/>
      <c r="K163" s="572"/>
      <c r="L163" s="572"/>
      <c r="M163" s="572"/>
      <c r="N163" s="572"/>
      <c r="O163" s="572"/>
      <c r="P163" s="572"/>
      <c r="Q163" s="572"/>
      <c r="R163" s="572"/>
    </row>
    <row r="164" spans="1:18" ht="13.5">
      <c r="A164" s="571"/>
      <c r="B164" s="571"/>
      <c r="C164" s="571"/>
      <c r="D164" s="593"/>
      <c r="E164" s="571"/>
      <c r="F164" s="587"/>
      <c r="G164" s="571"/>
      <c r="H164" s="587"/>
      <c r="I164" s="575"/>
      <c r="J164" s="608"/>
      <c r="K164" s="572"/>
      <c r="L164" s="572"/>
      <c r="M164" s="572"/>
      <c r="N164" s="572"/>
      <c r="O164" s="572"/>
      <c r="P164" s="572"/>
      <c r="Q164" s="572"/>
      <c r="R164" s="572"/>
    </row>
    <row r="165" spans="1:18" ht="13.5">
      <c r="A165" s="571">
        <v>10</v>
      </c>
      <c r="B165" s="571" t="s">
        <v>626</v>
      </c>
      <c r="C165" s="571" t="s">
        <v>601</v>
      </c>
      <c r="D165" s="578" t="s">
        <v>460</v>
      </c>
      <c r="E165" s="572"/>
      <c r="F165" s="572"/>
      <c r="G165" s="572"/>
      <c r="H165" s="572"/>
      <c r="I165" s="575"/>
      <c r="J165" s="576"/>
      <c r="K165" s="572"/>
      <c r="L165" s="572"/>
      <c r="M165" s="572"/>
      <c r="N165" s="572"/>
      <c r="O165" s="572"/>
      <c r="P165" s="572"/>
      <c r="Q165" s="576"/>
      <c r="R165" s="617"/>
    </row>
    <row r="166" spans="1:18" ht="13.5">
      <c r="A166" s="571"/>
      <c r="B166" s="571"/>
      <c r="C166" s="571"/>
      <c r="D166" s="594"/>
      <c r="E166" s="572" t="s">
        <v>961</v>
      </c>
      <c r="F166" s="572"/>
      <c r="G166" s="572"/>
      <c r="H166" s="572"/>
      <c r="I166" s="576"/>
      <c r="J166" s="576"/>
      <c r="K166" s="572"/>
      <c r="L166" s="572"/>
      <c r="M166" s="572"/>
      <c r="N166" s="572"/>
      <c r="O166" s="572"/>
      <c r="P166" s="572"/>
      <c r="Q166" s="572"/>
      <c r="R166" s="572"/>
    </row>
    <row r="167" spans="1:18" ht="13.5">
      <c r="A167" s="571"/>
      <c r="B167" s="571"/>
      <c r="C167" s="571"/>
      <c r="D167" s="600"/>
      <c r="E167" s="593"/>
      <c r="F167" s="572"/>
      <c r="G167" s="572"/>
      <c r="H167" s="572"/>
      <c r="I167" s="576"/>
      <c r="J167" s="576"/>
      <c r="K167" s="572"/>
      <c r="L167" s="572"/>
      <c r="M167" s="572"/>
      <c r="N167" s="572"/>
      <c r="O167" s="572"/>
      <c r="P167" s="572"/>
      <c r="Q167" s="572"/>
      <c r="R167" s="572"/>
    </row>
    <row r="168" spans="1:18" ht="13.5">
      <c r="A168" s="571"/>
      <c r="B168" s="571"/>
      <c r="C168" s="571"/>
      <c r="D168" s="594"/>
      <c r="E168" s="572"/>
      <c r="F168" s="572"/>
      <c r="G168" s="572"/>
      <c r="H168" s="572"/>
      <c r="I168" s="576"/>
      <c r="J168" s="576"/>
      <c r="K168" s="572"/>
      <c r="L168" s="572"/>
      <c r="M168" s="572"/>
      <c r="N168" s="572"/>
      <c r="O168" s="572"/>
      <c r="P168" s="572"/>
      <c r="Q168" s="572"/>
      <c r="R168" s="572"/>
    </row>
    <row r="169" spans="1:18" ht="13.5">
      <c r="A169" s="571">
        <v>11</v>
      </c>
      <c r="B169" s="571" t="s">
        <v>627</v>
      </c>
      <c r="C169" s="571" t="s">
        <v>601</v>
      </c>
      <c r="D169" s="601" t="s">
        <v>1096</v>
      </c>
      <c r="E169" s="572"/>
      <c r="F169" s="572"/>
      <c r="G169" s="572"/>
      <c r="H169" s="572"/>
      <c r="I169" s="572"/>
      <c r="J169" s="572"/>
      <c r="K169" s="572"/>
      <c r="L169" s="572"/>
      <c r="M169" s="572"/>
      <c r="N169" s="572"/>
      <c r="O169" s="572"/>
      <c r="P169" s="572"/>
      <c r="Q169" s="572"/>
      <c r="R169" s="572"/>
    </row>
    <row r="170" spans="1:18" ht="13.5">
      <c r="A170" s="571"/>
      <c r="B170" s="571"/>
      <c r="C170" s="571"/>
      <c r="D170" s="618">
        <v>0</v>
      </c>
      <c r="E170" s="572"/>
      <c r="F170" s="572"/>
      <c r="G170" s="572"/>
      <c r="H170" s="572"/>
      <c r="I170" s="572"/>
      <c r="J170" s="572"/>
      <c r="K170" s="572"/>
      <c r="L170" s="572"/>
      <c r="M170" s="572"/>
      <c r="N170" s="572"/>
      <c r="O170" s="572"/>
      <c r="P170" s="572"/>
      <c r="Q170" s="572"/>
      <c r="R170" s="572"/>
    </row>
    <row r="171" spans="1:18" ht="13.5">
      <c r="A171" s="571"/>
      <c r="B171" s="571"/>
      <c r="C171" s="571"/>
      <c r="D171" s="572"/>
      <c r="E171" s="572"/>
      <c r="F171" s="572"/>
      <c r="G171" s="572"/>
      <c r="H171" s="572"/>
      <c r="I171" s="572"/>
      <c r="J171" s="572"/>
      <c r="K171" s="572"/>
      <c r="L171" s="572"/>
      <c r="M171" s="572"/>
      <c r="N171" s="572"/>
      <c r="O171" s="572"/>
      <c r="P171" s="572"/>
      <c r="Q171" s="572"/>
      <c r="R171" s="572"/>
    </row>
    <row r="172" spans="1:18" ht="13.5">
      <c r="A172" s="571"/>
      <c r="B172" s="572"/>
      <c r="C172" s="571"/>
      <c r="D172" s="593"/>
      <c r="E172" s="572"/>
      <c r="F172" s="572"/>
      <c r="G172" s="572"/>
      <c r="H172" s="572"/>
      <c r="I172" s="572"/>
      <c r="J172" s="572"/>
      <c r="K172" s="572"/>
      <c r="L172" s="572"/>
      <c r="M172" s="572"/>
      <c r="N172" s="572"/>
      <c r="O172" s="572"/>
      <c r="P172" s="572"/>
      <c r="Q172" s="572"/>
      <c r="R172" s="572"/>
    </row>
    <row r="173" spans="1:18" ht="13.5">
      <c r="A173" s="571"/>
      <c r="B173" s="571"/>
      <c r="C173" s="571"/>
      <c r="D173" s="572"/>
      <c r="E173" s="572"/>
      <c r="F173" s="572"/>
      <c r="G173" s="572"/>
      <c r="H173" s="572"/>
      <c r="I173" s="572"/>
      <c r="J173" s="572"/>
      <c r="K173" s="572"/>
      <c r="L173" s="572"/>
      <c r="M173" s="572"/>
      <c r="N173" s="572"/>
      <c r="O173" s="572"/>
      <c r="P173" s="572"/>
      <c r="Q173" s="572"/>
      <c r="R173" s="572"/>
    </row>
    <row r="174" spans="1:18" ht="13.5">
      <c r="A174" s="571"/>
      <c r="B174" s="571"/>
      <c r="C174" s="571"/>
      <c r="D174" s="572"/>
      <c r="E174" s="572"/>
      <c r="F174" s="572"/>
      <c r="G174" s="572"/>
      <c r="H174" s="572"/>
      <c r="I174" s="572"/>
      <c r="J174" s="572"/>
      <c r="K174" s="572"/>
      <c r="L174" s="572"/>
      <c r="M174" s="572"/>
      <c r="N174" s="572"/>
      <c r="O174" s="572"/>
      <c r="P174" s="572"/>
      <c r="Q174" s="572"/>
      <c r="R174" s="572"/>
    </row>
    <row r="175" spans="1:18" ht="13.5">
      <c r="A175" s="571"/>
      <c r="B175" s="571"/>
      <c r="C175" s="571"/>
      <c r="D175" s="572"/>
      <c r="E175" s="572"/>
      <c r="F175" s="572"/>
      <c r="G175" s="572"/>
      <c r="H175" s="572"/>
      <c r="I175" s="572"/>
      <c r="J175" s="572"/>
      <c r="K175" s="572"/>
      <c r="L175" s="572"/>
      <c r="M175" s="572"/>
      <c r="N175" s="572"/>
      <c r="O175" s="572"/>
      <c r="P175" s="572"/>
      <c r="Q175" s="572"/>
      <c r="R175" s="572"/>
    </row>
    <row r="176" spans="1:18" ht="13.5">
      <c r="A176" s="571"/>
      <c r="B176" s="571"/>
      <c r="C176" s="571"/>
      <c r="D176" s="572"/>
      <c r="E176" s="572"/>
      <c r="F176" s="572"/>
      <c r="G176" s="572"/>
      <c r="H176" s="572"/>
      <c r="I176" s="572"/>
      <c r="J176" s="572"/>
      <c r="K176" s="572"/>
      <c r="L176" s="572"/>
      <c r="M176" s="572"/>
      <c r="N176" s="572"/>
      <c r="O176" s="572"/>
      <c r="P176" s="572"/>
      <c r="Q176" s="572"/>
      <c r="R176" s="572"/>
    </row>
    <row r="177" spans="1:18" ht="13.5">
      <c r="A177" s="571"/>
      <c r="B177" s="571"/>
      <c r="C177" s="571"/>
      <c r="D177" s="572"/>
      <c r="E177" s="572"/>
      <c r="F177" s="572"/>
      <c r="G177" s="572"/>
      <c r="H177" s="572"/>
      <c r="I177" s="572"/>
      <c r="J177" s="572"/>
      <c r="K177" s="572"/>
      <c r="L177" s="572"/>
      <c r="M177" s="572"/>
      <c r="N177" s="572"/>
      <c r="O177" s="572"/>
      <c r="P177" s="572"/>
      <c r="Q177" s="572"/>
      <c r="R177" s="572"/>
    </row>
    <row r="178" spans="1:18" ht="13.5">
      <c r="A178" s="571"/>
      <c r="B178" s="571"/>
      <c r="C178" s="571"/>
      <c r="D178" s="572"/>
      <c r="E178" s="572"/>
      <c r="F178" s="572"/>
      <c r="G178" s="572"/>
      <c r="H178" s="572"/>
      <c r="I178" s="572"/>
      <c r="J178" s="572"/>
      <c r="K178" s="572"/>
      <c r="L178" s="572"/>
      <c r="M178" s="572"/>
      <c r="N178" s="572"/>
      <c r="O178" s="572"/>
      <c r="P178" s="572"/>
      <c r="Q178" s="572"/>
      <c r="R178" s="572"/>
    </row>
    <row r="179" spans="1:18" ht="13.5">
      <c r="A179" s="571"/>
      <c r="B179" s="571"/>
      <c r="C179" s="571"/>
      <c r="D179" s="572"/>
      <c r="E179" s="572"/>
      <c r="F179" s="572"/>
      <c r="G179" s="572"/>
      <c r="H179" s="572"/>
      <c r="I179" s="572"/>
      <c r="J179" s="572"/>
      <c r="K179" s="572"/>
      <c r="L179" s="572"/>
      <c r="M179" s="572"/>
      <c r="N179" s="572"/>
      <c r="O179" s="572"/>
      <c r="P179" s="572"/>
      <c r="Q179" s="572"/>
      <c r="R179" s="572"/>
    </row>
    <row r="180" spans="1:18" ht="13.5">
      <c r="A180" s="571"/>
      <c r="B180" s="571"/>
      <c r="C180" s="571"/>
      <c r="D180" s="572"/>
      <c r="E180" s="572"/>
      <c r="F180" s="572"/>
      <c r="G180" s="572"/>
      <c r="H180" s="572"/>
      <c r="I180" s="572"/>
      <c r="J180" s="572"/>
      <c r="K180" s="572"/>
      <c r="L180" s="572"/>
      <c r="M180" s="572"/>
      <c r="N180" s="572"/>
      <c r="O180" s="572"/>
      <c r="P180" s="572"/>
      <c r="Q180" s="572"/>
      <c r="R180" s="572"/>
    </row>
    <row r="181" spans="1:18" ht="13.5">
      <c r="A181" s="571"/>
      <c r="B181" s="571"/>
      <c r="C181" s="571"/>
      <c r="D181" s="572"/>
      <c r="E181" s="572"/>
      <c r="F181" s="572"/>
      <c r="G181" s="572"/>
      <c r="H181" s="572"/>
      <c r="I181" s="572"/>
      <c r="J181" s="572"/>
      <c r="K181" s="572"/>
      <c r="L181" s="572"/>
      <c r="M181" s="572"/>
      <c r="N181" s="572"/>
      <c r="O181" s="572"/>
      <c r="P181" s="572"/>
      <c r="Q181" s="572"/>
      <c r="R181" s="572"/>
    </row>
    <row r="182" spans="1:18" ht="13.5">
      <c r="A182" s="571"/>
      <c r="B182" s="571"/>
      <c r="C182" s="571"/>
      <c r="D182" s="572"/>
      <c r="E182" s="572"/>
      <c r="F182" s="572"/>
      <c r="G182" s="572"/>
      <c r="H182" s="572"/>
      <c r="I182" s="572"/>
      <c r="J182" s="572"/>
      <c r="K182" s="572"/>
      <c r="L182" s="572"/>
      <c r="M182" s="572"/>
      <c r="N182" s="572"/>
      <c r="O182" s="572"/>
      <c r="P182" s="572"/>
      <c r="Q182" s="572"/>
      <c r="R182" s="572"/>
    </row>
    <row r="183" spans="1:18" ht="13.5">
      <c r="A183" s="571"/>
      <c r="B183" s="571"/>
      <c r="C183" s="571"/>
      <c r="D183" s="572"/>
      <c r="E183" s="572"/>
      <c r="F183" s="572"/>
      <c r="G183" s="572"/>
      <c r="H183" s="572"/>
      <c r="I183" s="572"/>
      <c r="J183" s="572"/>
      <c r="K183" s="572"/>
      <c r="L183" s="572"/>
      <c r="M183" s="572"/>
      <c r="N183" s="572"/>
      <c r="O183" s="572"/>
      <c r="P183" s="572"/>
      <c r="Q183" s="572"/>
      <c r="R183" s="572"/>
    </row>
    <row r="184" spans="1:18" ht="13.5">
      <c r="A184" s="571"/>
      <c r="B184" s="571"/>
      <c r="C184" s="571"/>
      <c r="D184" s="572"/>
      <c r="E184" s="572"/>
      <c r="F184" s="572"/>
      <c r="G184" s="572"/>
      <c r="H184" s="572"/>
      <c r="I184" s="572"/>
      <c r="J184" s="572"/>
      <c r="K184" s="572"/>
      <c r="L184" s="572"/>
      <c r="M184" s="572"/>
      <c r="N184" s="572"/>
      <c r="O184" s="572"/>
      <c r="P184" s="572"/>
      <c r="Q184" s="572"/>
      <c r="R184" s="572"/>
    </row>
    <row r="185" spans="1:18" ht="13.5">
      <c r="A185" s="571"/>
      <c r="B185" s="571"/>
      <c r="C185" s="571"/>
      <c r="D185" s="572"/>
      <c r="E185" s="572"/>
      <c r="F185" s="572"/>
      <c r="G185" s="572"/>
      <c r="H185" s="572"/>
      <c r="I185" s="572"/>
      <c r="J185" s="572"/>
      <c r="K185" s="572"/>
      <c r="L185" s="572"/>
      <c r="M185" s="572"/>
      <c r="N185" s="572"/>
      <c r="O185" s="572"/>
      <c r="P185" s="572"/>
      <c r="Q185" s="572"/>
      <c r="R185" s="572"/>
    </row>
    <row r="186" spans="1:18" ht="13.5">
      <c r="A186" s="571"/>
      <c r="B186" s="571"/>
      <c r="C186" s="571"/>
      <c r="D186" s="572"/>
      <c r="E186" s="572"/>
      <c r="F186" s="572"/>
      <c r="G186" s="572"/>
      <c r="H186" s="572"/>
      <c r="I186" s="572"/>
      <c r="J186" s="572"/>
      <c r="K186" s="572"/>
      <c r="L186" s="572"/>
      <c r="M186" s="572"/>
      <c r="N186" s="572"/>
      <c r="O186" s="572"/>
      <c r="P186" s="572"/>
      <c r="Q186" s="572"/>
      <c r="R186" s="572"/>
    </row>
    <row r="187" spans="1:18" ht="13.5">
      <c r="A187" s="571"/>
      <c r="B187" s="571"/>
      <c r="C187" s="571"/>
      <c r="D187" s="572"/>
      <c r="E187" s="572"/>
      <c r="F187" s="572"/>
      <c r="G187" s="572"/>
      <c r="H187" s="572"/>
      <c r="I187" s="572"/>
      <c r="J187" s="572"/>
      <c r="K187" s="572"/>
      <c r="L187" s="572"/>
      <c r="M187" s="572"/>
      <c r="N187" s="572"/>
      <c r="O187" s="572"/>
      <c r="P187" s="572"/>
      <c r="Q187" s="572"/>
      <c r="R187" s="572"/>
    </row>
    <row r="188" spans="1:18" ht="15.75">
      <c r="A188" s="619"/>
      <c r="B188" s="571"/>
      <c r="C188" s="571"/>
      <c r="D188" s="572"/>
      <c r="E188" s="572"/>
      <c r="F188" s="572"/>
      <c r="G188" s="572"/>
      <c r="H188" s="572"/>
      <c r="I188" s="572"/>
      <c r="J188" s="572"/>
      <c r="K188" s="572"/>
      <c r="L188" s="572"/>
      <c r="M188" s="572"/>
      <c r="N188" s="572"/>
      <c r="O188" s="572"/>
      <c r="P188" s="572"/>
      <c r="Q188" s="572"/>
      <c r="R188" s="572"/>
    </row>
    <row r="189" spans="1:18" ht="15.75">
      <c r="A189" s="619"/>
      <c r="B189" s="571"/>
      <c r="C189" s="571"/>
      <c r="D189" s="572"/>
      <c r="E189" s="572"/>
      <c r="F189" s="572"/>
      <c r="G189" s="572"/>
      <c r="H189" s="572"/>
      <c r="I189" s="572"/>
      <c r="J189" s="572"/>
      <c r="K189" s="572"/>
      <c r="L189" s="572"/>
      <c r="M189" s="572"/>
      <c r="N189" s="572"/>
      <c r="O189" s="572"/>
      <c r="P189" s="572"/>
      <c r="Q189" s="572"/>
      <c r="R189" s="572"/>
    </row>
    <row r="190" spans="1:18" ht="15.75">
      <c r="A190" s="619"/>
      <c r="B190" s="619"/>
      <c r="C190" s="619"/>
      <c r="D190" s="620"/>
      <c r="E190" s="620"/>
      <c r="F190" s="620"/>
      <c r="G190" s="620"/>
      <c r="H190" s="620"/>
      <c r="I190" s="620"/>
      <c r="J190" s="620"/>
      <c r="K190" s="620"/>
      <c r="L190" s="620"/>
      <c r="M190" s="620"/>
      <c r="N190" s="620"/>
      <c r="O190" s="620"/>
      <c r="P190" s="620"/>
      <c r="Q190" s="620"/>
      <c r="R190" s="620"/>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zoomScaleNormal="100" zoomScaleSheetLayoutView="75" workbookViewId="0">
      <selection activeCell="F27" sqref="F27"/>
    </sheetView>
  </sheetViews>
  <sheetFormatPr defaultColWidth="9.140625" defaultRowHeight="12.75"/>
  <cols>
    <col min="1" max="1" width="7" style="659" customWidth="1"/>
    <col min="2" max="2" width="18.140625" style="418" customWidth="1"/>
    <col min="3" max="3" width="13.5703125" style="659" customWidth="1"/>
    <col min="4" max="4" width="11.5703125" style="418" customWidth="1"/>
    <col min="5" max="5" width="17" style="418" customWidth="1"/>
    <col min="6" max="6" width="24" style="184" customWidth="1"/>
    <col min="7" max="7" width="10.7109375" style="418" customWidth="1"/>
    <col min="8" max="8" width="17.42578125" style="418" customWidth="1"/>
    <col min="9" max="9" width="25.140625" style="184" customWidth="1"/>
    <col min="10" max="12" width="11.5703125" style="418" bestFit="1" customWidth="1"/>
    <col min="13" max="13" width="10.85546875" style="418" bestFit="1" customWidth="1"/>
    <col min="14" max="16384" width="9.140625" style="418"/>
  </cols>
  <sheetData>
    <row r="1" spans="1:13" ht="18">
      <c r="A1" s="1980" t="s">
        <v>447</v>
      </c>
      <c r="B1" s="1980"/>
      <c r="C1" s="1980"/>
      <c r="D1" s="1980"/>
      <c r="E1" s="1980"/>
      <c r="F1" s="1980"/>
      <c r="G1" s="1980"/>
      <c r="H1" s="1980"/>
      <c r="I1" s="1980"/>
      <c r="J1" s="1980"/>
      <c r="K1" s="1980"/>
      <c r="L1" s="1980"/>
      <c r="M1"/>
    </row>
    <row r="2" spans="1:13" ht="10.5" customHeight="1">
      <c r="B2" s="660"/>
      <c r="C2" s="661"/>
      <c r="D2" s="661"/>
      <c r="E2" s="661"/>
      <c r="F2" s="661"/>
      <c r="G2" s="661"/>
      <c r="H2" s="661"/>
      <c r="I2" s="661"/>
      <c r="M2"/>
    </row>
    <row r="3" spans="1:13" ht="18.75" customHeight="1">
      <c r="A3" s="2021" t="s">
        <v>484</v>
      </c>
      <c r="B3" s="2021"/>
      <c r="C3" s="2021"/>
      <c r="D3" s="2021"/>
      <c r="E3" s="2021"/>
      <c r="F3" s="2021"/>
      <c r="G3" s="2021"/>
      <c r="H3" s="2021"/>
      <c r="I3" s="2021"/>
      <c r="J3" s="2021"/>
      <c r="K3" s="2021"/>
      <c r="L3" s="2021"/>
      <c r="M3"/>
    </row>
    <row r="4" spans="1:13" ht="13.5" thickBot="1">
      <c r="A4" s="659" t="s">
        <v>485</v>
      </c>
      <c r="C4" s="418" t="s">
        <v>538</v>
      </c>
      <c r="M4"/>
    </row>
    <row r="5" spans="1:13" ht="31.5">
      <c r="I5" s="1390" t="s">
        <v>474</v>
      </c>
      <c r="J5" s="1391" t="s">
        <v>973</v>
      </c>
      <c r="K5" s="1391" t="s">
        <v>437</v>
      </c>
      <c r="L5" s="1392" t="s">
        <v>438</v>
      </c>
    </row>
    <row r="6" spans="1:13">
      <c r="I6" s="665"/>
      <c r="J6" s="665"/>
      <c r="K6" s="665"/>
      <c r="L6" s="2"/>
    </row>
    <row r="7" spans="1:13">
      <c r="B7" s="662" t="s">
        <v>539</v>
      </c>
      <c r="C7" s="663"/>
      <c r="I7" s="665"/>
      <c r="J7" s="665"/>
      <c r="K7" s="665"/>
      <c r="L7" s="2"/>
    </row>
    <row r="8" spans="1:13">
      <c r="A8" s="659">
        <v>1</v>
      </c>
      <c r="B8" s="659" t="s">
        <v>761</v>
      </c>
      <c r="C8" s="659">
        <f>+'ATT H-1 '!A275</f>
        <v>169</v>
      </c>
      <c r="D8" s="663" t="s">
        <v>940</v>
      </c>
      <c r="F8" s="664"/>
      <c r="G8" s="663"/>
      <c r="H8" s="663"/>
      <c r="I8" s="1393">
        <f>+'ATT H-1 '!H275</f>
        <v>0.12757445221613131</v>
      </c>
      <c r="J8" s="1393">
        <f>+'ATT H-1 '!J275</f>
        <v>0.11033443167086478</v>
      </c>
      <c r="K8" s="1393">
        <f>+'ATT H-1 '!K275</f>
        <v>0.22349704302085505</v>
      </c>
      <c r="L8" s="1393">
        <f>+'ATT H-1 '!L275</f>
        <v>0.14793950636456368</v>
      </c>
    </row>
    <row r="9" spans="1:13">
      <c r="A9" s="659">
        <v>2</v>
      </c>
      <c r="B9" s="659" t="s">
        <v>851</v>
      </c>
      <c r="C9" s="659">
        <f>+'ATT H-1 '!A284</f>
        <v>176</v>
      </c>
      <c r="D9" s="663" t="s">
        <v>938</v>
      </c>
      <c r="F9" s="664"/>
      <c r="I9" s="1393">
        <f>+'ATT H-1 '!H284</f>
        <v>0.13333872505739394</v>
      </c>
      <c r="J9" s="1393">
        <f>+'ATT H-1 '!J284</f>
        <v>0.11607844701357846</v>
      </c>
      <c r="K9" s="1393">
        <f>+'ATT H-1 '!K284</f>
        <v>0.22966459907754114</v>
      </c>
      <c r="L9" s="1393">
        <f>+'ATT H-1 '!L284</f>
        <v>0.15410706242124983</v>
      </c>
    </row>
    <row r="10" spans="1:13">
      <c r="A10" s="659">
        <v>3</v>
      </c>
      <c r="B10" s="659" t="s">
        <v>742</v>
      </c>
      <c r="D10" s="418" t="s">
        <v>540</v>
      </c>
      <c r="F10" s="664"/>
      <c r="I10" s="1393">
        <f>+I9-I8</f>
        <v>5.7642728412626298E-3</v>
      </c>
      <c r="J10" s="1393">
        <f>+J9-J8</f>
        <v>5.744015342713682E-3</v>
      </c>
      <c r="K10" s="1393">
        <f>+K9-K8</f>
        <v>6.167556056686091E-3</v>
      </c>
      <c r="L10" s="1393">
        <f>+L9-L8</f>
        <v>6.1675560566861465E-3</v>
      </c>
    </row>
    <row r="11" spans="1:13">
      <c r="B11" s="662" t="s">
        <v>549</v>
      </c>
      <c r="F11" s="664"/>
      <c r="I11" s="1393"/>
      <c r="J11" s="1393"/>
      <c r="K11" s="1393"/>
      <c r="L11" s="1393"/>
    </row>
    <row r="12" spans="1:13">
      <c r="A12" s="659">
        <v>4</v>
      </c>
      <c r="B12" s="659" t="s">
        <v>762</v>
      </c>
      <c r="C12" s="659">
        <f>+'ATT H-1 '!A276</f>
        <v>170</v>
      </c>
      <c r="D12" s="663" t="s">
        <v>941</v>
      </c>
      <c r="F12" s="664"/>
      <c r="I12" s="1393">
        <f>+'ATT H-1 '!H276</f>
        <v>4.9906363472519671E-2</v>
      </c>
      <c r="J12" s="1393">
        <f>+'ATT H-1 '!J276</f>
        <v>3.2939293434342064E-2</v>
      </c>
      <c r="K12" s="1393">
        <f>+'ATT H-1 '!K276</f>
        <v>0.14039509688935067</v>
      </c>
      <c r="L12" s="1393">
        <f>+'ATT H-1 '!L276</f>
        <v>6.483756023305931E-2</v>
      </c>
    </row>
    <row r="13" spans="1:13">
      <c r="B13" s="659"/>
      <c r="D13" s="663"/>
      <c r="F13" s="664"/>
      <c r="M13"/>
    </row>
    <row r="14" spans="1:13">
      <c r="B14" s="665" t="s">
        <v>550</v>
      </c>
      <c r="M14"/>
    </row>
    <row r="15" spans="1:13">
      <c r="B15" s="665" t="s">
        <v>551</v>
      </c>
      <c r="C15" s="674"/>
      <c r="D15" s="665"/>
      <c r="E15" s="665"/>
      <c r="F15" s="664"/>
      <c r="G15" s="665"/>
      <c r="H15" s="665"/>
      <c r="I15" s="664"/>
      <c r="J15" s="665"/>
      <c r="K15" s="665"/>
      <c r="L15" s="665"/>
      <c r="M15"/>
    </row>
    <row r="16" spans="1:13">
      <c r="B16" s="666"/>
      <c r="C16" s="674"/>
      <c r="D16" s="669"/>
      <c r="E16" s="669"/>
      <c r="F16" s="707"/>
      <c r="G16" s="669"/>
      <c r="H16" s="669"/>
      <c r="I16" s="707"/>
      <c r="J16" s="665"/>
      <c r="K16" s="665"/>
      <c r="L16" s="665"/>
      <c r="M16"/>
    </row>
    <row r="17" spans="1:13">
      <c r="C17" s="674"/>
      <c r="F17" s="707"/>
      <c r="G17" s="669"/>
      <c r="H17" s="669"/>
      <c r="J17" s="665"/>
      <c r="K17" s="665"/>
      <c r="L17" s="665"/>
      <c r="M17"/>
    </row>
    <row r="18" spans="1:13">
      <c r="C18" s="674"/>
      <c r="D18" s="669" t="s">
        <v>471</v>
      </c>
      <c r="E18" s="669"/>
      <c r="F18" s="707"/>
      <c r="G18" s="669"/>
      <c r="H18" s="669"/>
      <c r="I18" s="669" t="s">
        <v>778</v>
      </c>
      <c r="J18" s="665"/>
      <c r="K18" s="665"/>
      <c r="L18" s="665"/>
      <c r="M18"/>
    </row>
    <row r="19" spans="1:13">
      <c r="B19" s="665"/>
      <c r="C19" s="674"/>
      <c r="D19" s="669" t="s">
        <v>557</v>
      </c>
      <c r="E19" s="669"/>
      <c r="F19" s="707"/>
      <c r="G19" s="669"/>
      <c r="H19" s="669"/>
      <c r="I19" s="669" t="s">
        <v>776</v>
      </c>
      <c r="J19" s="665"/>
      <c r="K19" s="665"/>
      <c r="L19" s="665"/>
      <c r="M19"/>
    </row>
    <row r="20" spans="1:13" ht="13.5" thickBot="1">
      <c r="B20" s="666"/>
      <c r="C20" s="674"/>
      <c r="D20" s="670" t="s">
        <v>770</v>
      </c>
      <c r="E20" s="670"/>
      <c r="F20" s="1320"/>
      <c r="G20" s="669"/>
      <c r="H20" s="669"/>
      <c r="I20" s="669" t="s">
        <v>777</v>
      </c>
      <c r="J20" s="665"/>
      <c r="K20" s="665"/>
      <c r="L20" s="665"/>
      <c r="M20"/>
    </row>
    <row r="21" spans="1:13">
      <c r="B21" s="671" t="s">
        <v>139</v>
      </c>
      <c r="C21" s="1321"/>
      <c r="D21" s="2024" t="s">
        <v>420</v>
      </c>
      <c r="E21" s="2025"/>
      <c r="F21" s="2026"/>
      <c r="G21" s="2027" t="s">
        <v>558</v>
      </c>
      <c r="H21" s="2028"/>
      <c r="I21" s="2029"/>
      <c r="J21" s="1323"/>
      <c r="K21" s="671"/>
      <c r="L21" s="1414"/>
      <c r="M21" s="1416"/>
    </row>
    <row r="22" spans="1:13">
      <c r="A22" s="674"/>
      <c r="B22" s="675"/>
      <c r="C22" s="679"/>
      <c r="D22" s="676"/>
      <c r="E22" s="706"/>
      <c r="F22" s="1322"/>
      <c r="G22" s="677"/>
      <c r="H22" s="706"/>
      <c r="I22" s="1322"/>
      <c r="J22" s="1324"/>
      <c r="K22" s="675"/>
      <c r="L22" s="681"/>
      <c r="M22" s="430"/>
    </row>
    <row r="23" spans="1:13">
      <c r="A23" s="659">
        <v>5</v>
      </c>
      <c r="B23" s="675" t="s">
        <v>559</v>
      </c>
      <c r="C23" s="679"/>
      <c r="D23" s="1387">
        <v>0</v>
      </c>
      <c r="E23" s="679"/>
      <c r="F23" s="680"/>
      <c r="G23" s="1387">
        <v>0</v>
      </c>
      <c r="H23" s="679"/>
      <c r="I23" s="680"/>
      <c r="J23" s="1324"/>
      <c r="K23" s="675"/>
      <c r="L23" s="681"/>
      <c r="M23" s="430"/>
    </row>
    <row r="24" spans="1:13">
      <c r="A24" s="659">
        <v>6</v>
      </c>
      <c r="B24" s="675" t="s">
        <v>560</v>
      </c>
      <c r="C24" s="679"/>
      <c r="D24" s="1387">
        <v>0</v>
      </c>
      <c r="E24" s="679"/>
      <c r="F24" s="680"/>
      <c r="G24" s="1387">
        <v>0</v>
      </c>
      <c r="H24" s="679"/>
      <c r="I24" s="680"/>
      <c r="J24" s="1324"/>
      <c r="K24" s="675"/>
      <c r="L24" s="681"/>
      <c r="M24" s="430"/>
    </row>
    <row r="25" spans="1:13">
      <c r="A25" s="659">
        <v>7</v>
      </c>
      <c r="B25" s="675" t="s">
        <v>561</v>
      </c>
      <c r="C25" s="679"/>
      <c r="D25" s="1388">
        <v>50</v>
      </c>
      <c r="E25" s="760"/>
      <c r="F25" s="761"/>
      <c r="G25" s="1387">
        <v>0</v>
      </c>
      <c r="H25" s="679"/>
      <c r="I25" s="680"/>
      <c r="J25" s="1324"/>
      <c r="K25" s="675"/>
      <c r="L25" s="681"/>
      <c r="M25" s="430"/>
    </row>
    <row r="26" spans="1:13">
      <c r="A26" s="659">
        <v>8</v>
      </c>
      <c r="B26" s="675" t="s">
        <v>424</v>
      </c>
      <c r="C26" s="679"/>
      <c r="D26" s="1389">
        <f>+J8</f>
        <v>0.11033443167086478</v>
      </c>
      <c r="E26" s="681"/>
      <c r="F26" s="682"/>
      <c r="G26" s="1389">
        <f>+J8</f>
        <v>0.11033443167086478</v>
      </c>
      <c r="H26" s="681"/>
      <c r="I26" s="682"/>
      <c r="J26" s="1324"/>
      <c r="K26" s="675"/>
      <c r="L26" s="681"/>
      <c r="M26" s="430"/>
    </row>
    <row r="27" spans="1:13">
      <c r="A27" s="659">
        <v>9</v>
      </c>
      <c r="B27" s="675" t="s">
        <v>562</v>
      </c>
      <c r="C27" s="679"/>
      <c r="D27" s="1389">
        <f>+D25/100*J10+D26</f>
        <v>0.11320643934222162</v>
      </c>
      <c r="E27" s="681"/>
      <c r="F27" s="682"/>
      <c r="G27" s="1389">
        <f>+G25/100*J10+G26</f>
        <v>0.11033443167086478</v>
      </c>
      <c r="H27" s="681"/>
      <c r="I27" s="682"/>
      <c r="J27" s="1324"/>
      <c r="K27" s="675"/>
      <c r="L27" s="681"/>
      <c r="M27" s="430"/>
    </row>
    <row r="28" spans="1:13">
      <c r="A28" s="659">
        <v>10</v>
      </c>
      <c r="B28" s="675" t="s">
        <v>779</v>
      </c>
      <c r="C28" s="679"/>
      <c r="D28" s="683">
        <v>0</v>
      </c>
      <c r="E28" s="651"/>
      <c r="F28" s="682"/>
      <c r="G28" s="683"/>
      <c r="H28" s="651"/>
      <c r="I28" s="682"/>
      <c r="J28" s="1324"/>
      <c r="K28" s="675"/>
      <c r="L28" s="681"/>
      <c r="M28" s="430"/>
    </row>
    <row r="29" spans="1:13">
      <c r="A29" s="659">
        <v>11</v>
      </c>
      <c r="B29" s="678" t="s">
        <v>563</v>
      </c>
      <c r="C29" s="679"/>
      <c r="D29" s="683">
        <v>0</v>
      </c>
      <c r="E29" s="651"/>
      <c r="F29" s="682"/>
      <c r="G29" s="683">
        <v>0</v>
      </c>
      <c r="H29" s="651"/>
      <c r="I29" s="682"/>
      <c r="J29" s="1324"/>
      <c r="K29" s="675"/>
      <c r="L29" s="681"/>
      <c r="M29" s="430"/>
    </row>
    <row r="30" spans="1:13" ht="13.5" thickBot="1">
      <c r="B30" s="684"/>
      <c r="C30" s="1326"/>
      <c r="D30" s="685"/>
      <c r="E30" s="651"/>
      <c r="F30" s="687"/>
      <c r="G30" s="685"/>
      <c r="H30" s="686"/>
      <c r="I30" s="687"/>
      <c r="J30" s="1327"/>
      <c r="K30" s="1328"/>
      <c r="L30" s="1415"/>
      <c r="M30" s="1421"/>
    </row>
    <row r="31" spans="1:13" ht="25.5">
      <c r="A31" s="659">
        <f>+A29+1</f>
        <v>12</v>
      </c>
      <c r="B31" s="673"/>
      <c r="C31" s="689" t="s">
        <v>564</v>
      </c>
      <c r="D31" s="1329" t="s">
        <v>779</v>
      </c>
      <c r="E31" s="1423" t="s">
        <v>430</v>
      </c>
      <c r="F31" s="688" t="s">
        <v>771</v>
      </c>
      <c r="G31" s="1329" t="s">
        <v>779</v>
      </c>
      <c r="H31" s="1423" t="s">
        <v>430</v>
      </c>
      <c r="I31" s="688" t="s">
        <v>771</v>
      </c>
      <c r="J31" s="689" t="s">
        <v>850</v>
      </c>
      <c r="K31" s="1417" t="s">
        <v>772</v>
      </c>
      <c r="L31" s="1329" t="s">
        <v>773</v>
      </c>
      <c r="M31" s="1422" t="s">
        <v>774</v>
      </c>
    </row>
    <row r="32" spans="1:13">
      <c r="A32" s="659">
        <f>+A31+1</f>
        <v>13</v>
      </c>
      <c r="B32" s="678" t="s">
        <v>424</v>
      </c>
      <c r="C32" s="1330">
        <v>2010</v>
      </c>
      <c r="D32" s="691">
        <f>+D28</f>
        <v>0</v>
      </c>
      <c r="E32" s="1424">
        <v>0</v>
      </c>
      <c r="F32" s="682">
        <f>+D32*D$26+E32</f>
        <v>0</v>
      </c>
      <c r="G32" s="691">
        <f>+G28</f>
        <v>0</v>
      </c>
      <c r="H32" s="1424">
        <v>0</v>
      </c>
      <c r="I32" s="682">
        <f>+G32*G$26+H32</f>
        <v>0</v>
      </c>
      <c r="J32" s="1331">
        <f>+F32+I32</f>
        <v>0</v>
      </c>
      <c r="K32" s="675"/>
      <c r="L32" s="1332">
        <f>J32</f>
        <v>0</v>
      </c>
      <c r="M32" s="1419">
        <f>+L32-K33</f>
        <v>0</v>
      </c>
    </row>
    <row r="33" spans="1:13">
      <c r="A33" s="659">
        <f t="shared" ref="A33:A73" si="0">+A32+1</f>
        <v>14</v>
      </c>
      <c r="B33" s="678" t="s">
        <v>565</v>
      </c>
      <c r="C33" s="1330">
        <v>2010</v>
      </c>
      <c r="D33" s="691">
        <f>+D32</f>
        <v>0</v>
      </c>
      <c r="E33" s="651">
        <v>0</v>
      </c>
      <c r="F33" s="682">
        <f>+D33*D$27+E33</f>
        <v>0</v>
      </c>
      <c r="G33" s="691">
        <f>+G32</f>
        <v>0</v>
      </c>
      <c r="H33" s="651">
        <v>0</v>
      </c>
      <c r="I33" s="682">
        <f>+G33*G$27+H33</f>
        <v>0</v>
      </c>
      <c r="J33" s="1331">
        <f t="shared" ref="J33:J71" si="1">+F33+I33</f>
        <v>0</v>
      </c>
      <c r="K33" s="1418">
        <f>J33</f>
        <v>0</v>
      </c>
      <c r="L33" s="681"/>
      <c r="M33" s="1419"/>
    </row>
    <row r="34" spans="1:13">
      <c r="A34" s="659">
        <f t="shared" si="0"/>
        <v>15</v>
      </c>
      <c r="B34" s="678" t="s">
        <v>424</v>
      </c>
      <c r="C34" s="690">
        <f>+C32+1</f>
        <v>2011</v>
      </c>
      <c r="D34" s="691">
        <v>0</v>
      </c>
      <c r="E34" s="691">
        <v>0</v>
      </c>
      <c r="F34" s="682">
        <f>+D34*D$26+E34</f>
        <v>0</v>
      </c>
      <c r="G34" s="691">
        <v>0</v>
      </c>
      <c r="H34" s="691">
        <v>0</v>
      </c>
      <c r="I34" s="682">
        <f>+G34*G$26+H34</f>
        <v>0</v>
      </c>
      <c r="J34" s="1331">
        <f t="shared" si="1"/>
        <v>0</v>
      </c>
      <c r="K34" s="678"/>
      <c r="L34" s="1332">
        <f>J34</f>
        <v>0</v>
      </c>
      <c r="M34" s="1419">
        <f>+L34-K35</f>
        <v>0</v>
      </c>
    </row>
    <row r="35" spans="1:13">
      <c r="A35" s="659">
        <f t="shared" si="0"/>
        <v>16</v>
      </c>
      <c r="B35" s="678" t="s">
        <v>565</v>
      </c>
      <c r="C35" s="690">
        <f>+C34</f>
        <v>2011</v>
      </c>
      <c r="D35" s="691">
        <v>0</v>
      </c>
      <c r="E35" s="691">
        <v>0</v>
      </c>
      <c r="F35" s="682">
        <f>+D35*D$27+E35</f>
        <v>0</v>
      </c>
      <c r="G35" s="691">
        <v>0</v>
      </c>
      <c r="H35" s="691">
        <v>0</v>
      </c>
      <c r="I35" s="682">
        <f>+G35*G$27+H35</f>
        <v>0</v>
      </c>
      <c r="J35" s="1331">
        <f t="shared" si="1"/>
        <v>0</v>
      </c>
      <c r="K35" s="1418">
        <f>J35</f>
        <v>0</v>
      </c>
      <c r="L35" s="693"/>
      <c r="M35" s="1419"/>
    </row>
    <row r="36" spans="1:13">
      <c r="A36" s="659">
        <f t="shared" si="0"/>
        <v>17</v>
      </c>
      <c r="B36" s="678" t="s">
        <v>424</v>
      </c>
      <c r="C36" s="690">
        <f>+C34+1</f>
        <v>2012</v>
      </c>
      <c r="D36" s="691">
        <v>0</v>
      </c>
      <c r="E36" s="691">
        <v>0</v>
      </c>
      <c r="F36" s="682">
        <f>+D36*D$26+E36</f>
        <v>0</v>
      </c>
      <c r="G36" s="691">
        <v>0</v>
      </c>
      <c r="H36" s="691">
        <v>0</v>
      </c>
      <c r="I36" s="682">
        <f>+G36*G$26+H36</f>
        <v>0</v>
      </c>
      <c r="J36" s="1331">
        <f t="shared" si="1"/>
        <v>0</v>
      </c>
      <c r="K36" s="678"/>
      <c r="L36" s="1332">
        <f>J36</f>
        <v>0</v>
      </c>
      <c r="M36" s="1419">
        <f>+K37-L36</f>
        <v>0</v>
      </c>
    </row>
    <row r="37" spans="1:13">
      <c r="A37" s="659">
        <f t="shared" si="0"/>
        <v>18</v>
      </c>
      <c r="B37" s="678" t="s">
        <v>565</v>
      </c>
      <c r="C37" s="690">
        <f>+C36</f>
        <v>2012</v>
      </c>
      <c r="D37" s="691">
        <v>0</v>
      </c>
      <c r="E37" s="691">
        <v>0</v>
      </c>
      <c r="F37" s="682">
        <f>+D37*D$27+E37</f>
        <v>0</v>
      </c>
      <c r="G37" s="691">
        <v>0</v>
      </c>
      <c r="H37" s="691">
        <v>0</v>
      </c>
      <c r="I37" s="682">
        <f>+G37*G$27+H37</f>
        <v>0</v>
      </c>
      <c r="J37" s="1331">
        <f t="shared" si="1"/>
        <v>0</v>
      </c>
      <c r="K37" s="1418">
        <f>J37</f>
        <v>0</v>
      </c>
      <c r="L37" s="693"/>
      <c r="M37" s="1419"/>
    </row>
    <row r="38" spans="1:13">
      <c r="A38" s="659">
        <f t="shared" si="0"/>
        <v>19</v>
      </c>
      <c r="B38" s="678" t="s">
        <v>424</v>
      </c>
      <c r="C38" s="690">
        <f>+C36+1</f>
        <v>2013</v>
      </c>
      <c r="D38" s="691">
        <v>0</v>
      </c>
      <c r="E38" s="691">
        <v>0</v>
      </c>
      <c r="F38" s="682">
        <f>+D38*D$26+E38</f>
        <v>0</v>
      </c>
      <c r="G38" s="691">
        <v>0</v>
      </c>
      <c r="H38" s="691">
        <v>0</v>
      </c>
      <c r="I38" s="682">
        <f>+G38*G$26+H38</f>
        <v>0</v>
      </c>
      <c r="J38" s="1331">
        <f t="shared" si="1"/>
        <v>0</v>
      </c>
      <c r="K38" s="678"/>
      <c r="L38" s="1332">
        <f>J38</f>
        <v>0</v>
      </c>
      <c r="M38" s="1419">
        <f>+K39-L38</f>
        <v>0</v>
      </c>
    </row>
    <row r="39" spans="1:13">
      <c r="A39" s="659">
        <f t="shared" si="0"/>
        <v>20</v>
      </c>
      <c r="B39" s="678" t="s">
        <v>565</v>
      </c>
      <c r="C39" s="690">
        <f>+C38</f>
        <v>2013</v>
      </c>
      <c r="D39" s="691">
        <v>0</v>
      </c>
      <c r="E39" s="691">
        <v>0</v>
      </c>
      <c r="F39" s="682">
        <f>+D39*D$27+E39</f>
        <v>0</v>
      </c>
      <c r="G39" s="691">
        <v>0</v>
      </c>
      <c r="H39" s="691">
        <v>0</v>
      </c>
      <c r="I39" s="682">
        <f>+G39*G$27+H39</f>
        <v>0</v>
      </c>
      <c r="J39" s="1331">
        <f t="shared" si="1"/>
        <v>0</v>
      </c>
      <c r="K39" s="1418">
        <f>J39</f>
        <v>0</v>
      </c>
      <c r="L39" s="693"/>
      <c r="M39" s="1419"/>
    </row>
    <row r="40" spans="1:13">
      <c r="A40" s="659">
        <f t="shared" si="0"/>
        <v>21</v>
      </c>
      <c r="B40" s="678" t="s">
        <v>424</v>
      </c>
      <c r="C40" s="690">
        <f>+C38+1</f>
        <v>2014</v>
      </c>
      <c r="D40" s="691">
        <v>0</v>
      </c>
      <c r="E40" s="691">
        <v>0</v>
      </c>
      <c r="F40" s="682">
        <f>+D40*D$26+E40</f>
        <v>0</v>
      </c>
      <c r="G40" s="691">
        <v>0</v>
      </c>
      <c r="H40" s="691">
        <v>0</v>
      </c>
      <c r="I40" s="682">
        <f>+G40*G$26+H40</f>
        <v>0</v>
      </c>
      <c r="J40" s="1331">
        <f t="shared" si="1"/>
        <v>0</v>
      </c>
      <c r="K40" s="678"/>
      <c r="L40" s="1332">
        <f>J40</f>
        <v>0</v>
      </c>
      <c r="M40" s="1419">
        <f>+K41-L40</f>
        <v>0</v>
      </c>
    </row>
    <row r="41" spans="1:13">
      <c r="A41" s="659">
        <f t="shared" si="0"/>
        <v>22</v>
      </c>
      <c r="B41" s="678" t="s">
        <v>565</v>
      </c>
      <c r="C41" s="690">
        <f>+C40</f>
        <v>2014</v>
      </c>
      <c r="D41" s="691">
        <v>0</v>
      </c>
      <c r="E41" s="691">
        <v>0</v>
      </c>
      <c r="F41" s="682">
        <f>+D41*D$27+E41</f>
        <v>0</v>
      </c>
      <c r="G41" s="691">
        <v>0</v>
      </c>
      <c r="H41" s="691">
        <v>0</v>
      </c>
      <c r="I41" s="682">
        <f>+G41*G$27+H41</f>
        <v>0</v>
      </c>
      <c r="J41" s="1331">
        <f t="shared" si="1"/>
        <v>0</v>
      </c>
      <c r="K41" s="1418">
        <f>J41</f>
        <v>0</v>
      </c>
      <c r="L41" s="693"/>
      <c r="M41" s="1419"/>
    </row>
    <row r="42" spans="1:13">
      <c r="A42" s="659">
        <f t="shared" si="0"/>
        <v>23</v>
      </c>
      <c r="B42" s="678" t="s">
        <v>424</v>
      </c>
      <c r="C42" s="690">
        <f>+C40+1</f>
        <v>2015</v>
      </c>
      <c r="D42" s="691">
        <v>0</v>
      </c>
      <c r="E42" s="691">
        <v>0</v>
      </c>
      <c r="F42" s="682">
        <f>+D42*D$26+E42</f>
        <v>0</v>
      </c>
      <c r="G42" s="691">
        <v>0</v>
      </c>
      <c r="H42" s="691">
        <v>0</v>
      </c>
      <c r="I42" s="682">
        <f>+G42*G$26+H42</f>
        <v>0</v>
      </c>
      <c r="J42" s="1331">
        <f t="shared" si="1"/>
        <v>0</v>
      </c>
      <c r="K42" s="678"/>
      <c r="L42" s="1332">
        <f>J42</f>
        <v>0</v>
      </c>
      <c r="M42" s="1419">
        <f>+K43-L42</f>
        <v>0</v>
      </c>
    </row>
    <row r="43" spans="1:13">
      <c r="A43" s="659">
        <f t="shared" si="0"/>
        <v>24</v>
      </c>
      <c r="B43" s="678" t="s">
        <v>565</v>
      </c>
      <c r="C43" s="690">
        <f>+C42</f>
        <v>2015</v>
      </c>
      <c r="D43" s="691">
        <v>0</v>
      </c>
      <c r="E43" s="691">
        <v>0</v>
      </c>
      <c r="F43" s="682">
        <f>+D43*D$27+E43</f>
        <v>0</v>
      </c>
      <c r="G43" s="691">
        <v>0</v>
      </c>
      <c r="H43" s="691">
        <v>0</v>
      </c>
      <c r="I43" s="682">
        <f>+G43*G$27+H43</f>
        <v>0</v>
      </c>
      <c r="J43" s="1331">
        <f t="shared" si="1"/>
        <v>0</v>
      </c>
      <c r="K43" s="1418">
        <f>J43</f>
        <v>0</v>
      </c>
      <c r="L43" s="693"/>
      <c r="M43" s="1419"/>
    </row>
    <row r="44" spans="1:13">
      <c r="A44" s="659">
        <f t="shared" si="0"/>
        <v>25</v>
      </c>
      <c r="B44" s="678" t="s">
        <v>424</v>
      </c>
      <c r="C44" s="690">
        <f>+C42+1</f>
        <v>2016</v>
      </c>
      <c r="D44" s="691">
        <v>0</v>
      </c>
      <c r="E44" s="691">
        <v>0</v>
      </c>
      <c r="F44" s="682">
        <f>+D44*D$26+E44</f>
        <v>0</v>
      </c>
      <c r="G44" s="691">
        <v>0</v>
      </c>
      <c r="H44" s="691">
        <v>0</v>
      </c>
      <c r="I44" s="682">
        <f>+G44*G$26+H44</f>
        <v>0</v>
      </c>
      <c r="J44" s="1331">
        <f t="shared" si="1"/>
        <v>0</v>
      </c>
      <c r="K44" s="678"/>
      <c r="L44" s="1332">
        <f>J44</f>
        <v>0</v>
      </c>
      <c r="M44" s="1419">
        <f>+K45-L44</f>
        <v>0</v>
      </c>
    </row>
    <row r="45" spans="1:13">
      <c r="A45" s="659">
        <f t="shared" si="0"/>
        <v>26</v>
      </c>
      <c r="B45" s="678" t="s">
        <v>565</v>
      </c>
      <c r="C45" s="690">
        <f>+C44</f>
        <v>2016</v>
      </c>
      <c r="D45" s="691">
        <v>0</v>
      </c>
      <c r="E45" s="691">
        <v>0</v>
      </c>
      <c r="F45" s="682">
        <f>+D45*D$27+E45</f>
        <v>0</v>
      </c>
      <c r="G45" s="691">
        <v>0</v>
      </c>
      <c r="H45" s="691">
        <v>0</v>
      </c>
      <c r="I45" s="682">
        <f>+G45*G$27+H45</f>
        <v>0</v>
      </c>
      <c r="J45" s="1331">
        <f t="shared" si="1"/>
        <v>0</v>
      </c>
      <c r="K45" s="1418">
        <f>J45</f>
        <v>0</v>
      </c>
      <c r="L45" s="693"/>
      <c r="M45" s="1419"/>
    </row>
    <row r="46" spans="1:13">
      <c r="A46" s="659">
        <f t="shared" si="0"/>
        <v>27</v>
      </c>
      <c r="B46" s="678" t="s">
        <v>424</v>
      </c>
      <c r="C46" s="690">
        <f>+C44+1</f>
        <v>2017</v>
      </c>
      <c r="D46" s="691">
        <v>0</v>
      </c>
      <c r="E46" s="691">
        <v>0</v>
      </c>
      <c r="F46" s="682">
        <f>+D46*D$26+E46</f>
        <v>0</v>
      </c>
      <c r="G46" s="691">
        <v>0</v>
      </c>
      <c r="H46" s="691">
        <v>0</v>
      </c>
      <c r="I46" s="682">
        <f>+G46*G$26+H46</f>
        <v>0</v>
      </c>
      <c r="J46" s="1331">
        <f t="shared" si="1"/>
        <v>0</v>
      </c>
      <c r="K46" s="678"/>
      <c r="L46" s="1332">
        <f>J46</f>
        <v>0</v>
      </c>
      <c r="M46" s="1419">
        <f>+K47-L46</f>
        <v>0</v>
      </c>
    </row>
    <row r="47" spans="1:13">
      <c r="A47" s="659">
        <f t="shared" si="0"/>
        <v>28</v>
      </c>
      <c r="B47" s="678" t="s">
        <v>565</v>
      </c>
      <c r="C47" s="690">
        <f>+C46</f>
        <v>2017</v>
      </c>
      <c r="D47" s="691">
        <v>0</v>
      </c>
      <c r="E47" s="691">
        <v>0</v>
      </c>
      <c r="F47" s="682">
        <f>+D47*D$27+E47</f>
        <v>0</v>
      </c>
      <c r="G47" s="691">
        <v>0</v>
      </c>
      <c r="H47" s="691">
        <v>0</v>
      </c>
      <c r="I47" s="682">
        <f>+G47*G$27+H47</f>
        <v>0</v>
      </c>
      <c r="J47" s="1331">
        <f t="shared" si="1"/>
        <v>0</v>
      </c>
      <c r="K47" s="1418">
        <f>J47</f>
        <v>0</v>
      </c>
      <c r="L47" s="693"/>
      <c r="M47" s="1419"/>
    </row>
    <row r="48" spans="1:13">
      <c r="A48" s="659">
        <f t="shared" si="0"/>
        <v>29</v>
      </c>
      <c r="B48" s="678" t="s">
        <v>424</v>
      </c>
      <c r="C48" s="690">
        <f>+C46+1</f>
        <v>2018</v>
      </c>
      <c r="D48" s="691">
        <v>0</v>
      </c>
      <c r="E48" s="691">
        <v>0</v>
      </c>
      <c r="F48" s="682">
        <f>+D48*D$26+E48</f>
        <v>0</v>
      </c>
      <c r="G48" s="691">
        <v>0</v>
      </c>
      <c r="H48" s="691">
        <v>0</v>
      </c>
      <c r="I48" s="682">
        <f>+G48*G$26+H48</f>
        <v>0</v>
      </c>
      <c r="J48" s="1331">
        <f t="shared" si="1"/>
        <v>0</v>
      </c>
      <c r="K48" s="678"/>
      <c r="L48" s="1332">
        <f>J48</f>
        <v>0</v>
      </c>
      <c r="M48" s="1419">
        <f>+K49-L48</f>
        <v>0</v>
      </c>
    </row>
    <row r="49" spans="1:13">
      <c r="A49" s="659">
        <f t="shared" si="0"/>
        <v>30</v>
      </c>
      <c r="B49" s="678" t="s">
        <v>565</v>
      </c>
      <c r="C49" s="690">
        <f>+C48</f>
        <v>2018</v>
      </c>
      <c r="D49" s="691">
        <v>0</v>
      </c>
      <c r="E49" s="691">
        <v>0</v>
      </c>
      <c r="F49" s="682">
        <f>+D49*D$27+E49</f>
        <v>0</v>
      </c>
      <c r="G49" s="691">
        <v>0</v>
      </c>
      <c r="H49" s="691">
        <v>0</v>
      </c>
      <c r="I49" s="682">
        <f>+G49*G$27+H49</f>
        <v>0</v>
      </c>
      <c r="J49" s="1331">
        <f t="shared" si="1"/>
        <v>0</v>
      </c>
      <c r="K49" s="1418">
        <f>J49</f>
        <v>0</v>
      </c>
      <c r="L49" s="693"/>
      <c r="M49" s="1419"/>
    </row>
    <row r="50" spans="1:13">
      <c r="A50" s="659">
        <f t="shared" si="0"/>
        <v>31</v>
      </c>
      <c r="B50" s="678" t="s">
        <v>424</v>
      </c>
      <c r="C50" s="690">
        <f>+C48+1</f>
        <v>2019</v>
      </c>
      <c r="D50" s="691">
        <v>0</v>
      </c>
      <c r="E50" s="691">
        <v>0</v>
      </c>
      <c r="F50" s="682">
        <f>+D50*D$26+E50</f>
        <v>0</v>
      </c>
      <c r="G50" s="691">
        <v>0</v>
      </c>
      <c r="H50" s="691">
        <v>0</v>
      </c>
      <c r="I50" s="682">
        <f>+G50*G$26+H50</f>
        <v>0</v>
      </c>
      <c r="J50" s="1331">
        <f t="shared" si="1"/>
        <v>0</v>
      </c>
      <c r="K50" s="678"/>
      <c r="L50" s="1332">
        <f>J50</f>
        <v>0</v>
      </c>
      <c r="M50" s="1419">
        <f>+K51-L50</f>
        <v>0</v>
      </c>
    </row>
    <row r="51" spans="1:13">
      <c r="A51" s="659">
        <f t="shared" si="0"/>
        <v>32</v>
      </c>
      <c r="B51" s="678" t="s">
        <v>565</v>
      </c>
      <c r="C51" s="690">
        <f>+C50</f>
        <v>2019</v>
      </c>
      <c r="D51" s="691">
        <v>0</v>
      </c>
      <c r="E51" s="691">
        <v>0</v>
      </c>
      <c r="F51" s="682">
        <f>+D51*D$27+E51</f>
        <v>0</v>
      </c>
      <c r="G51" s="691">
        <v>0</v>
      </c>
      <c r="H51" s="691">
        <v>0</v>
      </c>
      <c r="I51" s="682">
        <f>+G51*G$27+H51</f>
        <v>0</v>
      </c>
      <c r="J51" s="1331">
        <f t="shared" si="1"/>
        <v>0</v>
      </c>
      <c r="K51" s="1418">
        <f>J51</f>
        <v>0</v>
      </c>
      <c r="L51" s="693"/>
      <c r="M51" s="1419"/>
    </row>
    <row r="52" spans="1:13">
      <c r="A52" s="659">
        <f t="shared" si="0"/>
        <v>33</v>
      </c>
      <c r="B52" s="678" t="s">
        <v>424</v>
      </c>
      <c r="C52" s="690">
        <f>+C50+1</f>
        <v>2020</v>
      </c>
      <c r="D52" s="691">
        <v>0</v>
      </c>
      <c r="E52" s="691">
        <v>0</v>
      </c>
      <c r="F52" s="682">
        <f>+D52*D$26+E52</f>
        <v>0</v>
      </c>
      <c r="G52" s="691">
        <v>0</v>
      </c>
      <c r="H52" s="691">
        <v>0</v>
      </c>
      <c r="I52" s="682">
        <f>+G52*G$26+H52</f>
        <v>0</v>
      </c>
      <c r="J52" s="1331">
        <f t="shared" si="1"/>
        <v>0</v>
      </c>
      <c r="K52" s="678"/>
      <c r="L52" s="1332">
        <f>J52</f>
        <v>0</v>
      </c>
      <c r="M52" s="1419">
        <f>+K53-L52</f>
        <v>0</v>
      </c>
    </row>
    <row r="53" spans="1:13">
      <c r="A53" s="659">
        <f t="shared" si="0"/>
        <v>34</v>
      </c>
      <c r="B53" s="678" t="s">
        <v>565</v>
      </c>
      <c r="C53" s="690">
        <f>+C52</f>
        <v>2020</v>
      </c>
      <c r="D53" s="691">
        <v>0</v>
      </c>
      <c r="E53" s="691">
        <v>0</v>
      </c>
      <c r="F53" s="682">
        <f>+D53*D$27+E53</f>
        <v>0</v>
      </c>
      <c r="G53" s="691">
        <v>0</v>
      </c>
      <c r="H53" s="691">
        <v>0</v>
      </c>
      <c r="I53" s="682">
        <f>+G53*G$27+H53</f>
        <v>0</v>
      </c>
      <c r="J53" s="1331">
        <f t="shared" si="1"/>
        <v>0</v>
      </c>
      <c r="K53" s="1418">
        <f>J53</f>
        <v>0</v>
      </c>
      <c r="L53" s="693"/>
      <c r="M53" s="1419"/>
    </row>
    <row r="54" spans="1:13">
      <c r="A54" s="659">
        <f t="shared" si="0"/>
        <v>35</v>
      </c>
      <c r="B54" s="678" t="s">
        <v>424</v>
      </c>
      <c r="C54" s="690">
        <f>+C52+1</f>
        <v>2021</v>
      </c>
      <c r="D54" s="691">
        <v>0</v>
      </c>
      <c r="E54" s="691">
        <v>0</v>
      </c>
      <c r="F54" s="682">
        <f>+D54*D$26+E54</f>
        <v>0</v>
      </c>
      <c r="G54" s="691">
        <v>0</v>
      </c>
      <c r="H54" s="691">
        <v>0</v>
      </c>
      <c r="I54" s="682">
        <f>+G54*G$26+H54</f>
        <v>0</v>
      </c>
      <c r="J54" s="1331">
        <f t="shared" si="1"/>
        <v>0</v>
      </c>
      <c r="K54" s="678"/>
      <c r="L54" s="1332">
        <f>J54</f>
        <v>0</v>
      </c>
      <c r="M54" s="1419">
        <f>+K55-L54</f>
        <v>0</v>
      </c>
    </row>
    <row r="55" spans="1:13">
      <c r="A55" s="659">
        <f t="shared" si="0"/>
        <v>36</v>
      </c>
      <c r="B55" s="678" t="s">
        <v>565</v>
      </c>
      <c r="C55" s="690">
        <f>+C54</f>
        <v>2021</v>
      </c>
      <c r="D55" s="691">
        <v>0</v>
      </c>
      <c r="E55" s="691">
        <v>0</v>
      </c>
      <c r="F55" s="682">
        <f>+D55*D$27+E55</f>
        <v>0</v>
      </c>
      <c r="G55" s="691">
        <v>0</v>
      </c>
      <c r="H55" s="691">
        <v>0</v>
      </c>
      <c r="I55" s="682">
        <f>+G55*G$27+H55</f>
        <v>0</v>
      </c>
      <c r="J55" s="1331">
        <f t="shared" si="1"/>
        <v>0</v>
      </c>
      <c r="K55" s="1418">
        <f>J55</f>
        <v>0</v>
      </c>
      <c r="L55" s="693"/>
      <c r="M55" s="1419"/>
    </row>
    <row r="56" spans="1:13">
      <c r="A56" s="659">
        <f t="shared" si="0"/>
        <v>37</v>
      </c>
      <c r="B56" s="678" t="s">
        <v>424</v>
      </c>
      <c r="C56" s="690">
        <f>+C54+1</f>
        <v>2022</v>
      </c>
      <c r="D56" s="691">
        <v>0</v>
      </c>
      <c r="E56" s="691">
        <v>0</v>
      </c>
      <c r="F56" s="682">
        <f>+D56*D$26+E56</f>
        <v>0</v>
      </c>
      <c r="G56" s="691">
        <v>0</v>
      </c>
      <c r="H56" s="691">
        <v>0</v>
      </c>
      <c r="I56" s="682">
        <f>+G56*G$26+H56</f>
        <v>0</v>
      </c>
      <c r="J56" s="1331">
        <f t="shared" si="1"/>
        <v>0</v>
      </c>
      <c r="K56" s="678"/>
      <c r="L56" s="1332">
        <f>J56</f>
        <v>0</v>
      </c>
      <c r="M56" s="1419">
        <f>+K57-L56</f>
        <v>0</v>
      </c>
    </row>
    <row r="57" spans="1:13">
      <c r="A57" s="659">
        <f t="shared" si="0"/>
        <v>38</v>
      </c>
      <c r="B57" s="678" t="s">
        <v>565</v>
      </c>
      <c r="C57" s="690">
        <f>+C56</f>
        <v>2022</v>
      </c>
      <c r="D57" s="691">
        <v>0</v>
      </c>
      <c r="E57" s="691">
        <v>0</v>
      </c>
      <c r="F57" s="682">
        <f>+D57*D$27+E57</f>
        <v>0</v>
      </c>
      <c r="G57" s="691">
        <v>0</v>
      </c>
      <c r="H57" s="691">
        <v>0</v>
      </c>
      <c r="I57" s="682">
        <f>+G57*G$27+H57</f>
        <v>0</v>
      </c>
      <c r="J57" s="1331">
        <f t="shared" si="1"/>
        <v>0</v>
      </c>
      <c r="K57" s="1418">
        <f>J57</f>
        <v>0</v>
      </c>
      <c r="L57" s="693"/>
      <c r="M57" s="1419"/>
    </row>
    <row r="58" spans="1:13">
      <c r="A58" s="659">
        <f t="shared" si="0"/>
        <v>39</v>
      </c>
      <c r="B58" s="678" t="s">
        <v>424</v>
      </c>
      <c r="C58" s="690">
        <f>+C56+1</f>
        <v>2023</v>
      </c>
      <c r="D58" s="691">
        <v>0</v>
      </c>
      <c r="E58" s="691">
        <v>0</v>
      </c>
      <c r="F58" s="682">
        <f>+D58*D$26+E58</f>
        <v>0</v>
      </c>
      <c r="G58" s="691">
        <v>0</v>
      </c>
      <c r="H58" s="691">
        <v>0</v>
      </c>
      <c r="I58" s="682">
        <f>+G58*G$26+H58</f>
        <v>0</v>
      </c>
      <c r="J58" s="1331">
        <f t="shared" si="1"/>
        <v>0</v>
      </c>
      <c r="K58" s="678"/>
      <c r="L58" s="1332">
        <f>J58</f>
        <v>0</v>
      </c>
      <c r="M58" s="1419">
        <f>+K59-L58</f>
        <v>0</v>
      </c>
    </row>
    <row r="59" spans="1:13">
      <c r="A59" s="659">
        <f t="shared" si="0"/>
        <v>40</v>
      </c>
      <c r="B59" s="678" t="s">
        <v>565</v>
      </c>
      <c r="C59" s="690">
        <f>+C58</f>
        <v>2023</v>
      </c>
      <c r="D59" s="691">
        <v>0</v>
      </c>
      <c r="E59" s="691">
        <v>0</v>
      </c>
      <c r="F59" s="682">
        <f>+D59*D$27+E59</f>
        <v>0</v>
      </c>
      <c r="G59" s="691">
        <v>0</v>
      </c>
      <c r="H59" s="691">
        <v>0</v>
      </c>
      <c r="I59" s="682">
        <f>+G59*G$27+H59</f>
        <v>0</v>
      </c>
      <c r="J59" s="1331">
        <f t="shared" si="1"/>
        <v>0</v>
      </c>
      <c r="K59" s="1418">
        <f>J59</f>
        <v>0</v>
      </c>
      <c r="L59" s="693"/>
      <c r="M59" s="1419"/>
    </row>
    <row r="60" spans="1:13">
      <c r="A60" s="659">
        <f t="shared" si="0"/>
        <v>41</v>
      </c>
      <c r="B60" s="678" t="s">
        <v>424</v>
      </c>
      <c r="C60" s="690">
        <f>+C58+1</f>
        <v>2024</v>
      </c>
      <c r="D60" s="691">
        <v>0</v>
      </c>
      <c r="E60" s="691">
        <v>0</v>
      </c>
      <c r="F60" s="682">
        <f>+D60*D$26+E60</f>
        <v>0</v>
      </c>
      <c r="G60" s="691">
        <v>0</v>
      </c>
      <c r="H60" s="691">
        <v>0</v>
      </c>
      <c r="I60" s="682">
        <f>+G60*G$26+H60</f>
        <v>0</v>
      </c>
      <c r="J60" s="1331">
        <f t="shared" si="1"/>
        <v>0</v>
      </c>
      <c r="K60" s="678"/>
      <c r="L60" s="1332">
        <f>J60</f>
        <v>0</v>
      </c>
      <c r="M60" s="1419">
        <f>+K61-L60</f>
        <v>0</v>
      </c>
    </row>
    <row r="61" spans="1:13">
      <c r="A61" s="659">
        <f t="shared" si="0"/>
        <v>42</v>
      </c>
      <c r="B61" s="678" t="s">
        <v>565</v>
      </c>
      <c r="C61" s="690">
        <f>+C60</f>
        <v>2024</v>
      </c>
      <c r="D61" s="691">
        <v>0</v>
      </c>
      <c r="E61" s="691">
        <v>0</v>
      </c>
      <c r="F61" s="682">
        <f>+D61*D$27+E61</f>
        <v>0</v>
      </c>
      <c r="G61" s="691">
        <v>0</v>
      </c>
      <c r="H61" s="691">
        <v>0</v>
      </c>
      <c r="I61" s="682">
        <f>+G61*G$27+H61</f>
        <v>0</v>
      </c>
      <c r="J61" s="1331">
        <f t="shared" si="1"/>
        <v>0</v>
      </c>
      <c r="K61" s="1418">
        <f>J61</f>
        <v>0</v>
      </c>
      <c r="L61" s="693"/>
      <c r="M61" s="1419"/>
    </row>
    <row r="62" spans="1:13">
      <c r="A62" s="659">
        <f t="shared" si="0"/>
        <v>43</v>
      </c>
      <c r="B62" s="678" t="s">
        <v>424</v>
      </c>
      <c r="C62" s="690">
        <f>+C60+1</f>
        <v>2025</v>
      </c>
      <c r="D62" s="691">
        <v>0</v>
      </c>
      <c r="E62" s="691">
        <v>0</v>
      </c>
      <c r="F62" s="682">
        <f>+D62*D$26+E62</f>
        <v>0</v>
      </c>
      <c r="G62" s="691">
        <v>0</v>
      </c>
      <c r="H62" s="691">
        <v>0</v>
      </c>
      <c r="I62" s="682">
        <f>+G62*G$26+H62</f>
        <v>0</v>
      </c>
      <c r="J62" s="1331">
        <f t="shared" si="1"/>
        <v>0</v>
      </c>
      <c r="K62" s="678"/>
      <c r="L62" s="1332">
        <f>J62</f>
        <v>0</v>
      </c>
      <c r="M62" s="1419">
        <f>+K63-L62</f>
        <v>0</v>
      </c>
    </row>
    <row r="63" spans="1:13">
      <c r="A63" s="659">
        <f t="shared" si="0"/>
        <v>44</v>
      </c>
      <c r="B63" s="678" t="s">
        <v>565</v>
      </c>
      <c r="C63" s="690">
        <f>+C62</f>
        <v>2025</v>
      </c>
      <c r="D63" s="691">
        <v>0</v>
      </c>
      <c r="E63" s="691">
        <v>0</v>
      </c>
      <c r="F63" s="682">
        <f>+D63*D$27+E63</f>
        <v>0</v>
      </c>
      <c r="G63" s="691">
        <v>0</v>
      </c>
      <c r="H63" s="691">
        <v>0</v>
      </c>
      <c r="I63" s="682">
        <f>+G63*G$27+H63</f>
        <v>0</v>
      </c>
      <c r="J63" s="1331">
        <f t="shared" si="1"/>
        <v>0</v>
      </c>
      <c r="K63" s="1418">
        <f>J63</f>
        <v>0</v>
      </c>
      <c r="L63" s="693"/>
      <c r="M63" s="1419"/>
    </row>
    <row r="64" spans="1:13">
      <c r="A64" s="659">
        <f t="shared" si="0"/>
        <v>45</v>
      </c>
      <c r="B64" s="678" t="s">
        <v>424</v>
      </c>
      <c r="C64" s="690">
        <f>+C62+1</f>
        <v>2026</v>
      </c>
      <c r="D64" s="691">
        <v>0</v>
      </c>
      <c r="E64" s="691">
        <v>0</v>
      </c>
      <c r="F64" s="682">
        <f>+D64*D$26+E64</f>
        <v>0</v>
      </c>
      <c r="G64" s="691">
        <v>0</v>
      </c>
      <c r="H64" s="691">
        <v>0</v>
      </c>
      <c r="I64" s="682">
        <f>+G64*G$26+H64</f>
        <v>0</v>
      </c>
      <c r="J64" s="1331">
        <f t="shared" si="1"/>
        <v>0</v>
      </c>
      <c r="K64" s="678"/>
      <c r="L64" s="1332">
        <f>J64</f>
        <v>0</v>
      </c>
      <c r="M64" s="1419">
        <f>+K65-L64</f>
        <v>0</v>
      </c>
    </row>
    <row r="65" spans="1:13">
      <c r="A65" s="659">
        <f t="shared" si="0"/>
        <v>46</v>
      </c>
      <c r="B65" s="678" t="s">
        <v>565</v>
      </c>
      <c r="C65" s="690">
        <f>+C64</f>
        <v>2026</v>
      </c>
      <c r="D65" s="691">
        <v>0</v>
      </c>
      <c r="E65" s="691">
        <v>0</v>
      </c>
      <c r="F65" s="682">
        <f>+D65*D$27+E65</f>
        <v>0</v>
      </c>
      <c r="G65" s="691">
        <v>0</v>
      </c>
      <c r="H65" s="691">
        <v>0</v>
      </c>
      <c r="I65" s="682">
        <f>+G65*G$27+H65</f>
        <v>0</v>
      </c>
      <c r="J65" s="1331">
        <f t="shared" si="1"/>
        <v>0</v>
      </c>
      <c r="K65" s="1418">
        <f>J65</f>
        <v>0</v>
      </c>
      <c r="L65" s="693"/>
      <c r="M65" s="1419"/>
    </row>
    <row r="66" spans="1:13">
      <c r="A66" s="659">
        <f t="shared" si="0"/>
        <v>47</v>
      </c>
      <c r="B66" s="678" t="s">
        <v>424</v>
      </c>
      <c r="C66" s="690">
        <f>+C64+1</f>
        <v>2027</v>
      </c>
      <c r="D66" s="691">
        <v>0</v>
      </c>
      <c r="E66" s="691">
        <v>0</v>
      </c>
      <c r="F66" s="682">
        <f>+D66*D$26+E66</f>
        <v>0</v>
      </c>
      <c r="G66" s="691">
        <v>0</v>
      </c>
      <c r="H66" s="691">
        <v>0</v>
      </c>
      <c r="I66" s="682">
        <f>+G66*G$26+H66</f>
        <v>0</v>
      </c>
      <c r="J66" s="1331">
        <f t="shared" si="1"/>
        <v>0</v>
      </c>
      <c r="K66" s="678"/>
      <c r="L66" s="1332">
        <f>J66</f>
        <v>0</v>
      </c>
      <c r="M66" s="1419">
        <f>+K67-L66</f>
        <v>0</v>
      </c>
    </row>
    <row r="67" spans="1:13">
      <c r="A67" s="659">
        <f t="shared" si="0"/>
        <v>48</v>
      </c>
      <c r="B67" s="678" t="s">
        <v>565</v>
      </c>
      <c r="C67" s="690">
        <f>+C66</f>
        <v>2027</v>
      </c>
      <c r="D67" s="691">
        <v>0</v>
      </c>
      <c r="E67" s="691">
        <v>0</v>
      </c>
      <c r="F67" s="682">
        <f>+D67*D$27+E67</f>
        <v>0</v>
      </c>
      <c r="G67" s="691">
        <v>0</v>
      </c>
      <c r="H67" s="691">
        <v>0</v>
      </c>
      <c r="I67" s="682">
        <f>+G67*G$27+H67</f>
        <v>0</v>
      </c>
      <c r="J67" s="1331">
        <f t="shared" si="1"/>
        <v>0</v>
      </c>
      <c r="K67" s="1418">
        <f>J67</f>
        <v>0</v>
      </c>
      <c r="L67" s="693"/>
      <c r="M67" s="1419"/>
    </row>
    <row r="68" spans="1:13">
      <c r="A68" s="659">
        <f t="shared" si="0"/>
        <v>49</v>
      </c>
      <c r="B68" s="678" t="s">
        <v>424</v>
      </c>
      <c r="C68" s="690">
        <f>+C66+1</f>
        <v>2028</v>
      </c>
      <c r="D68" s="691">
        <v>0</v>
      </c>
      <c r="E68" s="691">
        <v>0</v>
      </c>
      <c r="F68" s="682">
        <f>+D68*D$26+E68</f>
        <v>0</v>
      </c>
      <c r="G68" s="691">
        <v>0</v>
      </c>
      <c r="H68" s="691">
        <v>0</v>
      </c>
      <c r="I68" s="682">
        <f>+G68*G$26+H68</f>
        <v>0</v>
      </c>
      <c r="J68" s="1331">
        <f t="shared" si="1"/>
        <v>0</v>
      </c>
      <c r="K68" s="678"/>
      <c r="L68" s="1332">
        <f>J68</f>
        <v>0</v>
      </c>
      <c r="M68" s="1419">
        <f>+K69-L68</f>
        <v>0</v>
      </c>
    </row>
    <row r="69" spans="1:13">
      <c r="A69" s="659">
        <f t="shared" si="0"/>
        <v>50</v>
      </c>
      <c r="B69" s="678" t="s">
        <v>565</v>
      </c>
      <c r="C69" s="690">
        <f>+C68</f>
        <v>2028</v>
      </c>
      <c r="D69" s="691">
        <v>0</v>
      </c>
      <c r="E69" s="691">
        <v>0</v>
      </c>
      <c r="F69" s="682">
        <f>+D69*D$27+E69</f>
        <v>0</v>
      </c>
      <c r="G69" s="691">
        <v>0</v>
      </c>
      <c r="H69" s="691">
        <v>0</v>
      </c>
      <c r="I69" s="682">
        <f>+G69*G$27+H69</f>
        <v>0</v>
      </c>
      <c r="J69" s="1331">
        <f t="shared" si="1"/>
        <v>0</v>
      </c>
      <c r="K69" s="1418">
        <f>J69</f>
        <v>0</v>
      </c>
      <c r="L69" s="693"/>
      <c r="M69" s="1419"/>
    </row>
    <row r="70" spans="1:13">
      <c r="A70" s="659">
        <f t="shared" si="0"/>
        <v>51</v>
      </c>
      <c r="B70" s="678" t="s">
        <v>424</v>
      </c>
      <c r="C70" s="690">
        <f>+C68+1</f>
        <v>2029</v>
      </c>
      <c r="D70" s="691">
        <v>0</v>
      </c>
      <c r="E70" s="691">
        <v>0</v>
      </c>
      <c r="F70" s="682">
        <f>+D70*D$26+E70</f>
        <v>0</v>
      </c>
      <c r="G70" s="691">
        <v>0</v>
      </c>
      <c r="H70" s="691">
        <v>0</v>
      </c>
      <c r="I70" s="682">
        <f>+G70*G$26+H70</f>
        <v>0</v>
      </c>
      <c r="J70" s="1331">
        <f t="shared" si="1"/>
        <v>0</v>
      </c>
      <c r="K70" s="678"/>
      <c r="L70" s="1332">
        <f>J70</f>
        <v>0</v>
      </c>
      <c r="M70" s="1419">
        <f>+K71-L70</f>
        <v>0</v>
      </c>
    </row>
    <row r="71" spans="1:13">
      <c r="A71" s="659">
        <f t="shared" si="0"/>
        <v>52</v>
      </c>
      <c r="B71" s="678" t="s">
        <v>565</v>
      </c>
      <c r="C71" s="690">
        <f>+C70</f>
        <v>2029</v>
      </c>
      <c r="D71" s="691"/>
      <c r="E71" s="691">
        <v>0</v>
      </c>
      <c r="F71" s="682">
        <f>+D71*D$27+E71</f>
        <v>0</v>
      </c>
      <c r="G71" s="691"/>
      <c r="H71" s="691">
        <v>0</v>
      </c>
      <c r="I71" s="682">
        <f>+G71*G$27+H71</f>
        <v>0</v>
      </c>
      <c r="J71" s="1331">
        <f t="shared" si="1"/>
        <v>0</v>
      </c>
      <c r="K71" s="1418">
        <f>J71</f>
        <v>0</v>
      </c>
      <c r="L71" s="693"/>
      <c r="M71" s="1419"/>
    </row>
    <row r="72" spans="1:13">
      <c r="A72" s="659">
        <f t="shared" si="0"/>
        <v>53</v>
      </c>
      <c r="B72" s="694"/>
      <c r="C72" s="690">
        <f>+C70+1</f>
        <v>2030</v>
      </c>
      <c r="D72" s="695" t="s">
        <v>566</v>
      </c>
      <c r="E72" s="695" t="s">
        <v>566</v>
      </c>
      <c r="F72" s="682" t="s">
        <v>775</v>
      </c>
      <c r="G72" s="695"/>
      <c r="H72" s="695"/>
      <c r="I72" s="696"/>
      <c r="J72" s="692"/>
      <c r="K72" s="678"/>
      <c r="L72" s="1332"/>
      <c r="M72" s="1419"/>
    </row>
    <row r="73" spans="1:13" ht="13.5" thickBot="1">
      <c r="A73" s="659">
        <f t="shared" si="0"/>
        <v>54</v>
      </c>
      <c r="B73" s="697"/>
      <c r="C73" s="690">
        <f>+C72</f>
        <v>2030</v>
      </c>
      <c r="D73" s="698" t="s">
        <v>566</v>
      </c>
      <c r="E73" s="698" t="s">
        <v>567</v>
      </c>
      <c r="F73" s="699" t="s">
        <v>566</v>
      </c>
      <c r="G73" s="698"/>
      <c r="H73" s="698"/>
      <c r="I73" s="699"/>
      <c r="J73" s="700"/>
      <c r="K73" s="1420"/>
      <c r="L73" s="701"/>
      <c r="M73" s="1421"/>
    </row>
    <row r="74" spans="1:13">
      <c r="B74" s="702"/>
      <c r="C74" s="703"/>
      <c r="D74" s="702"/>
      <c r="E74" s="702"/>
      <c r="F74" s="704"/>
      <c r="G74" s="702"/>
      <c r="H74" s="702"/>
      <c r="I74" s="704"/>
      <c r="J74" s="702"/>
      <c r="K74" s="705"/>
      <c r="L74" s="705"/>
      <c r="M74"/>
    </row>
    <row r="75" spans="1:13" ht="42.75" customHeight="1">
      <c r="A75" s="1340" t="s">
        <v>419</v>
      </c>
      <c r="B75" s="2023" t="s">
        <v>24</v>
      </c>
      <c r="C75" s="2023"/>
      <c r="D75" s="2023"/>
      <c r="E75" s="2023"/>
      <c r="F75" s="2023"/>
      <c r="G75" s="2023"/>
      <c r="H75" s="2023"/>
      <c r="I75" s="2023"/>
      <c r="J75" s="2023"/>
      <c r="K75" s="2023"/>
      <c r="L75" s="2023"/>
      <c r="M75"/>
    </row>
    <row r="76" spans="1:13" ht="14.25">
      <c r="A76" s="659" t="s">
        <v>781</v>
      </c>
      <c r="B76" s="2022" t="s">
        <v>780</v>
      </c>
      <c r="C76" s="2022"/>
      <c r="D76" s="2022"/>
      <c r="E76" s="2022"/>
      <c r="F76" s="2022"/>
      <c r="G76" s="2022"/>
      <c r="H76" s="2022"/>
      <c r="I76" s="2022"/>
      <c r="J76" s="2022"/>
      <c r="K76" s="2022"/>
      <c r="L76" s="2022"/>
      <c r="M76"/>
    </row>
    <row r="77" spans="1:13">
      <c r="A77" t="s">
        <v>541</v>
      </c>
      <c r="B77" s="2020" t="s">
        <v>542</v>
      </c>
      <c r="C77" s="2020"/>
      <c r="D77" s="2020"/>
      <c r="E77" s="2020"/>
      <c r="F77" s="2020"/>
      <c r="G77" s="2020"/>
      <c r="H77" s="2020"/>
      <c r="I77" s="2020"/>
      <c r="J77" s="2020"/>
      <c r="K77" s="2020"/>
      <c r="L77" s="2020"/>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s="669"/>
      <c r="C306" s="706"/>
      <c r="D306" s="669"/>
      <c r="E306" s="669"/>
      <c r="F306" s="707"/>
      <c r="G306"/>
      <c r="H306"/>
      <c r="I306"/>
      <c r="J306"/>
      <c r="K306"/>
      <c r="L306"/>
      <c r="M306"/>
    </row>
    <row r="307" spans="1:13">
      <c r="A307"/>
      <c r="B307" s="669"/>
      <c r="C307" s="706"/>
      <c r="D307" s="669"/>
      <c r="E307" s="669"/>
      <c r="F307" s="707"/>
      <c r="G307"/>
      <c r="H307"/>
      <c r="I307"/>
      <c r="J307"/>
      <c r="K307"/>
      <c r="L307"/>
      <c r="M307"/>
    </row>
    <row r="308" spans="1:13">
      <c r="A308"/>
      <c r="B308" s="669"/>
      <c r="C308" s="706"/>
      <c r="D308" s="669"/>
      <c r="E308" s="669"/>
      <c r="F308" s="707"/>
      <c r="G308"/>
      <c r="H308"/>
      <c r="I308"/>
      <c r="J308"/>
      <c r="K308"/>
      <c r="L308"/>
      <c r="M308"/>
    </row>
    <row r="309" spans="1:13">
      <c r="A309"/>
      <c r="B309" s="669"/>
      <c r="C309" s="706"/>
      <c r="D309" s="669"/>
      <c r="E309" s="669"/>
      <c r="F309" s="707"/>
      <c r="G309"/>
      <c r="H309"/>
      <c r="I309"/>
      <c r="J309"/>
      <c r="K309"/>
      <c r="L309"/>
      <c r="M309"/>
    </row>
    <row r="310" spans="1:13">
      <c r="A310"/>
      <c r="B310" s="669"/>
      <c r="C310" s="706"/>
      <c r="D310" s="669"/>
      <c r="E310" s="669"/>
      <c r="F310" s="707"/>
      <c r="G310"/>
      <c r="H310"/>
      <c r="I310"/>
      <c r="J310"/>
      <c r="K310"/>
      <c r="L310"/>
      <c r="M310"/>
    </row>
    <row r="311" spans="1:13">
      <c r="A311"/>
      <c r="B311" s="669"/>
      <c r="C311" s="706"/>
      <c r="D311" s="669"/>
      <c r="E311" s="669"/>
      <c r="F311" s="707"/>
      <c r="G311"/>
      <c r="H311"/>
      <c r="I311"/>
      <c r="J311"/>
      <c r="K311"/>
      <c r="L311"/>
      <c r="M311"/>
    </row>
    <row r="312" spans="1:13">
      <c r="A312"/>
      <c r="B312" s="669"/>
      <c r="C312" s="706"/>
      <c r="D312" s="669"/>
      <c r="E312" s="669"/>
      <c r="F312" s="707"/>
      <c r="G312"/>
      <c r="H312"/>
      <c r="I312"/>
      <c r="J312"/>
      <c r="K312"/>
      <c r="L312"/>
      <c r="M312"/>
    </row>
    <row r="313" spans="1:13">
      <c r="A313"/>
      <c r="B313" s="669"/>
      <c r="C313" s="706"/>
      <c r="D313" s="669"/>
      <c r="E313" s="669"/>
      <c r="F313" s="707"/>
      <c r="G313"/>
      <c r="H313"/>
      <c r="I313"/>
      <c r="J313"/>
      <c r="K313"/>
      <c r="L313"/>
      <c r="M313"/>
    </row>
    <row r="314" spans="1:13">
      <c r="A314"/>
      <c r="B314" s="669"/>
      <c r="C314" s="706"/>
      <c r="D314" s="669"/>
      <c r="E314" s="669"/>
      <c r="F314" s="707"/>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418" customWidth="1"/>
    <col min="2" max="2" width="38.7109375" style="418" customWidth="1"/>
    <col min="3" max="3" width="13.42578125" style="418" customWidth="1"/>
    <col min="4" max="16384" width="9.140625" style="418"/>
  </cols>
  <sheetData>
    <row r="2" spans="1:5" ht="18">
      <c r="A2" s="2019" t="str">
        <f>+'7 - Cap Add WS'!A1:L1</f>
        <v xml:space="preserve">Puget Sound Energy </v>
      </c>
      <c r="B2" s="2019"/>
      <c r="C2" s="2019"/>
      <c r="D2" s="2019"/>
      <c r="E2" s="2019"/>
    </row>
    <row r="3" spans="1:5" ht="18">
      <c r="A3" s="2019" t="s">
        <v>448</v>
      </c>
      <c r="B3" s="2019"/>
      <c r="C3" s="2019"/>
      <c r="D3" s="2019"/>
      <c r="E3" s="2019"/>
    </row>
    <row r="7" spans="1:5">
      <c r="C7" s="659"/>
    </row>
    <row r="8" spans="1:5">
      <c r="A8" s="762" t="s">
        <v>449</v>
      </c>
      <c r="B8" s="763"/>
      <c r="C8" s="762" t="s">
        <v>458</v>
      </c>
    </row>
    <row r="10" spans="1:5">
      <c r="A10" s="763" t="s">
        <v>943</v>
      </c>
      <c r="C10" s="825"/>
      <c r="D10" s="764"/>
    </row>
    <row r="11" spans="1:5">
      <c r="A11" s="418" t="s">
        <v>193</v>
      </c>
      <c r="C11" s="825">
        <v>1.1000000000000001</v>
      </c>
      <c r="D11" s="764"/>
    </row>
    <row r="12" spans="1:5">
      <c r="A12" s="418" t="s">
        <v>194</v>
      </c>
      <c r="C12" s="825">
        <v>1.49</v>
      </c>
      <c r="D12" s="764"/>
    </row>
    <row r="13" spans="1:5">
      <c r="A13" s="418" t="s">
        <v>195</v>
      </c>
      <c r="C13" s="825">
        <v>2.35</v>
      </c>
      <c r="D13" s="764"/>
    </row>
    <row r="14" spans="1:5">
      <c r="A14" s="418" t="s">
        <v>196</v>
      </c>
      <c r="C14" s="825">
        <v>1.25</v>
      </c>
      <c r="D14" s="764"/>
    </row>
    <row r="15" spans="1:5">
      <c r="A15" s="418" t="s">
        <v>207</v>
      </c>
      <c r="C15" s="825">
        <v>3.27</v>
      </c>
      <c r="D15" s="764"/>
    </row>
    <row r="16" spans="1:5">
      <c r="A16" s="418" t="s">
        <v>197</v>
      </c>
      <c r="C16" s="825">
        <v>1.35</v>
      </c>
      <c r="D16" s="764"/>
    </row>
    <row r="17" spans="1:4">
      <c r="A17" s="418" t="s">
        <v>198</v>
      </c>
      <c r="C17" s="825">
        <v>1.51</v>
      </c>
      <c r="D17" s="764"/>
    </row>
    <row r="18" spans="1:4">
      <c r="A18" s="418" t="s">
        <v>199</v>
      </c>
      <c r="C18" s="825">
        <v>1.48</v>
      </c>
      <c r="D18" s="764"/>
    </row>
    <row r="19" spans="1:4">
      <c r="C19" s="665"/>
    </row>
    <row r="20" spans="1:4">
      <c r="C20" s="824"/>
    </row>
    <row r="21" spans="1:4">
      <c r="A21" s="763" t="s">
        <v>450</v>
      </c>
      <c r="C21" s="665"/>
    </row>
    <row r="22" spans="1:4">
      <c r="A22" s="765" t="s">
        <v>451</v>
      </c>
      <c r="C22" s="824">
        <v>1.43</v>
      </c>
    </row>
    <row r="23" spans="1:4">
      <c r="A23" s="765" t="s">
        <v>452</v>
      </c>
      <c r="C23" s="824">
        <v>5</v>
      </c>
    </row>
    <row r="24" spans="1:4">
      <c r="A24" s="765" t="s">
        <v>453</v>
      </c>
      <c r="C24" s="824">
        <v>20</v>
      </c>
    </row>
    <row r="25" spans="1:4">
      <c r="A25" s="765" t="s">
        <v>200</v>
      </c>
      <c r="C25" s="824">
        <v>5.25</v>
      </c>
    </row>
    <row r="26" spans="1:4">
      <c r="A26" s="765" t="s">
        <v>201</v>
      </c>
      <c r="C26" s="824">
        <v>5</v>
      </c>
    </row>
    <row r="27" spans="1:4">
      <c r="A27" s="765" t="s">
        <v>454</v>
      </c>
      <c r="C27" s="824">
        <v>5</v>
      </c>
    </row>
    <row r="28" spans="1:4">
      <c r="A28" s="765" t="s">
        <v>202</v>
      </c>
      <c r="C28" s="824">
        <v>6.58</v>
      </c>
    </row>
    <row r="29" spans="1:4">
      <c r="A29" s="765" t="s">
        <v>455</v>
      </c>
      <c r="C29" s="824">
        <v>5</v>
      </c>
    </row>
    <row r="30" spans="1:4">
      <c r="A30" s="765" t="s">
        <v>456</v>
      </c>
      <c r="C30" s="824">
        <v>6.67</v>
      </c>
    </row>
    <row r="31" spans="1:4">
      <c r="A31" s="765" t="s">
        <v>457</v>
      </c>
      <c r="C31" s="824">
        <v>6.67</v>
      </c>
    </row>
    <row r="34" spans="8:8">
      <c r="H34" s="766"/>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250"/>
  <sheetViews>
    <sheetView zoomScale="85" zoomScaleNormal="85" zoomScaleSheetLayoutView="75" workbookViewId="0">
      <selection activeCell="M139" sqref="M139"/>
    </sheetView>
  </sheetViews>
  <sheetFormatPr defaultColWidth="9.140625" defaultRowHeight="11.25"/>
  <cols>
    <col min="1" max="1" width="44.140625" style="446" customWidth="1"/>
    <col min="2" max="2" width="12" style="446" customWidth="1"/>
    <col min="3" max="3" width="12.85546875" style="446" bestFit="1" customWidth="1"/>
    <col min="4" max="4" width="12.140625" style="446" bestFit="1" customWidth="1"/>
    <col min="5" max="5" width="12" style="446" customWidth="1"/>
    <col min="6" max="6" width="12.5703125" style="446" customWidth="1"/>
    <col min="7" max="7" width="12.140625" style="446" customWidth="1"/>
    <col min="8" max="8" width="12.42578125" style="446" customWidth="1"/>
    <col min="9" max="9" width="13.7109375" style="446" bestFit="1" customWidth="1"/>
    <col min="10" max="10" width="11.140625" style="446" customWidth="1"/>
    <col min="11" max="11" width="14.140625" style="446" customWidth="1"/>
    <col min="12" max="12" width="11.5703125" style="446" customWidth="1"/>
    <col min="13" max="16384" width="9.140625" style="446"/>
  </cols>
  <sheetData>
    <row r="1" spans="1:12" ht="16.5" thickBot="1">
      <c r="A1" s="76" t="s">
        <v>544</v>
      </c>
    </row>
    <row r="2" spans="1:12">
      <c r="B2" s="1512"/>
      <c r="C2" s="461"/>
      <c r="D2" s="1113" t="s">
        <v>975</v>
      </c>
      <c r="E2" s="1107" t="s">
        <v>437</v>
      </c>
      <c r="F2" s="1113" t="s">
        <v>438</v>
      </c>
    </row>
    <row r="3" spans="1:12">
      <c r="C3" s="533" t="s">
        <v>993</v>
      </c>
      <c r="D3" s="1109">
        <f>'ATT H-1 '!J26</f>
        <v>0.20808915586000534</v>
      </c>
      <c r="E3" s="1106">
        <f>'ATT H-1 '!K26</f>
        <v>3.2099639632403956E-3</v>
      </c>
      <c r="F3" s="1109">
        <f>'ATT H-1 '!L26</f>
        <v>6.3493445491200184E-3</v>
      </c>
    </row>
    <row r="4" spans="1:12" ht="12" thickBot="1">
      <c r="A4" s="446" t="s">
        <v>659</v>
      </c>
      <c r="C4" s="1108" t="s">
        <v>426</v>
      </c>
      <c r="D4" s="1650">
        <f>'ATT H-1 '!J13</f>
        <v>0.10926820886382468</v>
      </c>
      <c r="E4" s="1651">
        <f>'ATT H-1 '!K13</f>
        <v>0</v>
      </c>
      <c r="F4" s="1650">
        <f>'ATT H-1 '!L13</f>
        <v>0</v>
      </c>
    </row>
    <row r="5" spans="1:12" ht="12" thickBot="1">
      <c r="A5" s="461" t="s">
        <v>844</v>
      </c>
      <c r="B5" s="463" t="s">
        <v>136</v>
      </c>
      <c r="D5" s="1110"/>
      <c r="F5" s="1110"/>
      <c r="H5" s="461" t="s">
        <v>464</v>
      </c>
      <c r="I5" s="462"/>
      <c r="J5" s="462"/>
      <c r="K5" s="462"/>
      <c r="L5" s="463"/>
    </row>
    <row r="6" spans="1:12" ht="12" thickBot="1">
      <c r="A6" s="1652" t="s">
        <v>292</v>
      </c>
      <c r="B6" s="1653">
        <v>7588045.2699999996</v>
      </c>
      <c r="C6" s="1654"/>
      <c r="D6" s="1111">
        <f>B6*L10</f>
        <v>4553969.5996444663</v>
      </c>
      <c r="E6" s="1655">
        <v>0</v>
      </c>
      <c r="F6" s="1656">
        <v>0</v>
      </c>
      <c r="H6" s="336"/>
      <c r="I6" s="415"/>
      <c r="J6" s="415"/>
      <c r="K6" s="415" t="s">
        <v>410</v>
      </c>
      <c r="L6" s="338"/>
    </row>
    <row r="7" spans="1:12" ht="12" thickBot="1">
      <c r="A7" s="336" t="s">
        <v>293</v>
      </c>
      <c r="B7" s="534">
        <v>4063468.26</v>
      </c>
      <c r="D7" s="1112"/>
      <c r="E7" s="1512"/>
      <c r="F7" s="1112"/>
      <c r="H7" s="1114" t="s">
        <v>474</v>
      </c>
      <c r="I7" s="415"/>
      <c r="J7" s="415"/>
      <c r="K7" s="415"/>
      <c r="L7" s="338"/>
    </row>
    <row r="8" spans="1:12" ht="12" thickBot="1">
      <c r="A8" s="1652" t="s">
        <v>589</v>
      </c>
      <c r="B8" s="1653">
        <v>146109.15</v>
      </c>
      <c r="C8" s="1654"/>
      <c r="D8" s="1657">
        <f>$B$8*D3</f>
        <v>30403.729686922899</v>
      </c>
      <c r="E8" s="1658">
        <f>$B$8*E3</f>
        <v>469.00510619968543</v>
      </c>
      <c r="F8" s="1657">
        <f>$B$8*F3</f>
        <v>927.69733512905907</v>
      </c>
      <c r="H8" s="336" t="s">
        <v>796</v>
      </c>
      <c r="I8" s="415"/>
      <c r="J8" s="415"/>
      <c r="K8" s="464">
        <v>93088933</v>
      </c>
      <c r="L8" s="465"/>
    </row>
    <row r="9" spans="1:12" ht="12" thickBot="1">
      <c r="A9" s="1652" t="s">
        <v>590</v>
      </c>
      <c r="B9" s="1653">
        <v>6767216.0499999998</v>
      </c>
      <c r="C9" s="1654"/>
      <c r="D9" s="1657">
        <f>$B$9*D3</f>
        <v>1408184.2753667796</v>
      </c>
      <c r="E9" s="1658">
        <f>$B$9*E3</f>
        <v>21722.519651962015</v>
      </c>
      <c r="F9" s="1657">
        <f>$B$9*F3</f>
        <v>42967.386339785</v>
      </c>
      <c r="H9" s="533" t="s">
        <v>1322</v>
      </c>
      <c r="I9" s="415"/>
      <c r="J9" s="415"/>
      <c r="K9" s="464">
        <v>769446104</v>
      </c>
      <c r="L9" s="465"/>
    </row>
    <row r="10" spans="1:12">
      <c r="A10" s="336" t="s">
        <v>591</v>
      </c>
      <c r="B10" s="534">
        <v>289401.18</v>
      </c>
      <c r="D10" s="1110"/>
      <c r="F10" s="1110"/>
      <c r="H10" s="336"/>
      <c r="I10" s="415"/>
      <c r="J10" s="415"/>
      <c r="K10" s="1958">
        <f>SUM(K8:K9)</f>
        <v>862535037</v>
      </c>
      <c r="L10" s="472">
        <f>K10/K15</f>
        <v>0.60015055756836133</v>
      </c>
    </row>
    <row r="11" spans="1:12">
      <c r="A11" s="533" t="s">
        <v>1337</v>
      </c>
      <c r="B11" s="534">
        <v>-311.20999999999998</v>
      </c>
      <c r="D11" s="1891"/>
      <c r="E11" s="415"/>
      <c r="F11" s="415"/>
      <c r="H11" s="336"/>
      <c r="I11" s="415"/>
      <c r="J11" s="415"/>
      <c r="K11" s="415"/>
      <c r="L11" s="338"/>
    </row>
    <row r="12" spans="1:12">
      <c r="A12" s="533"/>
      <c r="B12" s="534"/>
      <c r="D12" s="1891"/>
      <c r="E12" s="415"/>
      <c r="F12" s="415"/>
      <c r="H12" s="1114" t="s">
        <v>976</v>
      </c>
      <c r="I12" s="415"/>
      <c r="J12" s="415"/>
      <c r="K12" s="464"/>
      <c r="L12" s="338"/>
    </row>
    <row r="13" spans="1:12">
      <c r="A13" s="336"/>
      <c r="B13" s="1827"/>
      <c r="D13" s="1891"/>
      <c r="E13" s="415"/>
      <c r="F13" s="415"/>
      <c r="H13" s="336" t="s">
        <v>797</v>
      </c>
      <c r="I13" s="415"/>
      <c r="J13" s="415"/>
      <c r="K13" s="464">
        <v>574662723</v>
      </c>
      <c r="L13" s="472">
        <f>K13/K15</f>
        <v>0.39984944243163861</v>
      </c>
    </row>
    <row r="14" spans="1:12">
      <c r="A14" s="336" t="s">
        <v>850</v>
      </c>
      <c r="B14" s="538">
        <f>SUM(B6:B13)</f>
        <v>18853928.699999999</v>
      </c>
      <c r="C14" s="474"/>
      <c r="D14" s="1892"/>
      <c r="E14" s="1892"/>
      <c r="F14" s="415"/>
      <c r="H14" s="336"/>
      <c r="I14" s="415"/>
      <c r="J14" s="415"/>
      <c r="K14" s="415"/>
      <c r="L14" s="338"/>
    </row>
    <row r="15" spans="1:12">
      <c r="A15" s="336" t="s">
        <v>157</v>
      </c>
      <c r="B15" s="534">
        <v>18853929</v>
      </c>
      <c r="D15" s="1891"/>
      <c r="E15" s="415"/>
      <c r="F15" s="415"/>
      <c r="H15" s="468" t="s">
        <v>94</v>
      </c>
      <c r="I15" s="469"/>
      <c r="J15" s="469"/>
      <c r="K15" s="470">
        <f>+K10+K13</f>
        <v>1437197760</v>
      </c>
      <c r="L15" s="471">
        <f>+K15/K15</f>
        <v>1</v>
      </c>
    </row>
    <row r="16" spans="1:12" ht="12" thickBot="1">
      <c r="A16" s="475" t="s">
        <v>294</v>
      </c>
      <c r="B16" s="539">
        <f>B14-B15</f>
        <v>-0.30000000074505806</v>
      </c>
      <c r="D16" s="415"/>
      <c r="E16" s="415"/>
      <c r="F16" s="415"/>
      <c r="H16" s="466"/>
      <c r="I16" s="451"/>
      <c r="J16" s="451"/>
      <c r="K16" s="451"/>
      <c r="L16" s="467"/>
    </row>
    <row r="17" spans="1:16">
      <c r="B17" s="1659"/>
      <c r="D17" s="415"/>
      <c r="E17" s="415"/>
      <c r="F17" s="415"/>
      <c r="H17" s="468" t="s">
        <v>95</v>
      </c>
      <c r="I17" s="469"/>
      <c r="J17" s="469"/>
      <c r="K17" s="470">
        <f>+K10</f>
        <v>862535037</v>
      </c>
      <c r="L17" s="473">
        <f>+K17/K15</f>
        <v>0.60015055756836133</v>
      </c>
    </row>
    <row r="18" spans="1:16" ht="12" thickBot="1">
      <c r="A18" s="446" t="s">
        <v>845</v>
      </c>
      <c r="C18" s="415"/>
      <c r="D18" s="1893"/>
      <c r="E18" s="415"/>
      <c r="F18" s="415"/>
      <c r="H18" s="336"/>
      <c r="I18" s="415"/>
      <c r="J18" s="415"/>
      <c r="K18" s="415"/>
      <c r="L18" s="338"/>
    </row>
    <row r="19" spans="1:16">
      <c r="A19" s="461" t="s">
        <v>844</v>
      </c>
      <c r="B19" s="463" t="s">
        <v>136</v>
      </c>
      <c r="C19" s="532"/>
      <c r="D19" s="532"/>
      <c r="E19" s="415"/>
      <c r="F19" s="415"/>
      <c r="H19" s="336"/>
      <c r="I19" s="415"/>
      <c r="J19" s="415"/>
      <c r="K19" s="415"/>
      <c r="L19" s="338"/>
    </row>
    <row r="20" spans="1:16" ht="12" thickBot="1">
      <c r="A20" s="533" t="s">
        <v>1144</v>
      </c>
      <c r="B20" s="534">
        <v>5347519</v>
      </c>
      <c r="C20" s="415"/>
      <c r="D20" s="644"/>
      <c r="E20" s="644"/>
      <c r="F20" s="644"/>
      <c r="G20" s="644"/>
      <c r="H20" s="475"/>
      <c r="I20" s="476"/>
      <c r="J20" s="476"/>
      <c r="K20" s="476"/>
      <c r="L20" s="477"/>
    </row>
    <row r="21" spans="1:16">
      <c r="A21" s="533" t="s">
        <v>1214</v>
      </c>
      <c r="B21" s="534">
        <v>6728821.8199999984</v>
      </c>
      <c r="C21" s="415"/>
      <c r="D21" s="644"/>
      <c r="E21" s="644"/>
      <c r="F21" s="644"/>
      <c r="G21" s="644"/>
      <c r="H21" s="415"/>
      <c r="I21" s="415"/>
      <c r="J21" s="415"/>
      <c r="K21" s="415"/>
      <c r="L21" s="415"/>
    </row>
    <row r="22" spans="1:16">
      <c r="A22" s="533" t="s">
        <v>576</v>
      </c>
      <c r="B22" s="534">
        <v>-1020779.71</v>
      </c>
      <c r="C22" s="415"/>
      <c r="D22" s="644"/>
      <c r="E22" s="644"/>
      <c r="F22" s="644"/>
      <c r="G22" s="644"/>
      <c r="H22" s="415"/>
      <c r="I22" s="415"/>
      <c r="J22" s="415"/>
      <c r="K22" s="415"/>
      <c r="L22" s="415"/>
    </row>
    <row r="23" spans="1:16">
      <c r="A23" s="533" t="s">
        <v>577</v>
      </c>
      <c r="B23" s="534">
        <v>106293008.79000001</v>
      </c>
      <c r="C23" s="415"/>
      <c r="D23" s="644"/>
      <c r="E23" s="644"/>
      <c r="F23" s="644"/>
      <c r="G23" s="644"/>
      <c r="H23" s="415"/>
      <c r="I23" s="415"/>
      <c r="J23" s="415"/>
      <c r="K23" s="415"/>
      <c r="L23" s="415"/>
    </row>
    <row r="24" spans="1:16">
      <c r="A24" s="533" t="s">
        <v>578</v>
      </c>
      <c r="B24" s="534">
        <v>-126978752.26000001</v>
      </c>
      <c r="C24" s="415"/>
      <c r="D24" s="644"/>
      <c r="E24" s="644"/>
      <c r="F24" s="644"/>
      <c r="G24" s="644"/>
      <c r="H24" s="415"/>
      <c r="I24" s="415"/>
      <c r="J24" s="415"/>
      <c r="K24" s="415"/>
      <c r="L24" s="415"/>
    </row>
    <row r="25" spans="1:16">
      <c r="A25" s="533" t="s">
        <v>1338</v>
      </c>
      <c r="B25" s="534">
        <v>-907870.09</v>
      </c>
      <c r="C25" s="415"/>
      <c r="D25" s="644"/>
      <c r="E25" s="644"/>
      <c r="F25" s="644"/>
      <c r="G25" s="644"/>
      <c r="H25" s="415"/>
      <c r="I25" s="415"/>
      <c r="J25" s="415"/>
      <c r="K25" s="415"/>
      <c r="L25" s="415"/>
    </row>
    <row r="26" spans="1:16">
      <c r="A26" s="533" t="s">
        <v>579</v>
      </c>
      <c r="B26" s="534">
        <v>684818.76</v>
      </c>
      <c r="C26" s="415"/>
      <c r="D26" s="644"/>
      <c r="E26" s="644"/>
      <c r="F26" s="644"/>
      <c r="G26" s="644"/>
      <c r="H26" s="415"/>
      <c r="I26" s="415"/>
      <c r="J26" s="415"/>
      <c r="K26" s="415"/>
      <c r="L26" s="415"/>
      <c r="N26" s="1512"/>
      <c r="O26" s="1512"/>
      <c r="P26" s="1512"/>
    </row>
    <row r="27" spans="1:16">
      <c r="A27" s="533" t="s">
        <v>1215</v>
      </c>
      <c r="B27" s="534">
        <v>-2807424.7200000025</v>
      </c>
      <c r="C27" s="415"/>
      <c r="D27" s="644"/>
      <c r="E27" s="644"/>
      <c r="F27" s="644"/>
      <c r="G27" s="644"/>
      <c r="H27" s="415"/>
      <c r="I27" s="415"/>
      <c r="J27" s="415"/>
      <c r="K27" s="415"/>
      <c r="L27" s="415"/>
    </row>
    <row r="28" spans="1:16">
      <c r="A28" s="533" t="s">
        <v>1216</v>
      </c>
      <c r="B28" s="534">
        <v>-8500.869999999999</v>
      </c>
      <c r="D28" s="644"/>
      <c r="E28" s="1723"/>
      <c r="F28" s="644"/>
      <c r="G28" s="644"/>
      <c r="H28" s="415"/>
      <c r="I28" s="415"/>
      <c r="J28" s="415"/>
      <c r="K28" s="415"/>
      <c r="L28" s="415"/>
    </row>
    <row r="29" spans="1:16">
      <c r="B29" s="534"/>
      <c r="C29" s="415"/>
      <c r="D29" s="644"/>
      <c r="E29" s="644"/>
      <c r="F29" s="644"/>
      <c r="G29" s="644"/>
      <c r="H29" s="415"/>
      <c r="I29" s="415"/>
      <c r="J29" s="415"/>
      <c r="K29" s="415"/>
      <c r="L29" s="415"/>
    </row>
    <row r="30" spans="1:16">
      <c r="A30" s="533"/>
      <c r="B30" s="534"/>
      <c r="C30" s="415"/>
      <c r="D30" s="644"/>
      <c r="E30" s="644"/>
      <c r="F30" s="644"/>
      <c r="G30" s="644"/>
      <c r="H30" s="415"/>
      <c r="I30" s="415"/>
      <c r="J30" s="415"/>
      <c r="K30" s="415"/>
      <c r="L30" s="415"/>
    </row>
    <row r="31" spans="1:16">
      <c r="A31" s="533"/>
      <c r="B31" s="534"/>
      <c r="C31" s="415"/>
      <c r="D31" s="644"/>
      <c r="E31" s="644"/>
      <c r="F31" s="644"/>
      <c r="G31" s="644"/>
      <c r="H31" s="415"/>
      <c r="I31" s="415"/>
      <c r="J31" s="415"/>
      <c r="K31" s="415"/>
      <c r="L31" s="415"/>
    </row>
    <row r="32" spans="1:16">
      <c r="A32" s="533"/>
      <c r="B32" s="534"/>
      <c r="C32" s="415"/>
      <c r="D32" s="644"/>
      <c r="E32" s="644"/>
      <c r="F32" s="644"/>
      <c r="G32" s="644"/>
      <c r="H32" s="415"/>
      <c r="I32" s="415"/>
      <c r="J32" s="415"/>
      <c r="K32" s="415"/>
      <c r="L32" s="415"/>
    </row>
    <row r="33" spans="1:13">
      <c r="A33" s="336" t="s">
        <v>850</v>
      </c>
      <c r="B33" s="535">
        <f>SUM(B20:B32)</f>
        <v>-12669159.280000001</v>
      </c>
      <c r="C33" s="337"/>
      <c r="D33" s="337"/>
      <c r="E33" s="415"/>
    </row>
    <row r="34" spans="1:13">
      <c r="A34" s="336" t="s">
        <v>158</v>
      </c>
      <c r="B34" s="534">
        <v>-12669159</v>
      </c>
      <c r="C34" s="415"/>
      <c r="D34" s="415"/>
      <c r="E34" s="415"/>
    </row>
    <row r="35" spans="1:13" ht="12" thickBot="1">
      <c r="A35" s="475" t="s">
        <v>294</v>
      </c>
      <c r="B35" s="536">
        <f>B33-B34</f>
        <v>-0.2800000011920929</v>
      </c>
      <c r="C35" s="415"/>
      <c r="D35" s="415"/>
    </row>
    <row r="36" spans="1:13">
      <c r="H36" s="415"/>
      <c r="I36" s="415"/>
      <c r="J36" s="415"/>
      <c r="K36" s="415"/>
      <c r="L36" s="415"/>
    </row>
    <row r="37" spans="1:13" ht="12" thickBot="1">
      <c r="A37" s="446" t="s">
        <v>846</v>
      </c>
      <c r="H37" s="415"/>
      <c r="I37" s="415"/>
      <c r="J37" s="415"/>
      <c r="K37" s="415"/>
      <c r="L37" s="415"/>
    </row>
    <row r="38" spans="1:13" ht="22.5">
      <c r="A38" s="1504" t="s">
        <v>159</v>
      </c>
      <c r="B38" s="1710" t="s">
        <v>299</v>
      </c>
      <c r="C38" s="1505" t="s">
        <v>847</v>
      </c>
      <c r="D38" s="1505" t="s">
        <v>297</v>
      </c>
      <c r="E38" s="1505" t="s">
        <v>296</v>
      </c>
      <c r="F38" s="1505" t="s">
        <v>295</v>
      </c>
      <c r="G38" s="1506"/>
      <c r="H38" s="1507"/>
      <c r="I38" s="1507"/>
      <c r="J38" s="1507"/>
      <c r="K38" s="1508" t="s">
        <v>298</v>
      </c>
      <c r="L38" s="1512"/>
    </row>
    <row r="39" spans="1:13" ht="12.75">
      <c r="A39" s="1894" t="s">
        <v>148</v>
      </c>
      <c r="B39" s="1894" t="s">
        <v>289</v>
      </c>
      <c r="C39" s="1894"/>
      <c r="D39" s="1895"/>
      <c r="E39" s="1896">
        <v>600</v>
      </c>
      <c r="F39" s="1747">
        <f>SUM(C39:E39)</f>
        <v>600</v>
      </c>
      <c r="G39" s="1717"/>
      <c r="H39" s="1719"/>
      <c r="I39" s="1719"/>
      <c r="J39" s="1719"/>
      <c r="K39" s="1714"/>
      <c r="L39" s="2"/>
      <c r="M39"/>
    </row>
    <row r="40" spans="1:13" ht="12.75">
      <c r="A40" s="1894" t="s">
        <v>148</v>
      </c>
      <c r="B40" s="1894" t="s">
        <v>287</v>
      </c>
      <c r="C40" s="1959">
        <v>9394</v>
      </c>
      <c r="D40" s="1895"/>
      <c r="E40" s="1896">
        <v>600</v>
      </c>
      <c r="F40" s="1747">
        <f t="shared" ref="F40:F111" si="0">SUM(C40:E40)</f>
        <v>9994</v>
      </c>
      <c r="G40" s="1717"/>
      <c r="H40" s="1715"/>
      <c r="I40" s="1715"/>
      <c r="J40" s="1715"/>
      <c r="K40" s="1718"/>
      <c r="L40" s="2"/>
      <c r="M40"/>
    </row>
    <row r="41" spans="1:13" ht="12.75">
      <c r="A41" s="1894" t="s">
        <v>148</v>
      </c>
      <c r="B41" s="1894" t="s">
        <v>287</v>
      </c>
      <c r="C41" s="1959">
        <v>1558</v>
      </c>
      <c r="D41" s="1895"/>
      <c r="E41" s="1896">
        <v>600</v>
      </c>
      <c r="F41" s="1747">
        <f t="shared" si="0"/>
        <v>2158</v>
      </c>
      <c r="G41" s="1717"/>
      <c r="H41" s="1719"/>
      <c r="I41" s="1719"/>
      <c r="J41" s="1719"/>
      <c r="K41" s="1714"/>
      <c r="L41" s="2"/>
      <c r="M41"/>
    </row>
    <row r="42" spans="1:13" ht="12.75">
      <c r="A42" s="1894" t="s">
        <v>149</v>
      </c>
      <c r="B42" s="1894" t="s">
        <v>289</v>
      </c>
      <c r="C42" s="1894"/>
      <c r="D42" s="1895"/>
      <c r="E42" s="1959">
        <v>9212</v>
      </c>
      <c r="F42" s="1747">
        <f t="shared" si="0"/>
        <v>9212</v>
      </c>
      <c r="G42" s="1717"/>
      <c r="H42" s="1715"/>
      <c r="I42" s="1715"/>
      <c r="J42" s="1715"/>
      <c r="K42" s="1718"/>
      <c r="L42" s="2"/>
      <c r="M42"/>
    </row>
    <row r="43" spans="1:13" ht="12.75">
      <c r="A43" s="1746" t="s">
        <v>522</v>
      </c>
      <c r="B43" s="1746" t="s">
        <v>522</v>
      </c>
      <c r="C43" s="1895"/>
      <c r="D43" s="1895"/>
      <c r="E43" s="1895"/>
      <c r="F43" s="1747">
        <f t="shared" si="0"/>
        <v>0</v>
      </c>
      <c r="G43" s="1717"/>
      <c r="H43" s="1715"/>
      <c r="I43" s="1715"/>
      <c r="J43" s="1715"/>
      <c r="K43" s="1714"/>
      <c r="L43" s="2"/>
      <c r="M43"/>
    </row>
    <row r="44" spans="1:13" ht="12.75">
      <c r="A44" s="1746" t="s">
        <v>523</v>
      </c>
      <c r="B44" s="1746" t="s">
        <v>285</v>
      </c>
      <c r="C44" s="1959">
        <v>184238</v>
      </c>
      <c r="D44" s="1895"/>
      <c r="E44" s="1959">
        <v>328358</v>
      </c>
      <c r="F44" s="1747">
        <f t="shared" si="0"/>
        <v>512596</v>
      </c>
      <c r="G44" s="1717"/>
      <c r="H44" s="1715"/>
      <c r="I44" s="1715"/>
      <c r="J44" s="1715"/>
      <c r="K44" s="1718"/>
      <c r="L44" s="2"/>
      <c r="M44"/>
    </row>
    <row r="45" spans="1:13" ht="12.75">
      <c r="A45" s="1746" t="s">
        <v>523</v>
      </c>
      <c r="B45" s="1746" t="s">
        <v>285</v>
      </c>
      <c r="C45" s="1959">
        <v>72896</v>
      </c>
      <c r="D45" s="1895"/>
      <c r="E45" s="1959">
        <v>253793</v>
      </c>
      <c r="F45" s="1747">
        <f t="shared" si="0"/>
        <v>326689</v>
      </c>
      <c r="G45" s="1717"/>
      <c r="H45" s="1719"/>
      <c r="I45" s="1719"/>
      <c r="J45" s="1719"/>
      <c r="K45" s="1718"/>
      <c r="L45" s="2"/>
      <c r="M45"/>
    </row>
    <row r="46" spans="1:13" ht="12.75">
      <c r="A46" s="1746" t="s">
        <v>523</v>
      </c>
      <c r="B46" s="1746" t="s">
        <v>285</v>
      </c>
      <c r="C46" s="1959">
        <v>61826</v>
      </c>
      <c r="D46" s="1895"/>
      <c r="E46" s="1959">
        <v>102185</v>
      </c>
      <c r="F46" s="1747">
        <f t="shared" si="0"/>
        <v>164011</v>
      </c>
      <c r="G46" s="1717"/>
      <c r="H46" s="1719"/>
      <c r="I46" s="1719"/>
      <c r="J46" s="1719"/>
      <c r="K46" s="1716"/>
      <c r="L46" s="2"/>
      <c r="M46"/>
    </row>
    <row r="47" spans="1:13" ht="12.75">
      <c r="A47" s="1746" t="s">
        <v>523</v>
      </c>
      <c r="B47" s="1746" t="s">
        <v>285</v>
      </c>
      <c r="C47" s="1959">
        <v>565195</v>
      </c>
      <c r="D47" s="1895"/>
      <c r="E47" s="1960">
        <v>511011</v>
      </c>
      <c r="F47" s="1747">
        <f t="shared" si="0"/>
        <v>1076206</v>
      </c>
      <c r="G47" s="1717"/>
      <c r="H47" s="1715"/>
      <c r="I47" s="1715"/>
      <c r="J47" s="1715"/>
      <c r="K47" s="1718"/>
      <c r="L47" s="2"/>
      <c r="M47"/>
    </row>
    <row r="48" spans="1:13" ht="12.75">
      <c r="A48" s="1746" t="s">
        <v>523</v>
      </c>
      <c r="B48" s="1746" t="s">
        <v>285</v>
      </c>
      <c r="C48" s="1959">
        <v>58723</v>
      </c>
      <c r="D48" s="1895"/>
      <c r="E48" s="1959">
        <v>65581</v>
      </c>
      <c r="F48" s="1747">
        <f t="shared" si="0"/>
        <v>124304</v>
      </c>
      <c r="G48" s="1717"/>
      <c r="H48" s="1715"/>
      <c r="I48" s="1715"/>
      <c r="J48" s="1715"/>
      <c r="K48" s="1718"/>
      <c r="L48" s="2"/>
      <c r="M48"/>
    </row>
    <row r="49" spans="1:13" ht="12.75">
      <c r="A49" s="1746" t="s">
        <v>523</v>
      </c>
      <c r="B49" s="1746" t="s">
        <v>285</v>
      </c>
      <c r="C49" s="1959">
        <v>43658</v>
      </c>
      <c r="D49" s="1894"/>
      <c r="E49" s="1959">
        <v>77601</v>
      </c>
      <c r="F49" s="1747">
        <f t="shared" si="0"/>
        <v>121259</v>
      </c>
      <c r="G49" s="1717"/>
      <c r="H49" s="1715"/>
      <c r="I49" s="1715"/>
      <c r="J49" s="1715"/>
      <c r="K49" s="1718"/>
      <c r="L49" s="2"/>
      <c r="M49"/>
    </row>
    <row r="50" spans="1:13" ht="12.75">
      <c r="A50" s="1746" t="s">
        <v>523</v>
      </c>
      <c r="B50" s="1746" t="s">
        <v>285</v>
      </c>
      <c r="C50" s="1959">
        <v>224436</v>
      </c>
      <c r="D50" s="1894"/>
      <c r="E50" s="1959">
        <v>197921</v>
      </c>
      <c r="F50" s="1747">
        <f t="shared" si="0"/>
        <v>422357</v>
      </c>
      <c r="G50" s="1717"/>
      <c r="H50" s="1715"/>
      <c r="I50" s="1715"/>
      <c r="J50" s="1715"/>
      <c r="K50" s="1718"/>
      <c r="L50" s="2"/>
      <c r="M50"/>
    </row>
    <row r="51" spans="1:13" ht="12.75">
      <c r="A51" s="1746" t="s">
        <v>523</v>
      </c>
      <c r="B51" s="1746" t="s">
        <v>285</v>
      </c>
      <c r="C51" s="1959">
        <v>247016</v>
      </c>
      <c r="D51" s="1894"/>
      <c r="E51" s="1959">
        <v>426081</v>
      </c>
      <c r="F51" s="1747">
        <f t="shared" si="0"/>
        <v>673097</v>
      </c>
      <c r="G51" s="1717"/>
      <c r="H51" s="1715"/>
      <c r="I51" s="1715"/>
      <c r="J51" s="1715"/>
      <c r="K51" s="1718"/>
      <c r="L51" s="2"/>
      <c r="M51"/>
    </row>
    <row r="52" spans="1:13" ht="12.75">
      <c r="A52" s="1746" t="s">
        <v>523</v>
      </c>
      <c r="B52" s="1746" t="s">
        <v>285</v>
      </c>
      <c r="C52" s="1959">
        <v>255</v>
      </c>
      <c r="D52" s="1894"/>
      <c r="E52" s="1959">
        <v>7635</v>
      </c>
      <c r="F52" s="1747">
        <f t="shared" si="0"/>
        <v>7890</v>
      </c>
      <c r="G52" s="1717"/>
      <c r="H52" s="1715"/>
      <c r="I52" s="1715"/>
      <c r="J52" s="1715"/>
      <c r="K52" s="1718"/>
      <c r="L52" s="2"/>
      <c r="M52"/>
    </row>
    <row r="53" spans="1:13" ht="12.75">
      <c r="A53" s="1746" t="s">
        <v>522</v>
      </c>
      <c r="B53" s="1746" t="s">
        <v>522</v>
      </c>
      <c r="C53" s="1747"/>
      <c r="D53" s="1747"/>
      <c r="E53" s="1747"/>
      <c r="F53" s="1747"/>
      <c r="G53" s="1717"/>
      <c r="H53" s="1719"/>
      <c r="I53" s="1719"/>
      <c r="J53" s="1719"/>
      <c r="K53" s="1718"/>
      <c r="L53" s="2"/>
      <c r="M53"/>
    </row>
    <row r="54" spans="1:13">
      <c r="A54" s="1746" t="s">
        <v>525</v>
      </c>
      <c r="B54" s="1746" t="s">
        <v>286</v>
      </c>
      <c r="C54" s="1959">
        <v>889590</v>
      </c>
      <c r="D54" s="1894"/>
      <c r="E54" s="1959">
        <v>540363</v>
      </c>
      <c r="F54" s="1747">
        <f t="shared" si="0"/>
        <v>1429953</v>
      </c>
      <c r="G54" s="1717"/>
      <c r="H54" s="1715"/>
      <c r="I54" s="1715"/>
      <c r="J54" s="1715"/>
      <c r="K54" s="1718"/>
      <c r="L54" s="1746"/>
      <c r="M54" s="1961"/>
    </row>
    <row r="55" spans="1:13">
      <c r="A55" s="1746" t="s">
        <v>525</v>
      </c>
      <c r="B55" s="1746" t="s">
        <v>286</v>
      </c>
      <c r="C55" s="1959">
        <v>1246025</v>
      </c>
      <c r="D55" s="1894"/>
      <c r="E55" s="1959">
        <v>2474257</v>
      </c>
      <c r="F55" s="1747">
        <f t="shared" si="0"/>
        <v>3720282</v>
      </c>
      <c r="G55" s="1717"/>
      <c r="H55" s="1715"/>
      <c r="I55" s="1715"/>
      <c r="J55" s="1715"/>
      <c r="K55" s="1718"/>
      <c r="L55" s="1746"/>
      <c r="M55" s="1961"/>
    </row>
    <row r="56" spans="1:13" ht="12.75">
      <c r="A56" s="1746" t="s">
        <v>291</v>
      </c>
      <c r="B56" s="1746" t="s">
        <v>286</v>
      </c>
      <c r="C56" s="1959">
        <v>1710440</v>
      </c>
      <c r="D56" s="1894"/>
      <c r="E56" s="1959">
        <v>620403</v>
      </c>
      <c r="F56" s="1747">
        <f t="shared" si="0"/>
        <v>2330843</v>
      </c>
      <c r="G56" s="1717"/>
      <c r="H56" s="1719"/>
      <c r="I56" s="1719"/>
      <c r="J56" s="1719"/>
      <c r="K56" s="1718"/>
      <c r="L56" s="2"/>
      <c r="M56" s="1746"/>
    </row>
    <row r="57" spans="1:13">
      <c r="A57" s="1746" t="s">
        <v>291</v>
      </c>
      <c r="B57" s="1746" t="s">
        <v>286</v>
      </c>
      <c r="C57" s="1894"/>
      <c r="D57" s="1894"/>
      <c r="E57" s="1959">
        <v>696</v>
      </c>
      <c r="F57" s="1747">
        <f t="shared" si="0"/>
        <v>696</v>
      </c>
      <c r="G57" s="1717"/>
      <c r="H57" s="1715"/>
      <c r="I57" s="1715"/>
      <c r="J57" s="1784"/>
      <c r="K57" s="1718"/>
      <c r="L57" s="1746"/>
      <c r="M57" s="1746"/>
    </row>
    <row r="58" spans="1:13" ht="12.75">
      <c r="A58" s="1746" t="s">
        <v>1280</v>
      </c>
      <c r="B58" s="1746" t="s">
        <v>286</v>
      </c>
      <c r="C58" s="1959">
        <v>1219750</v>
      </c>
      <c r="D58" s="1894"/>
      <c r="E58" s="1959">
        <v>1059621</v>
      </c>
      <c r="F58" s="1747">
        <f t="shared" si="0"/>
        <v>2279371</v>
      </c>
      <c r="G58" s="1717"/>
      <c r="H58" s="1715"/>
      <c r="I58" s="1715"/>
      <c r="J58" s="1715"/>
      <c r="K58" s="1718"/>
      <c r="L58" s="1746"/>
      <c r="M58" s="2"/>
    </row>
    <row r="59" spans="1:13" ht="12.75">
      <c r="A59" s="1746" t="s">
        <v>147</v>
      </c>
      <c r="B59" s="1746" t="s">
        <v>286</v>
      </c>
      <c r="C59" s="1959">
        <v>221773</v>
      </c>
      <c r="D59" s="1894"/>
      <c r="E59" s="1959">
        <v>31223</v>
      </c>
      <c r="F59" s="1747">
        <f t="shared" si="0"/>
        <v>252996</v>
      </c>
      <c r="G59" s="1717"/>
      <c r="H59" s="1715"/>
      <c r="I59" s="1715"/>
      <c r="J59" s="1715"/>
      <c r="K59" s="1718"/>
      <c r="L59" s="1746"/>
      <c r="M59" s="2"/>
    </row>
    <row r="60" spans="1:13">
      <c r="A60" s="1746" t="s">
        <v>528</v>
      </c>
      <c r="B60" s="1746" t="s">
        <v>286</v>
      </c>
      <c r="C60" s="1959">
        <v>621912</v>
      </c>
      <c r="D60" s="1894"/>
      <c r="E60" s="1959">
        <v>250509</v>
      </c>
      <c r="F60" s="1747">
        <f t="shared" si="0"/>
        <v>872421</v>
      </c>
      <c r="G60" s="1717"/>
      <c r="H60" s="1715"/>
      <c r="I60" s="1715"/>
      <c r="J60" s="1715"/>
      <c r="K60" s="1718"/>
      <c r="L60" s="1746"/>
      <c r="M60" s="1962"/>
    </row>
    <row r="61" spans="1:13">
      <c r="A61" s="1746" t="s">
        <v>528</v>
      </c>
      <c r="B61" s="1746" t="s">
        <v>286</v>
      </c>
      <c r="C61" s="1894"/>
      <c r="D61" s="1894"/>
      <c r="E61" s="1959">
        <v>13265</v>
      </c>
      <c r="F61" s="1747">
        <f t="shared" si="0"/>
        <v>13265</v>
      </c>
      <c r="G61" s="1717"/>
      <c r="H61" s="1715"/>
      <c r="I61" s="1715"/>
      <c r="J61" s="1715"/>
      <c r="K61" s="1718">
        <v>67314</v>
      </c>
      <c r="L61" s="1746" t="s">
        <v>1293</v>
      </c>
      <c r="M61" s="1746" t="s">
        <v>1349</v>
      </c>
    </row>
    <row r="62" spans="1:13" ht="12.75">
      <c r="A62" s="1746" t="s">
        <v>1072</v>
      </c>
      <c r="B62" s="1746" t="s">
        <v>286</v>
      </c>
      <c r="C62" s="1959">
        <v>1447</v>
      </c>
      <c r="D62" s="1894"/>
      <c r="E62" s="1959">
        <v>58</v>
      </c>
      <c r="F62" s="1747">
        <f t="shared" si="0"/>
        <v>1505</v>
      </c>
      <c r="G62" s="1717"/>
      <c r="H62" s="1715"/>
      <c r="I62" s="1715"/>
      <c r="J62" s="1715"/>
      <c r="K62" s="1718"/>
      <c r="L62" s="1746"/>
      <c r="M62"/>
    </row>
    <row r="63" spans="1:13" ht="12.75">
      <c r="A63" s="1897" t="s">
        <v>529</v>
      </c>
      <c r="B63" s="1746" t="s">
        <v>286</v>
      </c>
      <c r="C63" s="1959">
        <v>27722</v>
      </c>
      <c r="D63" s="1894"/>
      <c r="E63" s="1959">
        <v>23759</v>
      </c>
      <c r="F63" s="1747">
        <f>SUM(C63:E63)</f>
        <v>51481</v>
      </c>
      <c r="G63" s="1717"/>
      <c r="H63" s="1715"/>
      <c r="I63" s="1715"/>
      <c r="J63" s="1715"/>
      <c r="K63" s="1718"/>
      <c r="L63" s="1740"/>
      <c r="M63"/>
    </row>
    <row r="64" spans="1:13" ht="12.75">
      <c r="A64" s="1897"/>
      <c r="B64" s="1746"/>
      <c r="C64" s="1896"/>
      <c r="D64" s="1894"/>
      <c r="E64" s="1896"/>
      <c r="F64" s="1747"/>
      <c r="G64" s="1717"/>
      <c r="H64" s="1715"/>
      <c r="I64" s="1715"/>
      <c r="J64" s="1715"/>
      <c r="K64" s="1718"/>
      <c r="L64" s="1740"/>
      <c r="M64"/>
    </row>
    <row r="65" spans="1:13" ht="12.75">
      <c r="A65" s="1746" t="s">
        <v>522</v>
      </c>
      <c r="B65" s="1746" t="s">
        <v>522</v>
      </c>
      <c r="C65" s="1747"/>
      <c r="D65" s="1747"/>
      <c r="E65" s="1747"/>
      <c r="F65" s="1747"/>
      <c r="G65" s="1717"/>
      <c r="H65" s="1715"/>
      <c r="I65" s="1715"/>
      <c r="J65" s="1715"/>
      <c r="K65" s="1718"/>
      <c r="L65" s="2"/>
      <c r="M65"/>
    </row>
    <row r="66" spans="1:13" ht="12.75">
      <c r="A66" s="1894" t="s">
        <v>1213</v>
      </c>
      <c r="B66" s="1746" t="s">
        <v>290</v>
      </c>
      <c r="C66" s="1963">
        <v>775</v>
      </c>
      <c r="D66" s="1943"/>
      <c r="E66" s="1963">
        <v>82</v>
      </c>
      <c r="F66" s="1747">
        <f t="shared" si="0"/>
        <v>857</v>
      </c>
      <c r="G66" s="1717"/>
      <c r="H66" s="1715"/>
      <c r="I66" s="1715"/>
      <c r="J66" s="1715"/>
      <c r="K66" s="1805">
        <f t="shared" ref="K66:K71" si="1">C66</f>
        <v>775</v>
      </c>
      <c r="L66" s="1746" t="s">
        <v>1293</v>
      </c>
      <c r="M66"/>
    </row>
    <row r="67" spans="1:13" ht="12.75">
      <c r="A67" s="1894" t="s">
        <v>1281</v>
      </c>
      <c r="B67" s="1746" t="s">
        <v>290</v>
      </c>
      <c r="C67" s="1963">
        <v>205</v>
      </c>
      <c r="D67" s="1943"/>
      <c r="E67" s="1963">
        <v>100</v>
      </c>
      <c r="F67" s="1747">
        <f t="shared" si="0"/>
        <v>305</v>
      </c>
      <c r="G67" s="1717"/>
      <c r="H67" s="1715"/>
      <c r="I67" s="1715"/>
      <c r="J67" s="1715"/>
      <c r="K67" s="1805">
        <f t="shared" si="1"/>
        <v>205</v>
      </c>
      <c r="L67" s="1746" t="s">
        <v>1294</v>
      </c>
      <c r="M67"/>
    </row>
    <row r="68" spans="1:13" ht="12.75">
      <c r="A68" s="1894" t="s">
        <v>1314</v>
      </c>
      <c r="B68" s="1746" t="s">
        <v>290</v>
      </c>
      <c r="C68" s="1963">
        <v>53375</v>
      </c>
      <c r="D68" s="1943"/>
      <c r="E68" s="1963">
        <v>11882</v>
      </c>
      <c r="F68" s="1747">
        <f t="shared" si="0"/>
        <v>65257</v>
      </c>
      <c r="G68" s="1717"/>
      <c r="H68" s="1715"/>
      <c r="I68" s="1715"/>
      <c r="J68" s="1715"/>
      <c r="K68" s="1805">
        <f t="shared" si="1"/>
        <v>53375</v>
      </c>
      <c r="L68" s="1746" t="s">
        <v>1294</v>
      </c>
      <c r="M68"/>
    </row>
    <row r="69" spans="1:13" ht="12.75">
      <c r="A69" s="1894" t="s">
        <v>291</v>
      </c>
      <c r="B69" s="1746" t="s">
        <v>290</v>
      </c>
      <c r="C69" s="1963">
        <v>1385</v>
      </c>
      <c r="D69" s="1943"/>
      <c r="E69" s="1963">
        <v>494</v>
      </c>
      <c r="F69" s="1747">
        <f t="shared" si="0"/>
        <v>1879</v>
      </c>
      <c r="G69" s="1717"/>
      <c r="H69" s="1715"/>
      <c r="I69" s="1715"/>
      <c r="J69" s="1715"/>
      <c r="K69" s="1805">
        <f t="shared" si="1"/>
        <v>1385</v>
      </c>
      <c r="L69" s="1746" t="s">
        <v>1293</v>
      </c>
      <c r="M69"/>
    </row>
    <row r="70" spans="1:13" ht="12.75">
      <c r="A70" s="1894" t="s">
        <v>148</v>
      </c>
      <c r="B70" s="1746" t="s">
        <v>290</v>
      </c>
      <c r="C70" s="1963">
        <v>126133</v>
      </c>
      <c r="D70" s="1943"/>
      <c r="E70" s="1963">
        <v>84888</v>
      </c>
      <c r="F70" s="1747">
        <f t="shared" si="0"/>
        <v>211021</v>
      </c>
      <c r="G70" s="1717"/>
      <c r="H70" s="1715"/>
      <c r="I70" s="1715"/>
      <c r="J70" s="1715"/>
      <c r="K70" s="1805">
        <f t="shared" si="1"/>
        <v>126133</v>
      </c>
      <c r="L70" s="1746" t="s">
        <v>1293</v>
      </c>
      <c r="M70"/>
    </row>
    <row r="71" spans="1:13" ht="12.75">
      <c r="A71" s="1894" t="s">
        <v>528</v>
      </c>
      <c r="B71" s="1746" t="s">
        <v>290</v>
      </c>
      <c r="C71" s="1963">
        <v>112595</v>
      </c>
      <c r="D71" s="1943"/>
      <c r="E71" s="1963">
        <v>6783</v>
      </c>
      <c r="F71" s="1747">
        <f t="shared" si="0"/>
        <v>119378</v>
      </c>
      <c r="G71" s="1717"/>
      <c r="H71" s="1715"/>
      <c r="I71" s="1715"/>
      <c r="J71" s="1715"/>
      <c r="K71" s="1805">
        <f t="shared" si="1"/>
        <v>112595</v>
      </c>
      <c r="L71" s="1746" t="s">
        <v>1293</v>
      </c>
      <c r="M71"/>
    </row>
    <row r="72" spans="1:13" ht="12.75">
      <c r="A72" s="1746" t="s">
        <v>522</v>
      </c>
      <c r="B72" s="1746"/>
      <c r="C72" s="1747"/>
      <c r="D72" s="1747"/>
      <c r="E72" s="1747"/>
      <c r="F72" s="1747"/>
      <c r="G72" s="1717"/>
      <c r="H72" s="1715"/>
      <c r="I72" s="1715"/>
      <c r="J72" s="1715"/>
      <c r="K72" s="1718"/>
      <c r="L72" s="1746"/>
      <c r="M72"/>
    </row>
    <row r="73" spans="1:13" ht="12.75">
      <c r="A73" s="1943" t="s">
        <v>1350</v>
      </c>
      <c r="B73" s="1746" t="s">
        <v>288</v>
      </c>
      <c r="C73" s="1747"/>
      <c r="D73" s="1963">
        <v>10518</v>
      </c>
      <c r="E73" s="1963">
        <v>2088</v>
      </c>
      <c r="F73" s="1747">
        <f t="shared" si="0"/>
        <v>12606</v>
      </c>
      <c r="G73" s="1717"/>
      <c r="H73" s="1715"/>
      <c r="I73" s="1715"/>
      <c r="J73" s="1715"/>
      <c r="K73" s="1718">
        <f t="shared" ref="K73:K105" si="2">D73</f>
        <v>10518</v>
      </c>
      <c r="L73" s="1746" t="s">
        <v>1294</v>
      </c>
      <c r="M73"/>
    </row>
    <row r="74" spans="1:13" ht="12.75">
      <c r="A74" s="1943" t="s">
        <v>1351</v>
      </c>
      <c r="B74" s="1746" t="s">
        <v>288</v>
      </c>
      <c r="C74" s="1747"/>
      <c r="D74" s="1963">
        <v>2064</v>
      </c>
      <c r="E74" s="1963">
        <v>735</v>
      </c>
      <c r="F74" s="1747">
        <f t="shared" si="0"/>
        <v>2799</v>
      </c>
      <c r="G74" s="1717"/>
      <c r="H74" s="1715"/>
      <c r="I74" s="1715"/>
      <c r="J74" s="1715"/>
      <c r="K74" s="1718">
        <f t="shared" si="2"/>
        <v>2064</v>
      </c>
      <c r="L74" s="1746" t="s">
        <v>1294</v>
      </c>
      <c r="M74"/>
    </row>
    <row r="75" spans="1:13" ht="12.75">
      <c r="A75" s="1943" t="s">
        <v>1213</v>
      </c>
      <c r="B75" s="1897" t="s">
        <v>288</v>
      </c>
      <c r="C75" s="1895"/>
      <c r="D75" s="1963">
        <v>691</v>
      </c>
      <c r="E75" s="1963">
        <v>761</v>
      </c>
      <c r="F75" s="1747">
        <f t="shared" si="0"/>
        <v>1452</v>
      </c>
      <c r="G75" s="1717"/>
      <c r="H75" s="1715"/>
      <c r="I75" s="1715"/>
      <c r="J75" s="1715"/>
      <c r="K75" s="1718">
        <f t="shared" si="2"/>
        <v>691</v>
      </c>
      <c r="L75" s="1746" t="s">
        <v>1294</v>
      </c>
      <c r="M75"/>
    </row>
    <row r="76" spans="1:13" ht="12.75">
      <c r="A76" s="1943" t="s">
        <v>1352</v>
      </c>
      <c r="B76" s="1897" t="s">
        <v>288</v>
      </c>
      <c r="C76" s="1895"/>
      <c r="D76" s="1963">
        <v>2</v>
      </c>
      <c r="E76" s="1963">
        <v>1</v>
      </c>
      <c r="F76" s="1747">
        <f t="shared" si="0"/>
        <v>3</v>
      </c>
      <c r="G76" s="1717"/>
      <c r="H76" s="1715"/>
      <c r="I76" s="1715"/>
      <c r="J76" s="1715"/>
      <c r="K76" s="1718">
        <f t="shared" si="2"/>
        <v>2</v>
      </c>
      <c r="L76" s="1746" t="s">
        <v>1293</v>
      </c>
      <c r="M76"/>
    </row>
    <row r="77" spans="1:13" ht="12.75">
      <c r="A77" s="1943" t="s">
        <v>1353</v>
      </c>
      <c r="B77" s="1897" t="s">
        <v>288</v>
      </c>
      <c r="C77" s="1895"/>
      <c r="D77" s="1963">
        <v>681</v>
      </c>
      <c r="E77" s="1963">
        <v>133</v>
      </c>
      <c r="F77" s="1747">
        <f t="shared" si="0"/>
        <v>814</v>
      </c>
      <c r="G77" s="1717"/>
      <c r="H77" s="1715"/>
      <c r="I77" s="1715"/>
      <c r="J77" s="1715"/>
      <c r="K77" s="1718">
        <f t="shared" si="2"/>
        <v>681</v>
      </c>
      <c r="L77" s="1746" t="s">
        <v>1294</v>
      </c>
      <c r="M77"/>
    </row>
    <row r="78" spans="1:13" ht="12.75">
      <c r="A78" s="1943" t="s">
        <v>526</v>
      </c>
      <c r="B78" s="1897" t="s">
        <v>288</v>
      </c>
      <c r="C78" s="1895"/>
      <c r="D78" s="1963">
        <v>10112</v>
      </c>
      <c r="E78" s="1963">
        <v>3235</v>
      </c>
      <c r="F78" s="1747">
        <f t="shared" si="0"/>
        <v>13347</v>
      </c>
      <c r="G78" s="1717"/>
      <c r="H78" s="1715"/>
      <c r="I78" s="1715"/>
      <c r="J78" s="1715"/>
      <c r="K78" s="1718">
        <f t="shared" si="2"/>
        <v>10112</v>
      </c>
      <c r="L78" s="1746" t="s">
        <v>1294</v>
      </c>
      <c r="M78"/>
    </row>
    <row r="79" spans="1:13" ht="12.75">
      <c r="A79" s="1943" t="s">
        <v>1354</v>
      </c>
      <c r="B79" s="1897" t="s">
        <v>288</v>
      </c>
      <c r="C79" s="1895"/>
      <c r="D79" s="1963">
        <v>510</v>
      </c>
      <c r="E79" s="1963">
        <v>-1024</v>
      </c>
      <c r="F79" s="1747">
        <f t="shared" si="0"/>
        <v>-514</v>
      </c>
      <c r="G79" s="1717"/>
      <c r="H79" s="1715"/>
      <c r="I79" s="1715"/>
      <c r="J79" s="1715"/>
      <c r="K79" s="1718">
        <f t="shared" si="2"/>
        <v>510</v>
      </c>
      <c r="L79" s="1746" t="s">
        <v>1293</v>
      </c>
      <c r="M79"/>
    </row>
    <row r="80" spans="1:13" ht="12.75">
      <c r="A80" s="1943" t="s">
        <v>1295</v>
      </c>
      <c r="B80" s="1897" t="s">
        <v>288</v>
      </c>
      <c r="C80" s="1895"/>
      <c r="D80" s="1963">
        <v>217733</v>
      </c>
      <c r="E80" s="1963">
        <v>35572</v>
      </c>
      <c r="F80" s="1747">
        <f t="shared" si="0"/>
        <v>253305</v>
      </c>
      <c r="G80" s="1717"/>
      <c r="H80" s="1715"/>
      <c r="I80" s="1715"/>
      <c r="J80" s="1715"/>
      <c r="K80" s="1718">
        <f t="shared" si="2"/>
        <v>217733</v>
      </c>
      <c r="L80" s="1746" t="s">
        <v>1294</v>
      </c>
      <c r="M80"/>
    </row>
    <row r="81" spans="1:13" ht="12.75">
      <c r="A81" s="1943" t="s">
        <v>1355</v>
      </c>
      <c r="B81" s="1897" t="s">
        <v>288</v>
      </c>
      <c r="C81" s="1895"/>
      <c r="D81" s="1963">
        <v>606</v>
      </c>
      <c r="E81" s="1963">
        <v>264</v>
      </c>
      <c r="F81" s="1747">
        <f t="shared" si="0"/>
        <v>870</v>
      </c>
      <c r="G81" s="1717"/>
      <c r="H81" s="1719"/>
      <c r="I81" s="1719"/>
      <c r="J81" s="1719"/>
      <c r="K81" s="1718">
        <f t="shared" si="2"/>
        <v>606</v>
      </c>
      <c r="L81" s="1746" t="s">
        <v>1293</v>
      </c>
      <c r="M81"/>
    </row>
    <row r="82" spans="1:13" ht="12.75">
      <c r="A82" s="1943" t="s">
        <v>1315</v>
      </c>
      <c r="B82" s="1897" t="s">
        <v>288</v>
      </c>
      <c r="C82" s="1895"/>
      <c r="D82" s="1963">
        <v>935</v>
      </c>
      <c r="E82" s="1963">
        <v>213</v>
      </c>
      <c r="F82" s="1747">
        <f t="shared" si="0"/>
        <v>1148</v>
      </c>
      <c r="G82" s="1717"/>
      <c r="H82" s="1719"/>
      <c r="I82" s="1719"/>
      <c r="J82" s="1719"/>
      <c r="K82" s="1718">
        <f t="shared" si="2"/>
        <v>935</v>
      </c>
      <c r="L82" s="1746" t="s">
        <v>1294</v>
      </c>
      <c r="M82"/>
    </row>
    <row r="83" spans="1:13" ht="12.75">
      <c r="A83" s="1943" t="s">
        <v>1281</v>
      </c>
      <c r="B83" s="1897" t="s">
        <v>288</v>
      </c>
      <c r="C83" s="1895"/>
      <c r="D83" s="1963">
        <v>34428</v>
      </c>
      <c r="E83" s="1963">
        <v>18342</v>
      </c>
      <c r="F83" s="1747">
        <f t="shared" si="0"/>
        <v>52770</v>
      </c>
      <c r="G83" s="1717"/>
      <c r="H83" s="1719"/>
      <c r="I83" s="1719"/>
      <c r="J83" s="1719"/>
      <c r="K83" s="1718">
        <f t="shared" si="2"/>
        <v>34428</v>
      </c>
      <c r="L83" s="1746" t="s">
        <v>1294</v>
      </c>
      <c r="M83" s="2"/>
    </row>
    <row r="84" spans="1:13" ht="12.75">
      <c r="A84" s="1943" t="s">
        <v>1313</v>
      </c>
      <c r="B84" s="1897" t="s">
        <v>288</v>
      </c>
      <c r="C84" s="1895"/>
      <c r="D84" s="1963">
        <v>38849</v>
      </c>
      <c r="E84" s="1963">
        <v>18767</v>
      </c>
      <c r="F84" s="1747">
        <f t="shared" si="0"/>
        <v>57616</v>
      </c>
      <c r="G84" s="1717"/>
      <c r="H84" s="1719"/>
      <c r="I84" s="1719"/>
      <c r="J84" s="1719"/>
      <c r="K84" s="1718">
        <f t="shared" si="2"/>
        <v>38849</v>
      </c>
      <c r="L84" s="1746" t="s">
        <v>1294</v>
      </c>
      <c r="M84" s="2"/>
    </row>
    <row r="85" spans="1:13" ht="12.75">
      <c r="A85" s="1943" t="s">
        <v>524</v>
      </c>
      <c r="B85" s="1897" t="s">
        <v>288</v>
      </c>
      <c r="C85" s="1895"/>
      <c r="D85" s="1963">
        <v>321</v>
      </c>
      <c r="E85" s="1963">
        <v>170</v>
      </c>
      <c r="F85" s="1747">
        <f t="shared" si="0"/>
        <v>491</v>
      </c>
      <c r="G85" s="1717"/>
      <c r="H85" s="1719"/>
      <c r="I85" s="1719"/>
      <c r="J85" s="1719"/>
      <c r="K85" s="1718">
        <f t="shared" si="2"/>
        <v>321</v>
      </c>
      <c r="L85" s="1746" t="s">
        <v>1293</v>
      </c>
      <c r="M85" s="2"/>
    </row>
    <row r="86" spans="1:13" ht="12.75">
      <c r="A86" s="1943" t="s">
        <v>1356</v>
      </c>
      <c r="B86" s="1897" t="s">
        <v>288</v>
      </c>
      <c r="C86" s="1895"/>
      <c r="D86" s="1963">
        <v>15028</v>
      </c>
      <c r="E86" s="1963">
        <v>3628</v>
      </c>
      <c r="F86" s="1747">
        <f t="shared" si="0"/>
        <v>18656</v>
      </c>
      <c r="G86" s="1717"/>
      <c r="H86" s="1715"/>
      <c r="I86" s="1715"/>
      <c r="J86" s="1715"/>
      <c r="K86" s="1718">
        <f t="shared" si="2"/>
        <v>15028</v>
      </c>
      <c r="L86" s="1746" t="s">
        <v>1294</v>
      </c>
      <c r="M86"/>
    </row>
    <row r="87" spans="1:13" ht="12.75">
      <c r="A87" s="1943" t="s">
        <v>1357</v>
      </c>
      <c r="B87" s="1897" t="s">
        <v>288</v>
      </c>
      <c r="C87" s="1895"/>
      <c r="D87" s="1963">
        <v>4408</v>
      </c>
      <c r="E87" s="1963">
        <v>3471</v>
      </c>
      <c r="F87" s="1747">
        <f t="shared" si="0"/>
        <v>7879</v>
      </c>
      <c r="G87" s="1717"/>
      <c r="H87" s="1715"/>
      <c r="I87" s="1715"/>
      <c r="J87" s="1715"/>
      <c r="K87" s="1718">
        <f t="shared" si="2"/>
        <v>4408</v>
      </c>
      <c r="L87" s="1746" t="s">
        <v>1294</v>
      </c>
      <c r="M87"/>
    </row>
    <row r="88" spans="1:13" ht="12.75">
      <c r="A88" s="1943" t="s">
        <v>1358</v>
      </c>
      <c r="B88" s="1897" t="s">
        <v>288</v>
      </c>
      <c r="C88" s="1895"/>
      <c r="D88" s="1963">
        <v>4262</v>
      </c>
      <c r="E88" s="1963">
        <v>3443</v>
      </c>
      <c r="F88" s="1747">
        <f t="shared" si="0"/>
        <v>7705</v>
      </c>
      <c r="G88" s="1717"/>
      <c r="H88" s="1715"/>
      <c r="I88" s="1715"/>
      <c r="J88" s="1715"/>
      <c r="K88" s="1718">
        <f t="shared" si="2"/>
        <v>4262</v>
      </c>
      <c r="L88" s="1746" t="s">
        <v>1294</v>
      </c>
      <c r="M88"/>
    </row>
    <row r="89" spans="1:13" ht="12.75">
      <c r="A89" s="1943" t="s">
        <v>1359</v>
      </c>
      <c r="B89" s="1897" t="s">
        <v>288</v>
      </c>
      <c r="C89" s="1895"/>
      <c r="D89" s="1963">
        <v>2611</v>
      </c>
      <c r="E89" s="1963">
        <v>2376</v>
      </c>
      <c r="F89" s="1747">
        <f t="shared" si="0"/>
        <v>4987</v>
      </c>
      <c r="G89" s="1717"/>
      <c r="H89" s="1715"/>
      <c r="I89" s="1715"/>
      <c r="J89" s="1715"/>
      <c r="K89" s="1718">
        <f t="shared" si="2"/>
        <v>2611</v>
      </c>
      <c r="L89" s="1746" t="s">
        <v>1294</v>
      </c>
      <c r="M89"/>
    </row>
    <row r="90" spans="1:13" ht="12.75">
      <c r="A90" s="1943" t="s">
        <v>291</v>
      </c>
      <c r="B90" s="1897" t="s">
        <v>288</v>
      </c>
      <c r="C90" s="1895"/>
      <c r="D90" s="1963">
        <v>5340</v>
      </c>
      <c r="E90" s="1963">
        <v>2060</v>
      </c>
      <c r="F90" s="1747">
        <f t="shared" si="0"/>
        <v>7400</v>
      </c>
      <c r="G90" s="1717"/>
      <c r="H90" s="1715"/>
      <c r="I90" s="1715"/>
      <c r="J90" s="1715"/>
      <c r="K90" s="1718">
        <f t="shared" si="2"/>
        <v>5340</v>
      </c>
      <c r="L90" s="1746" t="s">
        <v>1294</v>
      </c>
      <c r="M90"/>
    </row>
    <row r="91" spans="1:13" ht="12.75">
      <c r="A91" s="1943" t="s">
        <v>1360</v>
      </c>
      <c r="B91" s="1897" t="s">
        <v>288</v>
      </c>
      <c r="C91" s="1895"/>
      <c r="D91" s="1963">
        <v>157377</v>
      </c>
      <c r="E91" s="1963">
        <v>87771</v>
      </c>
      <c r="F91" s="1747">
        <f t="shared" si="0"/>
        <v>245148</v>
      </c>
      <c r="G91" s="1717"/>
      <c r="H91" s="1715"/>
      <c r="I91" s="1715"/>
      <c r="J91" s="1715"/>
      <c r="K91" s="1718">
        <f t="shared" si="2"/>
        <v>157377</v>
      </c>
      <c r="L91" s="1746" t="s">
        <v>1293</v>
      </c>
      <c r="M91"/>
    </row>
    <row r="92" spans="1:13" ht="12.75">
      <c r="A92" s="1943" t="s">
        <v>1317</v>
      </c>
      <c r="B92" s="1897" t="s">
        <v>288</v>
      </c>
      <c r="C92" s="1895"/>
      <c r="D92" s="1963">
        <v>2805</v>
      </c>
      <c r="E92" s="1963">
        <v>1841</v>
      </c>
      <c r="F92" s="1747">
        <f t="shared" si="0"/>
        <v>4646</v>
      </c>
      <c r="G92" s="1717"/>
      <c r="H92" s="1715"/>
      <c r="I92" s="1715"/>
      <c r="J92" s="1715"/>
      <c r="K92" s="1718">
        <f t="shared" si="2"/>
        <v>2805</v>
      </c>
      <c r="L92" s="1746" t="s">
        <v>1294</v>
      </c>
      <c r="M92"/>
    </row>
    <row r="93" spans="1:13" ht="12.75">
      <c r="A93" s="1943" t="s">
        <v>147</v>
      </c>
      <c r="B93" s="1897" t="s">
        <v>288</v>
      </c>
      <c r="C93" s="1895"/>
      <c r="D93" s="1963">
        <v>9141</v>
      </c>
      <c r="E93" s="1963">
        <v>2744</v>
      </c>
      <c r="F93" s="1747">
        <f t="shared" si="0"/>
        <v>11885</v>
      </c>
      <c r="G93" s="1717"/>
      <c r="H93" s="1715"/>
      <c r="I93" s="1715"/>
      <c r="J93" s="1715"/>
      <c r="K93" s="1718">
        <f t="shared" si="2"/>
        <v>9141</v>
      </c>
      <c r="L93" s="1746" t="s">
        <v>1294</v>
      </c>
      <c r="M93"/>
    </row>
    <row r="94" spans="1:13" ht="12.75">
      <c r="A94" s="1943" t="s">
        <v>1361</v>
      </c>
      <c r="B94" s="1897" t="s">
        <v>288</v>
      </c>
      <c r="C94" s="1895"/>
      <c r="D94" s="1963">
        <v>429</v>
      </c>
      <c r="E94" s="1963">
        <v>87</v>
      </c>
      <c r="F94" s="1747">
        <f t="shared" si="0"/>
        <v>516</v>
      </c>
      <c r="G94" s="1717"/>
      <c r="H94" s="1715"/>
      <c r="I94" s="1715"/>
      <c r="J94" s="1715"/>
      <c r="K94" s="1718">
        <f t="shared" si="2"/>
        <v>429</v>
      </c>
      <c r="L94" s="1746" t="s">
        <v>1293</v>
      </c>
      <c r="M94"/>
    </row>
    <row r="95" spans="1:13" ht="12.75">
      <c r="A95" s="1943" t="s">
        <v>148</v>
      </c>
      <c r="B95" s="1897" t="s">
        <v>288</v>
      </c>
      <c r="C95" s="1895"/>
      <c r="D95" s="1963">
        <v>16940</v>
      </c>
      <c r="E95" s="1963">
        <v>13233</v>
      </c>
      <c r="F95" s="1747">
        <f t="shared" si="0"/>
        <v>30173</v>
      </c>
      <c r="G95" s="1717"/>
      <c r="H95" s="1715"/>
      <c r="I95" s="1715"/>
      <c r="J95" s="1715"/>
      <c r="K95" s="1718">
        <f t="shared" si="2"/>
        <v>16940</v>
      </c>
      <c r="L95" s="1746" t="s">
        <v>1293</v>
      </c>
      <c r="M95"/>
    </row>
    <row r="96" spans="1:13" ht="12.75">
      <c r="A96" s="1943" t="s">
        <v>527</v>
      </c>
      <c r="B96" s="1897" t="s">
        <v>288</v>
      </c>
      <c r="C96" s="1895"/>
      <c r="D96" s="1963">
        <v>22484</v>
      </c>
      <c r="E96" s="1963">
        <v>10763</v>
      </c>
      <c r="F96" s="1747">
        <f t="shared" si="0"/>
        <v>33247</v>
      </c>
      <c r="G96" s="1717"/>
      <c r="H96" s="1719"/>
      <c r="I96" s="1719"/>
      <c r="J96" s="1719"/>
      <c r="K96" s="1718">
        <f t="shared" si="2"/>
        <v>22484</v>
      </c>
      <c r="L96" s="1746" t="s">
        <v>1294</v>
      </c>
      <c r="M96"/>
    </row>
    <row r="97" spans="1:13" ht="12.75">
      <c r="A97" s="1943" t="s">
        <v>1362</v>
      </c>
      <c r="B97" s="1897" t="s">
        <v>288</v>
      </c>
      <c r="C97" s="1895"/>
      <c r="D97" s="1963">
        <v>606</v>
      </c>
      <c r="E97" s="1963">
        <v>210</v>
      </c>
      <c r="F97" s="1747">
        <f t="shared" si="0"/>
        <v>816</v>
      </c>
      <c r="G97" s="1717"/>
      <c r="H97" s="1719"/>
      <c r="I97" s="1719"/>
      <c r="J97" s="1719"/>
      <c r="K97" s="1718">
        <f t="shared" si="2"/>
        <v>606</v>
      </c>
      <c r="L97" s="1746" t="s">
        <v>1293</v>
      </c>
      <c r="M97"/>
    </row>
    <row r="98" spans="1:13" ht="12.75">
      <c r="A98" s="1943" t="s">
        <v>528</v>
      </c>
      <c r="B98" s="1897" t="s">
        <v>288</v>
      </c>
      <c r="C98" s="1895"/>
      <c r="D98" s="1963">
        <v>152</v>
      </c>
      <c r="E98" s="1963">
        <v>33</v>
      </c>
      <c r="F98" s="1747">
        <f t="shared" si="0"/>
        <v>185</v>
      </c>
      <c r="G98" s="1717"/>
      <c r="H98" s="1719"/>
      <c r="I98" s="1719"/>
      <c r="J98" s="1719"/>
      <c r="K98" s="1718">
        <f t="shared" si="2"/>
        <v>152</v>
      </c>
      <c r="L98" s="1746" t="s">
        <v>1294</v>
      </c>
      <c r="M98"/>
    </row>
    <row r="99" spans="1:13" ht="12.75">
      <c r="A99" s="1943" t="s">
        <v>1363</v>
      </c>
      <c r="B99" s="1897" t="s">
        <v>288</v>
      </c>
      <c r="C99" s="1895"/>
      <c r="D99" s="1963">
        <v>1662</v>
      </c>
      <c r="E99" s="1963">
        <v>167</v>
      </c>
      <c r="F99" s="1747">
        <f t="shared" si="0"/>
        <v>1829</v>
      </c>
      <c r="G99" s="1717"/>
      <c r="H99" s="1719"/>
      <c r="I99" s="1719"/>
      <c r="J99" s="1719"/>
      <c r="K99" s="1718">
        <f t="shared" si="2"/>
        <v>1662</v>
      </c>
      <c r="L99" s="1746" t="s">
        <v>1293</v>
      </c>
      <c r="M99"/>
    </row>
    <row r="100" spans="1:13" ht="12.75">
      <c r="A100" s="1943" t="s">
        <v>1364</v>
      </c>
      <c r="B100" s="1897" t="s">
        <v>288</v>
      </c>
      <c r="C100" s="1895"/>
      <c r="D100" s="1963">
        <v>88</v>
      </c>
      <c r="E100" s="1963">
        <v>15</v>
      </c>
      <c r="F100" s="1747">
        <f t="shared" si="0"/>
        <v>103</v>
      </c>
      <c r="G100" s="1717"/>
      <c r="H100" s="1719"/>
      <c r="I100" s="1719"/>
      <c r="J100" s="1719"/>
      <c r="K100" s="1718">
        <f t="shared" si="2"/>
        <v>88</v>
      </c>
      <c r="L100" s="1746" t="s">
        <v>1294</v>
      </c>
      <c r="M100"/>
    </row>
    <row r="101" spans="1:13" ht="12.75">
      <c r="A101" s="1943" t="s">
        <v>586</v>
      </c>
      <c r="B101" s="1897" t="s">
        <v>288</v>
      </c>
      <c r="C101" s="1895"/>
      <c r="D101" s="1963">
        <v>358</v>
      </c>
      <c r="E101" s="1963">
        <v>91</v>
      </c>
      <c r="F101" s="1747">
        <f t="shared" si="0"/>
        <v>449</v>
      </c>
      <c r="G101" s="1717"/>
      <c r="H101" s="1719"/>
      <c r="I101" s="1719"/>
      <c r="J101" s="1719"/>
      <c r="K101" s="1718">
        <f t="shared" si="2"/>
        <v>358</v>
      </c>
      <c r="L101" s="1746" t="s">
        <v>1294</v>
      </c>
      <c r="M101"/>
    </row>
    <row r="102" spans="1:13" ht="12.75">
      <c r="A102" s="1943" t="s">
        <v>1318</v>
      </c>
      <c r="B102" s="1897" t="s">
        <v>288</v>
      </c>
      <c r="C102" s="1895"/>
      <c r="D102" s="1963">
        <v>113</v>
      </c>
      <c r="E102" s="1963">
        <v>19</v>
      </c>
      <c r="F102" s="1747">
        <f t="shared" si="0"/>
        <v>132</v>
      </c>
      <c r="G102" s="1717"/>
      <c r="H102" s="1719"/>
      <c r="I102" s="1719"/>
      <c r="J102" s="1719"/>
      <c r="K102" s="1718">
        <f t="shared" si="2"/>
        <v>113</v>
      </c>
      <c r="L102" s="1746" t="s">
        <v>1294</v>
      </c>
      <c r="M102"/>
    </row>
    <row r="103" spans="1:13" ht="12.75">
      <c r="A103" s="1943" t="s">
        <v>1365</v>
      </c>
      <c r="B103" s="1897" t="s">
        <v>288</v>
      </c>
      <c r="C103" s="1895"/>
      <c r="D103" s="1943"/>
      <c r="E103" s="1963">
        <v>-2184</v>
      </c>
      <c r="F103" s="1747">
        <f t="shared" si="0"/>
        <v>-2184</v>
      </c>
      <c r="G103" s="1717"/>
      <c r="H103" s="1719"/>
      <c r="I103" s="1719"/>
      <c r="J103" s="1719"/>
      <c r="K103" s="1718">
        <f t="shared" si="2"/>
        <v>0</v>
      </c>
      <c r="L103" s="1746"/>
      <c r="M103"/>
    </row>
    <row r="104" spans="1:13" ht="12.75">
      <c r="A104" s="1943" t="s">
        <v>1296</v>
      </c>
      <c r="B104" s="1897" t="s">
        <v>288</v>
      </c>
      <c r="C104" s="1895"/>
      <c r="D104" s="1943"/>
      <c r="E104" s="1963">
        <v>-122</v>
      </c>
      <c r="F104" s="1747">
        <f t="shared" si="0"/>
        <v>-122</v>
      </c>
      <c r="G104" s="1717"/>
      <c r="H104" s="1719"/>
      <c r="I104" s="1719"/>
      <c r="J104" s="1719"/>
      <c r="K104" s="1718">
        <f t="shared" si="2"/>
        <v>0</v>
      </c>
      <c r="L104" s="1746"/>
      <c r="M104"/>
    </row>
    <row r="105" spans="1:13" ht="12.75">
      <c r="A105" s="1943" t="s">
        <v>1366</v>
      </c>
      <c r="B105" s="1897" t="s">
        <v>288</v>
      </c>
      <c r="C105" s="1895"/>
      <c r="D105" s="1943"/>
      <c r="E105" s="1963">
        <v>2885</v>
      </c>
      <c r="F105" s="1747">
        <f t="shared" si="0"/>
        <v>2885</v>
      </c>
      <c r="G105" s="1717"/>
      <c r="H105" s="1719"/>
      <c r="I105" s="1719"/>
      <c r="J105" s="1719"/>
      <c r="K105" s="1718">
        <f t="shared" si="2"/>
        <v>0</v>
      </c>
      <c r="L105" s="1746"/>
      <c r="M105"/>
    </row>
    <row r="106" spans="1:13" ht="12.75">
      <c r="A106" s="1894"/>
      <c r="B106" s="1897"/>
      <c r="C106" s="1895"/>
      <c r="D106" s="1896"/>
      <c r="E106" s="1896"/>
      <c r="F106" s="1747"/>
      <c r="G106" s="1717"/>
      <c r="H106" s="1719"/>
      <c r="I106" s="1719"/>
      <c r="J106" s="1719"/>
      <c r="K106" s="1718"/>
      <c r="L106" s="1746"/>
      <c r="M106"/>
    </row>
    <row r="107" spans="1:13" ht="12.75">
      <c r="A107" s="1746" t="s">
        <v>522</v>
      </c>
      <c r="B107" s="1746"/>
      <c r="C107" s="1747"/>
      <c r="D107" s="1747"/>
      <c r="E107" s="1747"/>
      <c r="F107" s="1747"/>
      <c r="G107" s="1717"/>
      <c r="H107" s="1715"/>
      <c r="I107" s="1715"/>
      <c r="J107" s="1715"/>
      <c r="K107" s="1718"/>
      <c r="L107" s="1746"/>
      <c r="M107"/>
    </row>
    <row r="108" spans="1:13" ht="12.75">
      <c r="A108" s="1894" t="s">
        <v>150</v>
      </c>
      <c r="B108" s="1746" t="s">
        <v>285</v>
      </c>
      <c r="C108" s="1963">
        <v>125097</v>
      </c>
      <c r="D108" s="1943"/>
      <c r="E108" s="1963">
        <v>154720</v>
      </c>
      <c r="F108" s="1747">
        <f t="shared" si="0"/>
        <v>279817</v>
      </c>
      <c r="G108" s="1717"/>
      <c r="H108" s="1715"/>
      <c r="I108" s="1715"/>
      <c r="J108" s="1715"/>
      <c r="K108" s="1718"/>
      <c r="L108" s="1746"/>
      <c r="M108"/>
    </row>
    <row r="109" spans="1:13" ht="12.75">
      <c r="A109" s="1894" t="s">
        <v>733</v>
      </c>
      <c r="B109" s="1746" t="s">
        <v>285</v>
      </c>
      <c r="C109" s="1963">
        <v>81294</v>
      </c>
      <c r="D109" s="1943"/>
      <c r="E109" s="1963">
        <v>89350</v>
      </c>
      <c r="F109" s="1747">
        <f t="shared" si="0"/>
        <v>170644</v>
      </c>
      <c r="G109" s="1717"/>
      <c r="H109" s="1715"/>
      <c r="I109" s="1715"/>
      <c r="J109" s="1715"/>
      <c r="K109" s="1718"/>
      <c r="L109" s="1746"/>
      <c r="M109"/>
    </row>
    <row r="110" spans="1:13" ht="12.75">
      <c r="A110" s="1894" t="s">
        <v>1069</v>
      </c>
      <c r="B110" s="1746" t="s">
        <v>285</v>
      </c>
      <c r="C110" s="1963">
        <v>64695</v>
      </c>
      <c r="D110" s="1943"/>
      <c r="E110" s="1963">
        <v>108067</v>
      </c>
      <c r="F110" s="1747">
        <f t="shared" si="0"/>
        <v>172762</v>
      </c>
      <c r="G110" s="1717"/>
      <c r="H110" s="1715"/>
      <c r="I110" s="1715"/>
      <c r="J110" s="1715"/>
      <c r="K110" s="1718"/>
      <c r="L110" s="1746"/>
      <c r="M110"/>
    </row>
    <row r="111" spans="1:13" ht="12.75">
      <c r="A111" s="1943" t="s">
        <v>588</v>
      </c>
      <c r="B111" s="1746" t="s">
        <v>285</v>
      </c>
      <c r="C111" s="1963">
        <v>33373</v>
      </c>
      <c r="D111" s="1943"/>
      <c r="E111" s="1963">
        <v>43448</v>
      </c>
      <c r="F111" s="1747">
        <f t="shared" si="0"/>
        <v>76821</v>
      </c>
      <c r="G111" s="1717"/>
      <c r="H111" s="1715"/>
      <c r="I111" s="1715"/>
      <c r="J111" s="1715"/>
      <c r="K111" s="1718"/>
      <c r="L111" s="1746"/>
      <c r="M111"/>
    </row>
    <row r="112" spans="1:13" ht="12.75">
      <c r="A112" s="1894" t="s">
        <v>587</v>
      </c>
      <c r="B112" s="1746" t="s">
        <v>285</v>
      </c>
      <c r="C112" s="1963">
        <v>29422</v>
      </c>
      <c r="D112" s="1943"/>
      <c r="E112" s="1963">
        <v>39197</v>
      </c>
      <c r="F112" s="1747">
        <f t="shared" ref="F112:F143" si="3">SUM(C112:E112)</f>
        <v>68619</v>
      </c>
      <c r="G112" s="1717"/>
      <c r="H112" s="1715"/>
      <c r="I112" s="1715"/>
      <c r="J112" s="1715"/>
      <c r="K112" s="1718"/>
      <c r="L112" s="1746"/>
      <c r="M112"/>
    </row>
    <row r="113" spans="1:13" ht="12.75">
      <c r="A113" s="1894" t="s">
        <v>151</v>
      </c>
      <c r="B113" s="1746" t="s">
        <v>285</v>
      </c>
      <c r="C113" s="1963">
        <v>680815</v>
      </c>
      <c r="D113" s="1943"/>
      <c r="E113" s="1963">
        <v>768567</v>
      </c>
      <c r="F113" s="1747">
        <f t="shared" si="3"/>
        <v>1449382</v>
      </c>
      <c r="G113" s="1717"/>
      <c r="H113" s="1715"/>
      <c r="I113" s="1715"/>
      <c r="J113" s="1715"/>
      <c r="K113" s="1718"/>
      <c r="L113" s="1746"/>
      <c r="M113"/>
    </row>
    <row r="114" spans="1:13" ht="12.75">
      <c r="A114" s="1894" t="s">
        <v>1282</v>
      </c>
      <c r="B114" s="1746" t="s">
        <v>285</v>
      </c>
      <c r="C114" s="1963">
        <v>1423726</v>
      </c>
      <c r="D114" s="1943"/>
      <c r="E114" s="1963">
        <v>1739377</v>
      </c>
      <c r="F114" s="1747">
        <f t="shared" si="3"/>
        <v>3163103</v>
      </c>
      <c r="G114" s="1717"/>
      <c r="H114" s="1715"/>
      <c r="I114" s="1715"/>
      <c r="J114" s="1715"/>
      <c r="K114" s="1718"/>
      <c r="L114" s="1746"/>
      <c r="M114"/>
    </row>
    <row r="115" spans="1:13" ht="12.75">
      <c r="A115" s="1894" t="s">
        <v>1299</v>
      </c>
      <c r="B115" s="1746" t="s">
        <v>285</v>
      </c>
      <c r="C115" s="1963">
        <v>562185</v>
      </c>
      <c r="D115" s="1943"/>
      <c r="E115" s="1963">
        <v>834064</v>
      </c>
      <c r="F115" s="1747">
        <f t="shared" si="3"/>
        <v>1396249</v>
      </c>
      <c r="G115" s="1717"/>
      <c r="H115" s="1715"/>
      <c r="I115" s="1715"/>
      <c r="J115" s="1715"/>
      <c r="K115" s="1718"/>
      <c r="L115" s="1746"/>
      <c r="M115"/>
    </row>
    <row r="116" spans="1:13" ht="12.75">
      <c r="A116" s="1894" t="s">
        <v>1300</v>
      </c>
      <c r="B116" s="1746" t="s">
        <v>285</v>
      </c>
      <c r="C116" s="1963">
        <v>464318</v>
      </c>
      <c r="D116" s="1943"/>
      <c r="E116" s="1963">
        <v>558785</v>
      </c>
      <c r="F116" s="1747">
        <f t="shared" si="3"/>
        <v>1023103</v>
      </c>
      <c r="G116" s="1717"/>
      <c r="H116" s="1715"/>
      <c r="I116" s="1715"/>
      <c r="J116" s="1715"/>
      <c r="K116" s="1718"/>
      <c r="L116" s="1746"/>
      <c r="M116"/>
    </row>
    <row r="117" spans="1:13" ht="12.75">
      <c r="A117" s="1746" t="s">
        <v>522</v>
      </c>
      <c r="B117" s="1746" t="s">
        <v>522</v>
      </c>
      <c r="C117" s="1747"/>
      <c r="D117" s="1747"/>
      <c r="E117" s="1747"/>
      <c r="F117" s="1747"/>
      <c r="G117" s="1717"/>
      <c r="H117" s="1715"/>
      <c r="I117" s="1715"/>
      <c r="J117" s="1715"/>
      <c r="K117" s="1718"/>
      <c r="L117" s="1746"/>
      <c r="M117"/>
    </row>
    <row r="118" spans="1:13" ht="12.75">
      <c r="A118" s="1943" t="s">
        <v>150</v>
      </c>
      <c r="B118" s="1746" t="s">
        <v>160</v>
      </c>
      <c r="C118" s="1747"/>
      <c r="D118" s="1747"/>
      <c r="E118" s="1963">
        <v>-10</v>
      </c>
      <c r="F118" s="1747">
        <f t="shared" si="3"/>
        <v>-10</v>
      </c>
      <c r="G118" s="1717"/>
      <c r="H118" s="1715"/>
      <c r="I118" s="1715"/>
      <c r="J118" s="1715"/>
      <c r="K118" s="1718"/>
      <c r="L118" s="1746"/>
      <c r="M118"/>
    </row>
    <row r="119" spans="1:13" ht="12.75">
      <c r="A119" s="1943" t="s">
        <v>733</v>
      </c>
      <c r="B119" s="1746" t="s">
        <v>160</v>
      </c>
      <c r="C119" s="1747"/>
      <c r="D119" s="1747"/>
      <c r="E119" s="1963">
        <v>-4</v>
      </c>
      <c r="F119" s="1747">
        <f t="shared" si="3"/>
        <v>-4</v>
      </c>
      <c r="G119" s="1717"/>
      <c r="H119" s="1715"/>
      <c r="I119" s="1715"/>
      <c r="J119" s="1715"/>
      <c r="K119" s="1718"/>
      <c r="L119" s="1746"/>
      <c r="M119"/>
    </row>
    <row r="120" spans="1:13" ht="12.75">
      <c r="A120" s="1943" t="s">
        <v>1282</v>
      </c>
      <c r="B120" s="1746" t="s">
        <v>160</v>
      </c>
      <c r="C120" s="1747"/>
      <c r="D120" s="1747"/>
      <c r="E120" s="1963">
        <v>-103</v>
      </c>
      <c r="F120" s="1747">
        <f t="shared" si="3"/>
        <v>-103</v>
      </c>
      <c r="G120" s="1717"/>
      <c r="H120" s="1715"/>
      <c r="I120" s="1715"/>
      <c r="J120" s="1715"/>
      <c r="K120" s="1718"/>
      <c r="L120" s="1746"/>
      <c r="M120"/>
    </row>
    <row r="121" spans="1:13" ht="12.75">
      <c r="A121" s="1943" t="s">
        <v>587</v>
      </c>
      <c r="B121" s="1746" t="s">
        <v>160</v>
      </c>
      <c r="C121" s="1747"/>
      <c r="D121" s="1747"/>
      <c r="E121" s="1963">
        <v>-4</v>
      </c>
      <c r="F121" s="1747">
        <f t="shared" si="3"/>
        <v>-4</v>
      </c>
      <c r="G121" s="1717"/>
      <c r="H121" s="1715"/>
      <c r="I121" s="1715"/>
      <c r="J121" s="1715"/>
      <c r="K121" s="1718"/>
      <c r="L121" s="1746"/>
      <c r="M121"/>
    </row>
    <row r="122" spans="1:13" ht="12.75">
      <c r="A122" s="1943" t="s">
        <v>1298</v>
      </c>
      <c r="B122" s="1746" t="s">
        <v>160</v>
      </c>
      <c r="C122" s="1747"/>
      <c r="D122" s="1747"/>
      <c r="E122" s="1963">
        <v>-1</v>
      </c>
      <c r="F122" s="1747">
        <f t="shared" si="3"/>
        <v>-1</v>
      </c>
      <c r="G122" s="1717"/>
      <c r="H122" s="1715"/>
      <c r="I122" s="1715"/>
      <c r="J122" s="1715"/>
      <c r="K122" s="1718"/>
      <c r="L122" s="1746"/>
      <c r="M122"/>
    </row>
    <row r="123" spans="1:13" ht="12.75">
      <c r="A123" s="1943" t="s">
        <v>1069</v>
      </c>
      <c r="B123" s="1746" t="s">
        <v>160</v>
      </c>
      <c r="C123" s="1747"/>
      <c r="D123" s="1747"/>
      <c r="E123" s="1963">
        <v>-6</v>
      </c>
      <c r="F123" s="1747">
        <f t="shared" si="3"/>
        <v>-6</v>
      </c>
      <c r="G123" s="1717"/>
      <c r="H123" s="1715"/>
      <c r="I123" s="1715"/>
      <c r="J123" s="1715"/>
      <c r="K123" s="1718"/>
      <c r="L123" s="1746"/>
      <c r="M123"/>
    </row>
    <row r="124" spans="1:13" ht="12.75">
      <c r="A124" s="1943" t="s">
        <v>151</v>
      </c>
      <c r="B124" s="1746" t="s">
        <v>160</v>
      </c>
      <c r="C124" s="1747"/>
      <c r="D124" s="1747"/>
      <c r="E124" s="1963">
        <v>-58</v>
      </c>
      <c r="F124" s="1747">
        <f t="shared" si="3"/>
        <v>-58</v>
      </c>
      <c r="G124" s="1717"/>
      <c r="H124" s="1715"/>
      <c r="I124" s="1715"/>
      <c r="J124" s="1715"/>
      <c r="K124" s="1718"/>
      <c r="L124" s="1746"/>
      <c r="M124"/>
    </row>
    <row r="125" spans="1:13" ht="12.75">
      <c r="A125" s="1943" t="s">
        <v>1073</v>
      </c>
      <c r="B125" s="1746" t="s">
        <v>160</v>
      </c>
      <c r="C125" s="1747"/>
      <c r="D125" s="1747"/>
      <c r="E125" s="1963">
        <v>-129</v>
      </c>
      <c r="F125" s="1747">
        <f t="shared" si="3"/>
        <v>-129</v>
      </c>
      <c r="G125" s="1717"/>
      <c r="H125" s="1715"/>
      <c r="I125" s="1715"/>
      <c r="J125" s="1715"/>
      <c r="K125" s="1718"/>
      <c r="L125" s="1746"/>
      <c r="M125"/>
    </row>
    <row r="126" spans="1:13" ht="12.75">
      <c r="A126" s="1943" t="s">
        <v>1367</v>
      </c>
      <c r="B126" s="1746" t="s">
        <v>160</v>
      </c>
      <c r="C126" s="1747"/>
      <c r="D126" s="1747"/>
      <c r="E126" s="1963">
        <v>-2</v>
      </c>
      <c r="F126" s="1747">
        <f t="shared" si="3"/>
        <v>-2</v>
      </c>
      <c r="G126" s="1717"/>
      <c r="H126" s="1715"/>
      <c r="I126" s="1715"/>
      <c r="J126" s="1715"/>
      <c r="K126" s="1718"/>
      <c r="L126" s="1746"/>
      <c r="M126"/>
    </row>
    <row r="127" spans="1:13" ht="12.75">
      <c r="A127" s="1943" t="s">
        <v>1295</v>
      </c>
      <c r="B127" s="1746" t="s">
        <v>160</v>
      </c>
      <c r="C127" s="1747"/>
      <c r="D127" s="1747"/>
      <c r="E127" s="1963">
        <v>-10</v>
      </c>
      <c r="F127" s="1747">
        <f t="shared" si="3"/>
        <v>-10</v>
      </c>
      <c r="G127" s="1717"/>
      <c r="H127" s="1715"/>
      <c r="I127" s="1715"/>
      <c r="J127" s="1715"/>
      <c r="K127" s="1718"/>
      <c r="L127" s="1746"/>
      <c r="M127"/>
    </row>
    <row r="128" spans="1:13" ht="12.75">
      <c r="A128" s="1943" t="s">
        <v>1313</v>
      </c>
      <c r="B128" s="1746" t="s">
        <v>160</v>
      </c>
      <c r="C128" s="1747"/>
      <c r="D128" s="1747"/>
      <c r="E128" s="1963">
        <v>-16</v>
      </c>
      <c r="F128" s="1747">
        <f t="shared" si="3"/>
        <v>-16</v>
      </c>
      <c r="G128" s="1717"/>
      <c r="H128" s="1715"/>
      <c r="I128" s="1715"/>
      <c r="J128" s="1715"/>
      <c r="K128" s="1718"/>
      <c r="L128" s="1746"/>
      <c r="M128"/>
    </row>
    <row r="129" spans="1:13" ht="12.75">
      <c r="A129" s="1943" t="s">
        <v>1368</v>
      </c>
      <c r="B129" s="1746" t="s">
        <v>160</v>
      </c>
      <c r="C129" s="1747"/>
      <c r="D129" s="1747"/>
      <c r="E129" s="1963">
        <v>-37</v>
      </c>
      <c r="F129" s="1747">
        <f t="shared" si="3"/>
        <v>-37</v>
      </c>
      <c r="G129" s="1717"/>
      <c r="H129" s="1715"/>
      <c r="I129" s="1715"/>
      <c r="J129" s="1715"/>
      <c r="K129" s="1718"/>
      <c r="L129" s="1746"/>
      <c r="M129"/>
    </row>
    <row r="130" spans="1:13" ht="12.75">
      <c r="A130" s="1943" t="s">
        <v>524</v>
      </c>
      <c r="B130" s="1746" t="s">
        <v>160</v>
      </c>
      <c r="C130" s="1747"/>
      <c r="D130" s="1747"/>
      <c r="E130" s="1963">
        <v>-18</v>
      </c>
      <c r="F130" s="1747">
        <f t="shared" si="3"/>
        <v>-18</v>
      </c>
      <c r="G130" s="1717"/>
      <c r="H130" s="1715"/>
      <c r="I130" s="1715"/>
      <c r="J130" s="1715"/>
      <c r="K130" s="1718"/>
      <c r="L130" s="1746"/>
      <c r="M130"/>
    </row>
    <row r="131" spans="1:13" ht="12.75">
      <c r="A131" s="1943" t="s">
        <v>1316</v>
      </c>
      <c r="B131" s="1746" t="s">
        <v>160</v>
      </c>
      <c r="C131" s="1747"/>
      <c r="D131" s="1747"/>
      <c r="E131" s="1963">
        <v>-3</v>
      </c>
      <c r="F131" s="1747">
        <f t="shared" si="3"/>
        <v>-3</v>
      </c>
      <c r="G131" s="1717"/>
      <c r="H131" s="1715"/>
      <c r="I131" s="1715"/>
      <c r="J131" s="1715"/>
      <c r="K131" s="1718"/>
      <c r="L131" s="1746"/>
      <c r="M131"/>
    </row>
    <row r="132" spans="1:13" ht="12.75">
      <c r="A132" s="1943" t="s">
        <v>1296</v>
      </c>
      <c r="B132" s="1746" t="s">
        <v>160</v>
      </c>
      <c r="C132" s="1747"/>
      <c r="D132" s="1747"/>
      <c r="E132" s="1963">
        <v>-219</v>
      </c>
      <c r="F132" s="1747">
        <f t="shared" si="3"/>
        <v>-219</v>
      </c>
      <c r="G132" s="1717"/>
      <c r="H132" s="1715"/>
      <c r="I132" s="1715"/>
      <c r="J132" s="1715"/>
      <c r="K132" s="1718"/>
      <c r="L132" s="1746"/>
      <c r="M132"/>
    </row>
    <row r="133" spans="1:13" ht="12.75">
      <c r="A133" s="1943" t="s">
        <v>1297</v>
      </c>
      <c r="B133" s="1746" t="s">
        <v>160</v>
      </c>
      <c r="C133" s="1747"/>
      <c r="D133" s="1747"/>
      <c r="E133" s="1963">
        <v>-11</v>
      </c>
      <c r="F133" s="1747">
        <f t="shared" si="3"/>
        <v>-11</v>
      </c>
      <c r="G133" s="1717"/>
      <c r="H133" s="1715"/>
      <c r="I133" s="1715"/>
      <c r="J133" s="1715"/>
      <c r="K133" s="1718"/>
      <c r="L133" s="1746"/>
      <c r="M133"/>
    </row>
    <row r="134" spans="1:13" ht="12.75">
      <c r="A134" s="1943" t="s">
        <v>1314</v>
      </c>
      <c r="B134" s="1746" t="s">
        <v>160</v>
      </c>
      <c r="C134" s="1747"/>
      <c r="D134" s="1747"/>
      <c r="E134" s="1963">
        <v>-6</v>
      </c>
      <c r="F134" s="1747">
        <f t="shared" si="3"/>
        <v>-6</v>
      </c>
      <c r="G134" s="1717"/>
      <c r="H134" s="1715"/>
      <c r="I134" s="1715"/>
      <c r="J134" s="1715"/>
      <c r="K134" s="1718"/>
      <c r="L134" s="1746"/>
      <c r="M134"/>
    </row>
    <row r="135" spans="1:13" ht="12.75">
      <c r="A135" s="1943" t="s">
        <v>291</v>
      </c>
      <c r="B135" s="1746" t="s">
        <v>160</v>
      </c>
      <c r="C135" s="1747"/>
      <c r="D135" s="1747"/>
      <c r="E135" s="1963">
        <v>-373</v>
      </c>
      <c r="F135" s="1747">
        <f t="shared" si="3"/>
        <v>-373</v>
      </c>
      <c r="G135" s="1717"/>
      <c r="H135" s="1715"/>
      <c r="I135" s="1715"/>
      <c r="J135" s="1715"/>
      <c r="K135" s="1718"/>
      <c r="L135" s="1746"/>
      <c r="M135"/>
    </row>
    <row r="136" spans="1:13" ht="12.75">
      <c r="A136" s="1943" t="s">
        <v>1369</v>
      </c>
      <c r="B136" s="1746" t="s">
        <v>160</v>
      </c>
      <c r="C136" s="1747"/>
      <c r="D136" s="1747"/>
      <c r="E136" s="1963">
        <v>-5</v>
      </c>
      <c r="F136" s="1747">
        <f t="shared" si="3"/>
        <v>-5</v>
      </c>
      <c r="G136" s="1717"/>
      <c r="H136" s="1715"/>
      <c r="I136" s="1715"/>
      <c r="J136" s="1715"/>
      <c r="K136" s="1718"/>
      <c r="L136" s="1746"/>
      <c r="M136"/>
    </row>
    <row r="137" spans="1:13" ht="12.75">
      <c r="A137" s="1943" t="s">
        <v>147</v>
      </c>
      <c r="B137" s="1746" t="s">
        <v>160</v>
      </c>
      <c r="C137" s="1747"/>
      <c r="D137" s="1747"/>
      <c r="E137" s="1963">
        <v>-18</v>
      </c>
      <c r="F137" s="1747">
        <f t="shared" si="3"/>
        <v>-18</v>
      </c>
      <c r="G137" s="1717"/>
      <c r="H137" s="1715"/>
      <c r="I137" s="1715"/>
      <c r="J137" s="1715"/>
      <c r="K137" s="1718"/>
      <c r="L137" s="1746"/>
      <c r="M137"/>
    </row>
    <row r="138" spans="1:13" ht="12.75">
      <c r="A138" s="1943" t="s">
        <v>1370</v>
      </c>
      <c r="B138" s="1746" t="s">
        <v>160</v>
      </c>
      <c r="C138" s="1747"/>
      <c r="D138" s="1747"/>
      <c r="E138" s="1963">
        <v>-6</v>
      </c>
      <c r="F138" s="1747">
        <f t="shared" si="3"/>
        <v>-6</v>
      </c>
      <c r="G138" s="1717"/>
      <c r="H138" s="1715"/>
      <c r="I138" s="1715"/>
      <c r="J138" s="1715"/>
      <c r="K138" s="1718"/>
      <c r="L138" s="1746"/>
      <c r="M138"/>
    </row>
    <row r="139" spans="1:13" ht="12.75">
      <c r="A139" s="1943" t="s">
        <v>527</v>
      </c>
      <c r="B139" s="1746" t="s">
        <v>160</v>
      </c>
      <c r="C139" s="1747"/>
      <c r="D139" s="1747"/>
      <c r="E139" s="1963">
        <v>-27</v>
      </c>
      <c r="F139" s="1747">
        <f t="shared" si="3"/>
        <v>-27</v>
      </c>
      <c r="G139" s="1717"/>
      <c r="H139" s="1715"/>
      <c r="I139" s="1715"/>
      <c r="J139" s="1715"/>
      <c r="K139" s="1718"/>
      <c r="L139" s="1746"/>
      <c r="M139"/>
    </row>
    <row r="140" spans="1:13" ht="12.75">
      <c r="A140" s="1943" t="s">
        <v>528</v>
      </c>
      <c r="B140" s="1746" t="s">
        <v>160</v>
      </c>
      <c r="C140" s="1747"/>
      <c r="D140" s="1747"/>
      <c r="E140" s="1963">
        <v>-89</v>
      </c>
      <c r="F140" s="1747">
        <f t="shared" si="3"/>
        <v>-89</v>
      </c>
      <c r="G140" s="1717"/>
      <c r="H140" s="1715"/>
      <c r="I140" s="1715"/>
      <c r="J140" s="1715"/>
      <c r="K140" s="1718"/>
      <c r="L140" s="1746"/>
      <c r="M140"/>
    </row>
    <row r="141" spans="1:13" ht="12.75">
      <c r="A141" s="1943" t="s">
        <v>152</v>
      </c>
      <c r="B141" s="1746" t="s">
        <v>160</v>
      </c>
      <c r="C141" s="1747"/>
      <c r="D141" s="1747"/>
      <c r="E141" s="1963">
        <v>-36</v>
      </c>
      <c r="F141" s="1747">
        <f t="shared" si="3"/>
        <v>-36</v>
      </c>
      <c r="G141" s="1717"/>
      <c r="H141" s="1715"/>
      <c r="I141" s="1715"/>
      <c r="J141" s="1715"/>
      <c r="K141" s="1718"/>
      <c r="L141" s="1746"/>
      <c r="M141"/>
    </row>
    <row r="142" spans="1:13" ht="12.75">
      <c r="A142" s="1943" t="s">
        <v>1318</v>
      </c>
      <c r="B142" s="1746" t="s">
        <v>160</v>
      </c>
      <c r="C142" s="1747"/>
      <c r="D142" s="1747"/>
      <c r="E142" s="1963">
        <v>-4</v>
      </c>
      <c r="F142" s="1747">
        <f t="shared" si="3"/>
        <v>-4</v>
      </c>
      <c r="G142" s="1717"/>
      <c r="H142" s="1715"/>
      <c r="I142" s="1715"/>
      <c r="J142" s="1715"/>
      <c r="K142" s="1718"/>
      <c r="L142" s="1746"/>
      <c r="M142"/>
    </row>
    <row r="143" spans="1:13" ht="12.75">
      <c r="A143" s="1943" t="s">
        <v>529</v>
      </c>
      <c r="B143" s="1746" t="s">
        <v>160</v>
      </c>
      <c r="C143" s="1747"/>
      <c r="D143" s="1747"/>
      <c r="E143" s="1963">
        <v>-2</v>
      </c>
      <c r="F143" s="1747">
        <f t="shared" si="3"/>
        <v>-2</v>
      </c>
      <c r="G143" s="1717"/>
      <c r="H143" s="1715"/>
      <c r="I143" s="1715"/>
      <c r="J143" s="1715"/>
      <c r="K143" s="1718"/>
      <c r="L143" s="1746"/>
      <c r="M143"/>
    </row>
    <row r="144" spans="1:13" ht="12.75">
      <c r="A144" s="1746" t="s">
        <v>522</v>
      </c>
      <c r="B144" s="1746"/>
      <c r="C144" s="1747"/>
      <c r="D144" s="1747"/>
      <c r="E144" s="1747"/>
      <c r="F144" s="1747"/>
      <c r="G144" s="1717"/>
      <c r="H144" s="1715"/>
      <c r="I144" s="1715"/>
      <c r="J144" s="1715"/>
      <c r="K144" s="1718"/>
      <c r="L144" s="1746"/>
      <c r="M144"/>
    </row>
    <row r="145" spans="1:13" ht="13.5" thickBot="1">
      <c r="A145" s="1108"/>
      <c r="B145" s="1559"/>
      <c r="C145" s="1515"/>
      <c r="D145" s="1515"/>
      <c r="E145" s="1515"/>
      <c r="F145" s="1515"/>
      <c r="G145" s="1516"/>
      <c r="H145" s="1516"/>
      <c r="I145" s="1516"/>
      <c r="J145" s="1516"/>
      <c r="K145" s="1660"/>
      <c r="L145" s="2"/>
    </row>
    <row r="146" spans="1:13">
      <c r="A146" s="1517" t="s">
        <v>850</v>
      </c>
      <c r="B146" s="1518"/>
      <c r="C146" s="1541">
        <f>SUM(C39:C145)</f>
        <v>11167247</v>
      </c>
      <c r="D146" s="1541">
        <f>SUM(D39:D145)</f>
        <v>561254</v>
      </c>
      <c r="E146" s="1541">
        <f>SUM(E39:E145)</f>
        <v>11645727</v>
      </c>
      <c r="F146" s="1541">
        <f>SUM(F39:F145)</f>
        <v>23374228</v>
      </c>
      <c r="G146" s="1541">
        <v>0</v>
      </c>
      <c r="H146" s="1541">
        <v>0</v>
      </c>
      <c r="I146" s="1541">
        <v>0</v>
      </c>
      <c r="J146" s="1541">
        <v>0</v>
      </c>
      <c r="K146" s="1542">
        <f>SUM(K39:K145)</f>
        <v>923036</v>
      </c>
      <c r="L146" s="1512"/>
    </row>
    <row r="147" spans="1:13">
      <c r="A147" s="1509" t="s">
        <v>161</v>
      </c>
      <c r="B147" s="1510"/>
      <c r="C147" s="1510"/>
      <c r="D147" s="1510"/>
      <c r="E147" s="1510"/>
      <c r="F147" s="1514">
        <v>23374228</v>
      </c>
      <c r="G147" s="1510"/>
      <c r="H147" s="1519"/>
      <c r="I147" s="1519"/>
      <c r="J147" s="1519"/>
      <c r="K147" s="1511"/>
      <c r="L147" s="1512"/>
    </row>
    <row r="148" spans="1:13">
      <c r="A148" s="1509" t="s">
        <v>294</v>
      </c>
      <c r="B148" s="1510"/>
      <c r="C148" s="1510"/>
      <c r="D148" s="1510"/>
      <c r="E148" s="1510"/>
      <c r="F148" s="644">
        <f>F146-F147</f>
        <v>0</v>
      </c>
      <c r="G148" s="1510"/>
      <c r="H148" s="1519"/>
      <c r="I148" s="1519"/>
      <c r="J148" s="1519"/>
      <c r="K148" s="1511"/>
      <c r="L148" s="1512"/>
    </row>
    <row r="149" spans="1:13">
      <c r="A149" s="1509" t="s">
        <v>848</v>
      </c>
      <c r="B149" s="1519"/>
      <c r="C149" s="1519"/>
      <c r="D149" s="1519"/>
      <c r="E149" s="1519"/>
      <c r="F149" s="1519"/>
      <c r="G149" s="1519"/>
      <c r="H149" s="1519"/>
      <c r="I149" s="1519"/>
      <c r="J149" s="1519"/>
      <c r="K149" s="1520">
        <v>0</v>
      </c>
      <c r="L149" s="1512"/>
    </row>
    <row r="150" spans="1:13">
      <c r="A150" s="1509" t="s">
        <v>204</v>
      </c>
      <c r="B150" s="1519"/>
      <c r="C150" s="1519"/>
      <c r="D150" s="1519"/>
      <c r="E150" s="1519"/>
      <c r="F150" s="1519"/>
      <c r="G150" s="1519"/>
      <c r="H150" s="1519"/>
      <c r="I150" s="1519"/>
      <c r="J150" s="1519"/>
      <c r="K150" s="1513">
        <f>K61+K66+K69+K70+K71+K76+K79+K81+K85+K91+K94+K95+K97+K99</f>
        <v>486655</v>
      </c>
    </row>
    <row r="151" spans="1:13">
      <c r="A151" s="1509" t="s">
        <v>205</v>
      </c>
      <c r="B151" s="1519"/>
      <c r="C151" s="1519"/>
      <c r="D151" s="1519"/>
      <c r="E151" s="1519"/>
      <c r="F151" s="1519"/>
      <c r="G151" s="1519"/>
      <c r="H151" s="1519"/>
      <c r="I151" s="1519"/>
      <c r="J151" s="1519"/>
      <c r="K151" s="1520">
        <v>0</v>
      </c>
    </row>
    <row r="152" spans="1:13">
      <c r="A152" s="1509" t="s">
        <v>206</v>
      </c>
      <c r="B152" s="1519"/>
      <c r="C152" s="1519"/>
      <c r="D152" s="1519"/>
      <c r="E152" s="1519"/>
      <c r="F152" s="1519"/>
      <c r="G152" s="1519"/>
      <c r="H152" s="1519"/>
      <c r="I152" s="1519"/>
      <c r="J152" s="1519"/>
      <c r="K152" s="1520">
        <f>K67+K68+K73+K74+K75+K77+K78+K80+K82+K83+K84+K86+K87+K88+K89+K90+K92+K93+K96+K98+K100+K101+K102</f>
        <v>436381</v>
      </c>
    </row>
    <row r="153" spans="1:13" ht="12" thickBot="1">
      <c r="A153" s="1521" t="s">
        <v>712</v>
      </c>
      <c r="B153" s="1559"/>
      <c r="C153" s="1559"/>
      <c r="D153" s="1559"/>
      <c r="E153" s="1559"/>
      <c r="F153" s="1559"/>
      <c r="G153" s="1559"/>
      <c r="H153" s="1559"/>
      <c r="I153" s="1559"/>
      <c r="J153" s="1559"/>
      <c r="K153" s="1522">
        <f>SUM(K149:K152)</f>
        <v>923036</v>
      </c>
      <c r="L153" s="1512"/>
    </row>
    <row r="155" spans="1:13">
      <c r="K155" s="646"/>
    </row>
    <row r="156" spans="1:13">
      <c r="I156" s="1558"/>
      <c r="K156" s="646"/>
    </row>
    <row r="157" spans="1:13" ht="12.75">
      <c r="C157" s="1894"/>
      <c r="D157" s="1894"/>
      <c r="E157" s="1894"/>
      <c r="F157" s="1895"/>
      <c r="G157" s="1896"/>
      <c r="H157" s="1747"/>
      <c r="I157" s="1717"/>
      <c r="J157" s="1719"/>
      <c r="K157" s="1719"/>
      <c r="L157" s="1719"/>
      <c r="M157" s="2"/>
    </row>
    <row r="158" spans="1:13" ht="12.75">
      <c r="C158" s="1894"/>
      <c r="D158" s="1894"/>
      <c r="E158" s="1896"/>
      <c r="F158" s="1895"/>
      <c r="G158" s="1896"/>
      <c r="H158" s="1747"/>
      <c r="I158" s="1717"/>
      <c r="J158" s="1715"/>
      <c r="K158" s="1715"/>
      <c r="L158" s="1715"/>
      <c r="M158" s="2"/>
    </row>
    <row r="159" spans="1:13" ht="12.75">
      <c r="C159" s="1894"/>
      <c r="D159" s="1894"/>
      <c r="E159" s="1896"/>
      <c r="F159" s="1895"/>
      <c r="G159" s="1896"/>
      <c r="H159" s="1747"/>
      <c r="I159" s="1717"/>
      <c r="J159" s="1719"/>
      <c r="K159" s="1719"/>
      <c r="L159" s="1719"/>
      <c r="M159" s="2"/>
    </row>
    <row r="160" spans="1:13" ht="12.75">
      <c r="C160" s="1894"/>
      <c r="D160" s="1894"/>
      <c r="E160" s="1894"/>
      <c r="F160" s="1895"/>
      <c r="G160" s="1896"/>
      <c r="H160" s="1747"/>
      <c r="I160" s="1717"/>
      <c r="J160" s="1715"/>
      <c r="K160" s="1715"/>
      <c r="L160" s="1715"/>
      <c r="M160" s="2"/>
    </row>
    <row r="161" spans="1:13" ht="12.75">
      <c r="C161" s="1746"/>
      <c r="D161" s="1746"/>
      <c r="E161" s="1747"/>
      <c r="F161" s="1747"/>
      <c r="G161" s="1747"/>
      <c r="H161" s="1747"/>
      <c r="I161" s="1717"/>
      <c r="J161" s="1715"/>
      <c r="K161" s="1715"/>
      <c r="L161" s="1715"/>
      <c r="M161" s="2"/>
    </row>
    <row r="162" spans="1:13" ht="12.75">
      <c r="C162" s="1746"/>
      <c r="D162" s="1746"/>
      <c r="E162" s="1896"/>
      <c r="F162" s="1895"/>
      <c r="G162" s="1896"/>
      <c r="H162" s="1747"/>
      <c r="I162" s="1717"/>
      <c r="J162" s="1715"/>
      <c r="K162" s="1715"/>
      <c r="L162" s="1715"/>
      <c r="M162" s="2"/>
    </row>
    <row r="163" spans="1:13" ht="12.75">
      <c r="C163" s="1746"/>
      <c r="D163" s="1746"/>
      <c r="E163" s="1896"/>
      <c r="F163" s="1895"/>
      <c r="G163" s="1896"/>
      <c r="H163" s="1747"/>
      <c r="I163" s="1717"/>
      <c r="J163" s="1719"/>
      <c r="K163" s="1719"/>
      <c r="L163" s="1719"/>
      <c r="M163" s="2"/>
    </row>
    <row r="164" spans="1:13" ht="12.75">
      <c r="A164" s="1746"/>
      <c r="B164" s="1746"/>
      <c r="C164" s="1746"/>
      <c r="D164" s="1746"/>
      <c r="E164" s="1896"/>
      <c r="F164" s="1895"/>
      <c r="G164" s="1896"/>
      <c r="H164" s="1747"/>
      <c r="I164" s="1717"/>
      <c r="J164" s="1719"/>
      <c r="K164" s="1719"/>
      <c r="L164" s="1719"/>
      <c r="M164" s="2"/>
    </row>
    <row r="165" spans="1:13" ht="12.75">
      <c r="A165" s="1746"/>
      <c r="B165" s="1746"/>
      <c r="C165" s="1746"/>
      <c r="D165" s="1746"/>
      <c r="E165" s="1896"/>
      <c r="F165" s="1895"/>
      <c r="G165" s="1896"/>
      <c r="H165" s="1747"/>
      <c r="I165" s="1717"/>
      <c r="J165" s="1715"/>
      <c r="K165" s="1715"/>
      <c r="L165" s="1715"/>
      <c r="M165" s="2"/>
    </row>
    <row r="166" spans="1:13" ht="12.75">
      <c r="A166" s="1746"/>
      <c r="B166" s="1746"/>
      <c r="C166" s="1746"/>
      <c r="D166" s="1746"/>
      <c r="E166" s="1895"/>
      <c r="F166" s="1895"/>
      <c r="G166" s="1895"/>
      <c r="H166" s="1747"/>
      <c r="I166" s="1717"/>
      <c r="J166" s="1715"/>
      <c r="K166" s="1715"/>
      <c r="L166" s="1715"/>
      <c r="M166" s="2"/>
    </row>
    <row r="167" spans="1:13" ht="12.75">
      <c r="A167" s="1746"/>
      <c r="B167" s="1746"/>
      <c r="C167" s="1746"/>
      <c r="D167" s="1746"/>
      <c r="E167" s="1896"/>
      <c r="F167" s="1894"/>
      <c r="G167" s="1896"/>
      <c r="H167" s="1747"/>
      <c r="I167" s="1717"/>
      <c r="J167" s="1715"/>
      <c r="K167" s="1715"/>
      <c r="L167" s="1715"/>
      <c r="M167" s="2"/>
    </row>
    <row r="168" spans="1:13" ht="12.75">
      <c r="A168" s="1746"/>
      <c r="B168" s="1746"/>
      <c r="C168" s="1746"/>
      <c r="D168" s="1746"/>
      <c r="E168" s="1896"/>
      <c r="F168" s="1894"/>
      <c r="G168" s="1896"/>
      <c r="H168" s="1747"/>
      <c r="I168" s="1717"/>
      <c r="J168" s="1715"/>
      <c r="K168" s="1715"/>
      <c r="L168" s="1715"/>
      <c r="M168" s="2"/>
    </row>
    <row r="169" spans="1:13" ht="12.75">
      <c r="A169" s="1746"/>
      <c r="B169" s="1746"/>
      <c r="C169" s="1746"/>
      <c r="D169" s="1746"/>
      <c r="E169" s="1896"/>
      <c r="F169" s="1894"/>
      <c r="G169" s="1896"/>
      <c r="H169" s="1747"/>
      <c r="I169" s="1717"/>
      <c r="J169" s="1715"/>
      <c r="K169" s="1715"/>
      <c r="L169" s="1715"/>
      <c r="M169" s="2"/>
    </row>
    <row r="170" spans="1:13" ht="12.75">
      <c r="A170" s="1746"/>
      <c r="B170" s="1746"/>
      <c r="C170" s="1746"/>
      <c r="D170" s="1746"/>
      <c r="E170" s="1896"/>
      <c r="F170" s="1894"/>
      <c r="G170" s="1896"/>
      <c r="H170" s="1747"/>
      <c r="I170" s="1717"/>
      <c r="J170" s="1715"/>
      <c r="K170" s="1715"/>
      <c r="L170" s="1715"/>
      <c r="M170" s="2"/>
    </row>
    <row r="171" spans="1:13" ht="12.75">
      <c r="A171" s="1746"/>
      <c r="B171" s="1746"/>
      <c r="C171" s="1746"/>
      <c r="D171" s="1746"/>
      <c r="E171" s="1747"/>
      <c r="F171" s="1747"/>
      <c r="G171" s="1747"/>
      <c r="H171" s="1747"/>
      <c r="I171" s="1717"/>
      <c r="J171" s="1719"/>
      <c r="K171" s="1719"/>
      <c r="L171" s="1719"/>
      <c r="M171" s="2"/>
    </row>
    <row r="172" spans="1:13">
      <c r="A172" s="1746"/>
      <c r="B172" s="1746"/>
      <c r="C172" s="1746"/>
      <c r="D172" s="1746"/>
      <c r="E172" s="1896"/>
      <c r="F172" s="1894"/>
      <c r="G172" s="1896"/>
      <c r="H172" s="1747"/>
      <c r="I172" s="1717"/>
      <c r="J172" s="1715"/>
      <c r="K172" s="1715"/>
      <c r="L172" s="1715"/>
      <c r="M172" s="1746"/>
    </row>
    <row r="173" spans="1:13">
      <c r="A173" s="1746"/>
      <c r="B173" s="1746"/>
      <c r="C173" s="1746"/>
      <c r="D173" s="1746"/>
      <c r="E173" s="1896"/>
      <c r="F173" s="1894"/>
      <c r="G173" s="1896"/>
      <c r="H173" s="1747"/>
      <c r="I173" s="1717"/>
      <c r="J173" s="1715"/>
      <c r="K173" s="1715"/>
      <c r="L173" s="1715"/>
      <c r="M173" s="1746"/>
    </row>
    <row r="174" spans="1:13" ht="12.75">
      <c r="A174" s="1746"/>
      <c r="B174" s="1746"/>
      <c r="C174" s="1746"/>
      <c r="D174" s="1746"/>
      <c r="E174" s="1896"/>
      <c r="F174" s="1894"/>
      <c r="G174" s="1896"/>
      <c r="H174" s="1747"/>
      <c r="I174" s="1717"/>
      <c r="J174" s="1719"/>
      <c r="K174" s="1719"/>
      <c r="L174" s="1719"/>
      <c r="M174" s="2"/>
    </row>
    <row r="175" spans="1:13">
      <c r="A175" s="1746"/>
      <c r="B175" s="1746"/>
      <c r="C175" s="1746"/>
      <c r="D175" s="1746"/>
      <c r="E175" s="1894"/>
      <c r="F175" s="1894"/>
      <c r="G175" s="1896"/>
      <c r="H175" s="1747"/>
      <c r="I175" s="1717"/>
      <c r="J175" s="1715"/>
      <c r="K175" s="1715"/>
      <c r="L175" s="1784"/>
      <c r="M175" s="1746"/>
    </row>
    <row r="176" spans="1:13">
      <c r="A176" s="1746"/>
      <c r="B176" s="1746"/>
      <c r="C176" s="1746"/>
      <c r="D176" s="1746"/>
      <c r="E176" s="1896"/>
      <c r="F176" s="1894"/>
      <c r="G176" s="1896"/>
      <c r="H176" s="1747"/>
      <c r="I176" s="1717"/>
      <c r="J176" s="1715"/>
      <c r="K176" s="1715"/>
      <c r="L176" s="1715"/>
      <c r="M176" s="1746"/>
    </row>
    <row r="177" spans="1:13">
      <c r="A177" s="1746"/>
      <c r="B177" s="1746"/>
      <c r="C177" s="1746"/>
      <c r="D177" s="1746"/>
      <c r="E177" s="1896"/>
      <c r="F177" s="1894"/>
      <c r="G177" s="1896"/>
      <c r="H177" s="1747"/>
      <c r="I177" s="1717"/>
      <c r="J177" s="1715"/>
      <c r="K177" s="1715"/>
      <c r="L177" s="1715"/>
      <c r="M177" s="1746"/>
    </row>
    <row r="178" spans="1:13">
      <c r="A178" s="1746"/>
      <c r="B178" s="1746"/>
      <c r="C178" s="1746"/>
      <c r="D178" s="1746"/>
      <c r="E178" s="1896"/>
      <c r="F178" s="1894"/>
      <c r="G178" s="1896"/>
      <c r="H178" s="1747"/>
      <c r="I178" s="1717"/>
      <c r="J178" s="1715"/>
      <c r="K178" s="1715"/>
      <c r="L178" s="1715"/>
      <c r="M178" s="1746"/>
    </row>
    <row r="179" spans="1:13">
      <c r="A179" s="1746"/>
      <c r="B179" s="1746"/>
      <c r="C179" s="1746"/>
      <c r="D179" s="1746"/>
      <c r="E179" s="1896"/>
      <c r="F179" s="1894"/>
      <c r="G179" s="1896"/>
      <c r="H179" s="1747"/>
      <c r="I179" s="1717"/>
      <c r="J179" s="1715"/>
      <c r="K179" s="1715"/>
      <c r="L179" s="1715"/>
      <c r="M179" s="1746"/>
    </row>
    <row r="180" spans="1:13">
      <c r="A180" s="1746"/>
      <c r="B180" s="1746"/>
      <c r="C180" s="1746"/>
      <c r="D180" s="1746"/>
      <c r="E180" s="1896"/>
      <c r="F180" s="1894"/>
      <c r="G180" s="1896"/>
      <c r="H180" s="1747"/>
      <c r="I180" s="1717"/>
      <c r="J180" s="1715"/>
      <c r="K180" s="1715"/>
      <c r="L180" s="1715"/>
      <c r="M180" s="1746"/>
    </row>
    <row r="181" spans="1:13">
      <c r="A181" s="1746"/>
      <c r="B181" s="1746"/>
      <c r="C181" s="1897"/>
      <c r="D181" s="1746"/>
      <c r="E181" s="1896"/>
      <c r="F181" s="1894"/>
      <c r="G181" s="1896"/>
      <c r="H181" s="1747"/>
      <c r="I181" s="1717"/>
      <c r="J181" s="1715"/>
      <c r="K181" s="1715"/>
      <c r="L181" s="1715"/>
      <c r="M181" s="1740"/>
    </row>
    <row r="182" spans="1:13">
      <c r="A182" s="1746"/>
      <c r="B182" s="1746"/>
      <c r="C182" s="1897"/>
      <c r="D182" s="1746"/>
      <c r="E182" s="1896"/>
      <c r="F182" s="1894"/>
      <c r="G182" s="1896"/>
      <c r="H182" s="1747"/>
      <c r="I182" s="1717"/>
      <c r="J182" s="1715"/>
      <c r="K182" s="1715"/>
      <c r="L182" s="1715"/>
      <c r="M182" s="1740"/>
    </row>
    <row r="183" spans="1:13" ht="12.75">
      <c r="A183" s="1746"/>
      <c r="B183" s="1746"/>
      <c r="C183" s="1746"/>
      <c r="D183" s="1746"/>
      <c r="E183" s="1747"/>
      <c r="F183" s="1747"/>
      <c r="G183" s="1747"/>
      <c r="H183" s="1747"/>
      <c r="I183" s="1717"/>
      <c r="J183" s="1715"/>
      <c r="K183" s="1715"/>
      <c r="L183" s="1715"/>
      <c r="M183" s="2"/>
    </row>
    <row r="184" spans="1:13">
      <c r="A184" s="1746"/>
      <c r="B184" s="1746"/>
      <c r="C184" s="1894"/>
      <c r="D184" s="1746"/>
      <c r="E184" s="1896"/>
      <c r="F184" s="1894"/>
      <c r="G184" s="1896"/>
      <c r="H184" s="1747"/>
      <c r="I184" s="1717"/>
      <c r="J184" s="1715"/>
      <c r="K184" s="1715"/>
      <c r="L184" s="1715"/>
      <c r="M184" s="1746"/>
    </row>
    <row r="185" spans="1:13">
      <c r="A185" s="1746"/>
      <c r="B185" s="1746"/>
      <c r="C185" s="1894"/>
      <c r="D185" s="1746"/>
      <c r="E185" s="1896"/>
      <c r="F185" s="1894"/>
      <c r="G185" s="1896"/>
      <c r="H185" s="1747"/>
      <c r="I185" s="1717"/>
      <c r="J185" s="1715"/>
      <c r="K185" s="1715"/>
      <c r="L185" s="1715"/>
      <c r="M185" s="1746"/>
    </row>
    <row r="186" spans="1:13">
      <c r="A186" s="1746"/>
      <c r="B186" s="1746"/>
      <c r="C186" s="1894"/>
      <c r="D186" s="1746"/>
      <c r="E186" s="1896"/>
      <c r="F186" s="1894"/>
      <c r="G186" s="1896"/>
      <c r="H186" s="1747"/>
      <c r="I186" s="1717"/>
      <c r="J186" s="1715"/>
      <c r="K186" s="1715"/>
      <c r="L186" s="1715"/>
      <c r="M186" s="1746"/>
    </row>
    <row r="187" spans="1:13">
      <c r="A187" s="1746"/>
      <c r="B187" s="1746"/>
      <c r="C187" s="1894"/>
      <c r="D187" s="1746"/>
      <c r="E187" s="1896"/>
      <c r="F187" s="1894"/>
      <c r="G187" s="1896"/>
      <c r="H187" s="1747"/>
      <c r="I187" s="1717"/>
      <c r="J187" s="1715"/>
      <c r="K187" s="1715"/>
      <c r="L187" s="1715"/>
      <c r="M187" s="1746"/>
    </row>
    <row r="188" spans="1:13">
      <c r="A188" s="1746"/>
      <c r="B188" s="1746"/>
      <c r="C188" s="1894"/>
      <c r="D188" s="1746"/>
      <c r="E188" s="1896"/>
      <c r="F188" s="1894"/>
      <c r="G188" s="1896"/>
      <c r="H188" s="1747"/>
      <c r="I188" s="1717"/>
      <c r="J188" s="1715"/>
      <c r="K188" s="1715"/>
      <c r="L188" s="1715"/>
      <c r="M188" s="1746"/>
    </row>
    <row r="189" spans="1:13">
      <c r="A189" s="1746"/>
      <c r="B189" s="1746"/>
      <c r="C189" s="1894"/>
      <c r="D189" s="1746"/>
      <c r="E189" s="1896"/>
      <c r="F189" s="1894"/>
      <c r="G189" s="1896"/>
      <c r="H189" s="1747"/>
      <c r="I189" s="1717"/>
      <c r="J189" s="1715"/>
      <c r="K189" s="1715"/>
      <c r="L189" s="1715"/>
      <c r="M189" s="1746"/>
    </row>
    <row r="190" spans="1:13">
      <c r="A190" s="1746"/>
      <c r="B190" s="1746"/>
      <c r="C190" s="1894"/>
      <c r="D190" s="1746"/>
      <c r="E190" s="1896"/>
      <c r="F190" s="1894"/>
      <c r="G190" s="1896"/>
      <c r="H190" s="1747"/>
      <c r="I190" s="1717"/>
      <c r="J190" s="1715"/>
      <c r="K190" s="1715"/>
      <c r="L190" s="1715"/>
      <c r="M190" s="1746"/>
    </row>
    <row r="191" spans="1:13">
      <c r="A191" s="1746"/>
      <c r="B191" s="1746"/>
      <c r="C191" s="1894"/>
      <c r="D191" s="1897"/>
      <c r="E191" s="1895"/>
      <c r="F191" s="1896"/>
      <c r="G191" s="1896"/>
      <c r="H191" s="1747"/>
      <c r="I191" s="1717"/>
      <c r="J191" s="1715"/>
      <c r="K191" s="1715"/>
      <c r="L191" s="1715"/>
      <c r="M191" s="1746"/>
    </row>
    <row r="192" spans="1:13">
      <c r="A192" s="1746"/>
      <c r="B192" s="1746"/>
      <c r="C192" s="1894"/>
      <c r="D192" s="1897"/>
      <c r="E192" s="1895"/>
      <c r="F192" s="1896"/>
      <c r="G192" s="1896"/>
      <c r="H192" s="1747"/>
      <c r="I192" s="1717"/>
      <c r="J192" s="1719"/>
      <c r="K192" s="1719"/>
      <c r="L192" s="1719"/>
      <c r="M192" s="1746"/>
    </row>
    <row r="193" spans="1:13">
      <c r="A193" s="1746"/>
      <c r="B193" s="1746"/>
      <c r="C193" s="1894"/>
      <c r="D193" s="1897"/>
      <c r="E193" s="1895"/>
      <c r="F193" s="1896"/>
      <c r="G193" s="1896"/>
      <c r="H193" s="1747"/>
      <c r="I193" s="1717"/>
      <c r="J193" s="1719"/>
      <c r="K193" s="1719"/>
      <c r="L193" s="1719"/>
      <c r="M193" s="1746"/>
    </row>
    <row r="194" spans="1:13">
      <c r="A194" s="1746"/>
      <c r="B194" s="1746"/>
      <c r="C194" s="1894"/>
      <c r="D194" s="1897"/>
      <c r="E194" s="1895"/>
      <c r="F194" s="1896"/>
      <c r="G194" s="1896"/>
      <c r="H194" s="1747"/>
      <c r="I194" s="1717"/>
      <c r="J194" s="1719"/>
      <c r="K194" s="1719"/>
      <c r="L194" s="1719"/>
      <c r="M194" s="1746"/>
    </row>
    <row r="195" spans="1:13">
      <c r="A195" s="1746"/>
      <c r="B195" s="1746"/>
      <c r="C195" s="1894"/>
      <c r="D195" s="1897"/>
      <c r="E195" s="1895"/>
      <c r="F195" s="1896"/>
      <c r="G195" s="1896"/>
      <c r="H195" s="1747"/>
      <c r="I195" s="1717"/>
      <c r="J195" s="1719"/>
      <c r="K195" s="1719"/>
      <c r="L195" s="1719"/>
      <c r="M195" s="1746"/>
    </row>
    <row r="196" spans="1:13">
      <c r="A196" s="1746"/>
      <c r="B196" s="1746"/>
      <c r="C196" s="1894"/>
      <c r="D196" s="1897"/>
      <c r="E196" s="1895"/>
      <c r="F196" s="1896"/>
      <c r="G196" s="1896"/>
      <c r="H196" s="1747"/>
      <c r="I196" s="1717"/>
      <c r="J196" s="1719"/>
      <c r="K196" s="1719"/>
      <c r="L196" s="1719"/>
      <c r="M196" s="1746"/>
    </row>
    <row r="197" spans="1:13">
      <c r="A197" s="1746"/>
      <c r="B197" s="1746"/>
      <c r="C197" s="1894"/>
      <c r="D197" s="1897"/>
      <c r="E197" s="1895"/>
      <c r="F197" s="1896"/>
      <c r="G197" s="1896"/>
      <c r="H197" s="1747"/>
      <c r="I197" s="1717"/>
      <c r="J197" s="1715"/>
      <c r="K197" s="1715"/>
      <c r="L197" s="1715"/>
      <c r="M197" s="1746"/>
    </row>
    <row r="198" spans="1:13">
      <c r="A198" s="1746"/>
      <c r="B198" s="1746"/>
      <c r="C198" s="1894"/>
      <c r="D198" s="1897"/>
      <c r="E198" s="1895"/>
      <c r="F198" s="1896"/>
      <c r="G198" s="1896"/>
      <c r="H198" s="1747"/>
      <c r="I198" s="1717"/>
      <c r="J198" s="1715"/>
      <c r="K198" s="1715"/>
      <c r="L198" s="1715"/>
      <c r="M198" s="1746"/>
    </row>
    <row r="199" spans="1:13">
      <c r="A199" s="1746"/>
      <c r="B199" s="1746"/>
      <c r="C199" s="1894"/>
      <c r="D199" s="1897"/>
      <c r="E199" s="1895"/>
      <c r="F199" s="1896"/>
      <c r="G199" s="1896"/>
      <c r="H199" s="1747"/>
      <c r="I199" s="1717"/>
      <c r="J199" s="1715"/>
      <c r="K199" s="1715"/>
      <c r="L199" s="1715"/>
      <c r="M199" s="1746"/>
    </row>
    <row r="200" spans="1:13">
      <c r="A200" s="1746"/>
      <c r="B200" s="1746"/>
      <c r="C200" s="1894"/>
      <c r="D200" s="1897"/>
      <c r="E200" s="1895"/>
      <c r="F200" s="1896"/>
      <c r="G200" s="1896"/>
      <c r="H200" s="1747"/>
      <c r="I200" s="1717"/>
      <c r="J200" s="1715"/>
      <c r="K200" s="1715"/>
      <c r="L200" s="1715"/>
      <c r="M200" s="1746"/>
    </row>
    <row r="201" spans="1:13">
      <c r="A201" s="1746"/>
      <c r="B201" s="1746"/>
      <c r="C201" s="1894"/>
      <c r="D201" s="1897"/>
      <c r="E201" s="1895"/>
      <c r="F201" s="1896"/>
      <c r="G201" s="1896"/>
      <c r="H201" s="1747"/>
      <c r="I201" s="1717"/>
      <c r="J201" s="1715"/>
      <c r="K201" s="1715"/>
      <c r="L201" s="1715"/>
      <c r="M201" s="1746"/>
    </row>
    <row r="202" spans="1:13">
      <c r="A202" s="1746"/>
      <c r="B202" s="1746"/>
      <c r="C202" s="1894"/>
      <c r="D202" s="1897"/>
      <c r="E202" s="1895"/>
      <c r="F202" s="1896"/>
      <c r="G202" s="1896"/>
      <c r="H202" s="1747"/>
      <c r="I202" s="1717"/>
      <c r="J202" s="1715"/>
      <c r="K202" s="1715"/>
      <c r="L202" s="1715"/>
      <c r="M202" s="1746"/>
    </row>
    <row r="203" spans="1:13">
      <c r="A203" s="1746"/>
      <c r="B203" s="1746"/>
      <c r="C203" s="1894"/>
      <c r="D203" s="1897"/>
      <c r="E203" s="1895"/>
      <c r="F203" s="1896"/>
      <c r="G203" s="1896"/>
      <c r="H203" s="1747"/>
      <c r="I203" s="1717"/>
      <c r="J203" s="1715"/>
      <c r="K203" s="1715"/>
      <c r="L203" s="1715"/>
      <c r="M203" s="1746"/>
    </row>
    <row r="204" spans="1:13">
      <c r="A204" s="1746"/>
      <c r="B204" s="1746"/>
      <c r="C204" s="1894"/>
      <c r="D204" s="1897"/>
      <c r="E204" s="1895"/>
      <c r="F204" s="1896"/>
      <c r="G204" s="1896"/>
      <c r="H204" s="1747"/>
      <c r="I204" s="1717"/>
      <c r="J204" s="1715"/>
      <c r="K204" s="1715"/>
      <c r="L204" s="1715"/>
      <c r="M204" s="1746"/>
    </row>
    <row r="205" spans="1:13">
      <c r="A205" s="1746"/>
      <c r="B205" s="1746"/>
      <c r="C205" s="1894"/>
      <c r="D205" s="1897"/>
      <c r="E205" s="1895"/>
      <c r="F205" s="1896"/>
      <c r="G205" s="1896"/>
      <c r="H205" s="1747"/>
      <c r="I205" s="1717"/>
      <c r="J205" s="1715"/>
      <c r="K205" s="1715"/>
      <c r="L205" s="1715"/>
      <c r="M205" s="1746"/>
    </row>
    <row r="206" spans="1:13">
      <c r="A206" s="1746"/>
      <c r="B206" s="1746"/>
      <c r="C206" s="1894"/>
      <c r="D206" s="1897"/>
      <c r="E206" s="1895"/>
      <c r="F206" s="1896"/>
      <c r="G206" s="1896"/>
      <c r="H206" s="1747"/>
      <c r="I206" s="1717"/>
      <c r="J206" s="1715"/>
      <c r="K206" s="1715"/>
      <c r="L206" s="1715"/>
      <c r="M206" s="1746"/>
    </row>
    <row r="207" spans="1:13">
      <c r="A207" s="1746"/>
      <c r="B207" s="1746"/>
      <c r="C207" s="1894"/>
      <c r="D207" s="1897"/>
      <c r="E207" s="1895"/>
      <c r="F207" s="1896"/>
      <c r="G207" s="1896"/>
      <c r="H207" s="1747"/>
      <c r="I207" s="1717"/>
      <c r="J207" s="1719"/>
      <c r="K207" s="1719"/>
      <c r="L207" s="1719"/>
      <c r="M207" s="1746"/>
    </row>
    <row r="208" spans="1:13">
      <c r="A208" s="1746"/>
      <c r="B208" s="1746"/>
      <c r="C208" s="1894"/>
      <c r="D208" s="1897"/>
      <c r="E208" s="1895"/>
      <c r="F208" s="1896"/>
      <c r="G208" s="1896"/>
      <c r="H208" s="1747"/>
      <c r="I208" s="1717"/>
      <c r="J208" s="1719"/>
      <c r="K208" s="1719"/>
      <c r="L208" s="1719"/>
      <c r="M208" s="1746"/>
    </row>
    <row r="209" spans="1:13">
      <c r="A209" s="1746"/>
      <c r="B209" s="1746"/>
      <c r="C209" s="1894"/>
      <c r="D209" s="1897"/>
      <c r="E209" s="1895"/>
      <c r="F209" s="1896"/>
      <c r="G209" s="1896"/>
      <c r="H209" s="1747"/>
      <c r="I209" s="1717"/>
      <c r="J209" s="1719"/>
      <c r="K209" s="1719"/>
      <c r="L209" s="1719"/>
      <c r="M209" s="1746"/>
    </row>
    <row r="210" spans="1:13">
      <c r="A210" s="1746"/>
      <c r="B210" s="1746"/>
      <c r="C210" s="1894"/>
      <c r="D210" s="1897"/>
      <c r="E210" s="1895"/>
      <c r="F210" s="1896"/>
      <c r="G210" s="1896"/>
      <c r="H210" s="1747"/>
      <c r="I210" s="1717"/>
      <c r="J210" s="1719"/>
      <c r="K210" s="1719"/>
      <c r="L210" s="1719"/>
      <c r="M210" s="1746"/>
    </row>
    <row r="211" spans="1:13">
      <c r="A211" s="1746"/>
      <c r="B211" s="1746"/>
      <c r="C211" s="1894"/>
      <c r="D211" s="1897"/>
      <c r="E211" s="1895"/>
      <c r="F211" s="1896"/>
      <c r="G211" s="1896"/>
      <c r="H211" s="1747"/>
      <c r="I211" s="1717"/>
      <c r="J211" s="1719"/>
      <c r="K211" s="1719"/>
      <c r="L211" s="1719"/>
      <c r="M211" s="1746"/>
    </row>
    <row r="212" spans="1:13">
      <c r="A212" s="1746"/>
      <c r="B212" s="1746"/>
      <c r="C212" s="1894"/>
      <c r="D212" s="1897"/>
      <c r="E212" s="1895"/>
      <c r="F212" s="1896"/>
      <c r="G212" s="1896"/>
      <c r="H212" s="1747"/>
      <c r="I212" s="1717"/>
      <c r="J212" s="1719"/>
      <c r="K212" s="1719"/>
      <c r="L212" s="1719"/>
      <c r="M212" s="1746"/>
    </row>
    <row r="213" spans="1:13">
      <c r="A213" s="1746"/>
      <c r="B213" s="1746"/>
      <c r="C213" s="1746"/>
      <c r="D213" s="1746"/>
      <c r="E213" s="1747"/>
      <c r="F213" s="1747"/>
      <c r="G213" s="1747"/>
      <c r="H213" s="1747"/>
      <c r="I213" s="1717"/>
      <c r="J213" s="1715"/>
      <c r="K213" s="1715"/>
      <c r="L213" s="1715"/>
      <c r="M213" s="1746"/>
    </row>
    <row r="214" spans="1:13">
      <c r="A214" s="1746"/>
      <c r="B214" s="1746"/>
      <c r="C214" s="1894"/>
      <c r="D214" s="1746"/>
      <c r="E214" s="1896"/>
      <c r="F214" s="1894"/>
      <c r="G214" s="1896"/>
      <c r="H214" s="1747"/>
      <c r="I214" s="1717"/>
      <c r="J214" s="1715"/>
      <c r="K214" s="1715"/>
      <c r="L214" s="1715"/>
      <c r="M214" s="1746"/>
    </row>
    <row r="215" spans="1:13">
      <c r="A215" s="1746"/>
      <c r="B215" s="1746"/>
      <c r="C215" s="1894"/>
      <c r="D215" s="1746"/>
      <c r="E215" s="1896"/>
      <c r="F215" s="1894"/>
      <c r="G215" s="1896"/>
      <c r="H215" s="1747"/>
      <c r="I215" s="1717"/>
      <c r="J215" s="1715"/>
      <c r="K215" s="1715"/>
      <c r="L215" s="1715"/>
      <c r="M215" s="1746"/>
    </row>
    <row r="216" spans="1:13">
      <c r="A216" s="1746"/>
      <c r="B216" s="1746"/>
      <c r="C216" s="1894"/>
      <c r="D216" s="1746"/>
      <c r="E216" s="1896"/>
      <c r="F216" s="1894"/>
      <c r="G216" s="1896"/>
      <c r="H216" s="1747"/>
      <c r="I216" s="1717"/>
      <c r="J216" s="1715"/>
      <c r="K216" s="1715"/>
      <c r="L216" s="1715"/>
      <c r="M216" s="1746"/>
    </row>
    <row r="217" spans="1:13">
      <c r="A217" s="1746"/>
      <c r="B217" s="1746"/>
      <c r="C217" s="1943"/>
      <c r="D217" s="1746"/>
      <c r="E217" s="1896"/>
      <c r="F217" s="1894"/>
      <c r="G217" s="1896"/>
      <c r="H217" s="1747"/>
      <c r="I217" s="1717"/>
      <c r="J217" s="1715"/>
      <c r="K217" s="1715"/>
      <c r="L217" s="1715"/>
      <c r="M217" s="1746"/>
    </row>
    <row r="218" spans="1:13">
      <c r="A218" s="1746"/>
      <c r="B218" s="1746"/>
      <c r="C218" s="1894"/>
      <c r="D218" s="1746"/>
      <c r="E218" s="1896"/>
      <c r="F218" s="1894"/>
      <c r="G218" s="1896"/>
      <c r="H218" s="1747"/>
      <c r="I218" s="1717"/>
      <c r="J218" s="1715"/>
      <c r="K218" s="1715"/>
      <c r="L218" s="1715"/>
      <c r="M218" s="1746"/>
    </row>
    <row r="219" spans="1:13">
      <c r="A219" s="1746"/>
      <c r="B219" s="1746"/>
      <c r="C219" s="1894"/>
      <c r="D219" s="1746"/>
      <c r="E219" s="1896"/>
      <c r="F219" s="1894"/>
      <c r="G219" s="1896"/>
      <c r="H219" s="1747"/>
      <c r="I219" s="1717"/>
      <c r="J219" s="1715"/>
      <c r="K219" s="1715"/>
      <c r="L219" s="1715"/>
      <c r="M219" s="1746"/>
    </row>
    <row r="220" spans="1:13">
      <c r="A220" s="1746"/>
      <c r="B220" s="1746"/>
      <c r="C220" s="1894"/>
      <c r="D220" s="1746"/>
      <c r="E220" s="1896"/>
      <c r="F220" s="1894"/>
      <c r="G220" s="1896"/>
      <c r="H220" s="1747"/>
      <c r="I220" s="1717"/>
      <c r="J220" s="1715"/>
      <c r="K220" s="1715"/>
      <c r="L220" s="1715"/>
      <c r="M220" s="1746"/>
    </row>
    <row r="221" spans="1:13">
      <c r="A221" s="1746"/>
      <c r="B221" s="1746"/>
      <c r="C221" s="1894"/>
      <c r="D221" s="1746"/>
      <c r="E221" s="1896"/>
      <c r="F221" s="1894"/>
      <c r="G221" s="1896"/>
      <c r="H221" s="1747"/>
      <c r="I221" s="1717"/>
      <c r="J221" s="1715"/>
      <c r="K221" s="1715"/>
      <c r="L221" s="1715"/>
      <c r="M221" s="1746"/>
    </row>
    <row r="222" spans="1:13">
      <c r="A222" s="1746"/>
      <c r="B222" s="1746"/>
      <c r="C222" s="1894"/>
      <c r="D222" s="1746"/>
      <c r="E222" s="1896"/>
      <c r="F222" s="1894"/>
      <c r="G222" s="1896"/>
      <c r="H222" s="1747"/>
      <c r="I222" s="1717"/>
      <c r="J222" s="1715"/>
      <c r="K222" s="1715"/>
      <c r="L222" s="1715"/>
      <c r="M222" s="1746"/>
    </row>
    <row r="223" spans="1:13">
      <c r="A223" s="1746"/>
      <c r="B223" s="1746"/>
      <c r="C223" s="1894"/>
      <c r="D223" s="1746"/>
      <c r="E223" s="1896"/>
      <c r="F223" s="1894"/>
      <c r="G223" s="1896"/>
      <c r="H223" s="1747"/>
      <c r="I223" s="1717"/>
      <c r="J223" s="1715"/>
      <c r="K223" s="1715"/>
      <c r="L223" s="1715"/>
      <c r="M223" s="1746"/>
    </row>
    <row r="224" spans="1:13">
      <c r="A224" s="1746"/>
      <c r="B224" s="1746"/>
      <c r="C224" s="1746"/>
      <c r="D224" s="1746"/>
      <c r="E224" s="1747"/>
      <c r="F224" s="1747"/>
      <c r="G224" s="1747"/>
      <c r="H224" s="1747"/>
      <c r="I224" s="1717"/>
      <c r="J224" s="1715"/>
      <c r="K224" s="1715"/>
      <c r="L224" s="1715"/>
      <c r="M224" s="1746"/>
    </row>
    <row r="225" spans="1:13">
      <c r="A225" s="1746"/>
      <c r="B225" s="1746"/>
      <c r="C225" s="1746"/>
      <c r="D225" s="1746"/>
      <c r="E225" s="1747"/>
      <c r="F225" s="1747"/>
      <c r="G225" s="1747"/>
      <c r="H225" s="1747"/>
      <c r="I225" s="1717"/>
      <c r="J225" s="1715"/>
      <c r="K225" s="1715"/>
      <c r="L225" s="1715"/>
      <c r="M225" s="1746"/>
    </row>
    <row r="226" spans="1:13">
      <c r="A226" s="1746"/>
      <c r="B226" s="1746"/>
      <c r="C226" s="1746"/>
      <c r="D226" s="1746"/>
      <c r="E226" s="1747"/>
      <c r="F226" s="1747"/>
      <c r="G226" s="1896"/>
      <c r="H226" s="1747"/>
      <c r="I226" s="1717"/>
      <c r="J226" s="1715"/>
      <c r="K226" s="1715"/>
      <c r="L226" s="1715"/>
      <c r="M226" s="1746"/>
    </row>
    <row r="227" spans="1:13">
      <c r="A227" s="1746"/>
      <c r="B227" s="1746"/>
      <c r="C227" s="1746"/>
      <c r="D227" s="1746"/>
      <c r="E227" s="1747"/>
      <c r="F227" s="1747"/>
      <c r="G227" s="1896"/>
      <c r="H227" s="1747"/>
      <c r="I227" s="1717"/>
      <c r="J227" s="1715"/>
      <c r="K227" s="1715"/>
      <c r="L227" s="1715"/>
      <c r="M227" s="1746"/>
    </row>
    <row r="228" spans="1:13">
      <c r="A228" s="1746"/>
      <c r="B228" s="1746"/>
      <c r="C228" s="1746"/>
      <c r="D228" s="1746"/>
      <c r="E228" s="1747"/>
      <c r="F228" s="1747"/>
      <c r="G228" s="1896"/>
      <c r="H228" s="1747"/>
      <c r="I228" s="1717"/>
      <c r="J228" s="1715"/>
      <c r="K228" s="1715"/>
      <c r="L228" s="1715"/>
      <c r="M228" s="1746"/>
    </row>
    <row r="229" spans="1:13">
      <c r="A229" s="1746"/>
      <c r="B229" s="1746"/>
      <c r="C229" s="1746"/>
      <c r="D229" s="1746"/>
      <c r="E229" s="1747"/>
      <c r="F229" s="1747"/>
      <c r="G229" s="1896"/>
      <c r="H229" s="1747"/>
      <c r="I229" s="1717"/>
      <c r="J229" s="1715"/>
      <c r="K229" s="1715"/>
      <c r="L229" s="1715"/>
      <c r="M229" s="1746"/>
    </row>
    <row r="230" spans="1:13">
      <c r="A230" s="1746"/>
      <c r="B230" s="1746"/>
      <c r="C230" s="1746"/>
      <c r="D230" s="1746"/>
      <c r="E230" s="1747"/>
      <c r="F230" s="1747"/>
      <c r="G230" s="1896"/>
      <c r="H230" s="1747"/>
      <c r="I230" s="1717"/>
      <c r="J230" s="1715"/>
      <c r="K230" s="1715"/>
      <c r="L230" s="1715"/>
      <c r="M230" s="1746"/>
    </row>
    <row r="231" spans="1:13">
      <c r="A231" s="1746"/>
      <c r="B231" s="1746"/>
      <c r="C231" s="1746"/>
      <c r="D231" s="1746"/>
      <c r="E231" s="1747"/>
      <c r="F231" s="1747"/>
      <c r="G231" s="1896"/>
      <c r="H231" s="1747"/>
      <c r="I231" s="1717"/>
      <c r="J231" s="1715"/>
      <c r="K231" s="1715"/>
      <c r="L231" s="1715"/>
      <c r="M231" s="1746"/>
    </row>
    <row r="232" spans="1:13">
      <c r="A232" s="1746"/>
      <c r="B232" s="1746"/>
      <c r="C232" s="1746"/>
      <c r="D232" s="1746"/>
      <c r="E232" s="1747"/>
      <c r="F232" s="1747"/>
      <c r="G232" s="1896"/>
      <c r="H232" s="1747"/>
      <c r="I232" s="1717"/>
      <c r="J232" s="1715"/>
      <c r="K232" s="1715"/>
      <c r="L232" s="1715"/>
      <c r="M232" s="1746"/>
    </row>
    <row r="233" spans="1:13">
      <c r="A233" s="1746"/>
      <c r="B233" s="1746"/>
      <c r="C233" s="1746"/>
      <c r="D233" s="1746"/>
      <c r="E233" s="1747"/>
      <c r="F233" s="1747"/>
      <c r="G233" s="1896"/>
      <c r="H233" s="1747"/>
      <c r="I233" s="1717"/>
      <c r="J233" s="1715"/>
      <c r="K233" s="1715"/>
      <c r="L233" s="1715"/>
      <c r="M233" s="1746"/>
    </row>
    <row r="234" spans="1:13">
      <c r="A234" s="1746"/>
      <c r="B234" s="1746"/>
      <c r="C234" s="1746"/>
      <c r="D234" s="1746"/>
      <c r="E234" s="1747"/>
      <c r="F234" s="1747"/>
      <c r="G234" s="1896"/>
      <c r="H234" s="1747"/>
      <c r="I234" s="1717"/>
      <c r="J234" s="1715"/>
      <c r="K234" s="1715"/>
      <c r="L234" s="1715"/>
      <c r="M234" s="1746"/>
    </row>
    <row r="235" spans="1:13">
      <c r="A235" s="1746"/>
      <c r="B235" s="1746"/>
      <c r="C235" s="1746"/>
      <c r="D235" s="1746"/>
      <c r="E235" s="1747"/>
      <c r="F235" s="1747"/>
      <c r="G235" s="1896"/>
      <c r="H235" s="1747"/>
      <c r="I235" s="1717"/>
      <c r="J235" s="1715"/>
      <c r="K235" s="1715"/>
      <c r="L235" s="1715"/>
      <c r="M235" s="1746"/>
    </row>
    <row r="236" spans="1:13">
      <c r="A236" s="1746"/>
      <c r="B236" s="1746"/>
      <c r="C236" s="1746"/>
      <c r="D236" s="1746"/>
      <c r="E236" s="1747"/>
      <c r="F236" s="1747"/>
      <c r="G236" s="1896"/>
      <c r="H236" s="1747"/>
      <c r="I236" s="1717"/>
      <c r="J236" s="1715"/>
      <c r="K236" s="1715"/>
      <c r="L236" s="1715"/>
      <c r="M236" s="1746"/>
    </row>
    <row r="237" spans="1:13">
      <c r="A237" s="1746"/>
      <c r="B237" s="1746"/>
      <c r="C237" s="1746"/>
      <c r="D237" s="1746"/>
      <c r="E237" s="1747"/>
      <c r="F237" s="1747"/>
      <c r="G237" s="1896"/>
      <c r="H237" s="1747"/>
      <c r="I237" s="1717"/>
      <c r="J237" s="1715"/>
      <c r="K237" s="1715"/>
      <c r="L237" s="1715"/>
      <c r="M237" s="1746"/>
    </row>
    <row r="238" spans="1:13">
      <c r="A238" s="1746"/>
      <c r="B238" s="1746"/>
      <c r="C238" s="1746"/>
      <c r="D238" s="1746"/>
      <c r="E238" s="1747"/>
      <c r="F238" s="1747"/>
      <c r="G238" s="1896"/>
      <c r="H238" s="1747"/>
      <c r="I238" s="1717"/>
      <c r="J238" s="1715"/>
      <c r="K238" s="1715"/>
      <c r="L238" s="1715"/>
      <c r="M238" s="1746"/>
    </row>
    <row r="239" spans="1:13">
      <c r="A239" s="1746"/>
      <c r="B239" s="1746"/>
      <c r="C239" s="1746"/>
      <c r="D239" s="1746"/>
      <c r="E239" s="1747"/>
      <c r="F239" s="1747"/>
      <c r="G239" s="1896"/>
      <c r="H239" s="1747"/>
      <c r="I239" s="1717"/>
      <c r="J239" s="1715"/>
      <c r="K239" s="1715"/>
      <c r="L239" s="1715"/>
      <c r="M239" s="1746"/>
    </row>
    <row r="240" spans="1:13">
      <c r="A240" s="1746"/>
      <c r="B240" s="1746"/>
      <c r="C240" s="1746"/>
      <c r="D240" s="1746"/>
      <c r="E240" s="1747"/>
      <c r="F240" s="1747"/>
      <c r="G240" s="1896"/>
      <c r="H240" s="1747"/>
      <c r="I240" s="1717"/>
      <c r="J240" s="1715"/>
      <c r="K240" s="1715"/>
      <c r="L240" s="1715"/>
      <c r="M240" s="1746"/>
    </row>
    <row r="241" spans="1:13">
      <c r="A241" s="1746"/>
      <c r="B241" s="1746"/>
      <c r="C241" s="1746"/>
      <c r="D241" s="1746"/>
      <c r="E241" s="1747"/>
      <c r="F241" s="1747"/>
      <c r="G241" s="1896"/>
      <c r="H241" s="1747"/>
      <c r="I241" s="1717"/>
      <c r="J241" s="1715"/>
      <c r="K241" s="1715"/>
      <c r="L241" s="1715"/>
      <c r="M241" s="1746"/>
    </row>
    <row r="242" spans="1:13">
      <c r="A242" s="1746"/>
      <c r="B242" s="1746"/>
      <c r="C242" s="1746"/>
      <c r="D242" s="1746"/>
      <c r="E242" s="1747"/>
      <c r="F242" s="1747"/>
      <c r="G242" s="1896"/>
      <c r="H242" s="1747"/>
      <c r="I242" s="1717"/>
      <c r="J242" s="1715"/>
      <c r="K242" s="1715"/>
      <c r="L242" s="1715"/>
      <c r="M242" s="1746"/>
    </row>
    <row r="243" spans="1:13">
      <c r="A243" s="1746"/>
      <c r="B243" s="1746"/>
      <c r="C243" s="1746"/>
      <c r="D243" s="1746"/>
      <c r="E243" s="1747"/>
      <c r="F243" s="1747"/>
      <c r="G243" s="1896"/>
      <c r="H243" s="1747"/>
      <c r="I243" s="1717"/>
      <c r="J243" s="1715"/>
      <c r="K243" s="1715"/>
      <c r="L243" s="1715"/>
      <c r="M243" s="1746"/>
    </row>
    <row r="244" spans="1:13">
      <c r="A244" s="1746"/>
      <c r="B244" s="1746"/>
      <c r="C244" s="1746"/>
      <c r="D244" s="1746"/>
      <c r="E244" s="1747"/>
      <c r="F244" s="1747"/>
      <c r="G244" s="1896"/>
      <c r="H244" s="1747"/>
      <c r="I244" s="1717"/>
      <c r="J244" s="1715"/>
      <c r="K244" s="1715"/>
      <c r="L244" s="1715"/>
      <c r="M244" s="1746"/>
    </row>
    <row r="245" spans="1:13">
      <c r="A245" s="1746"/>
      <c r="B245" s="1746"/>
      <c r="C245" s="1746"/>
      <c r="D245" s="1746"/>
      <c r="E245" s="1747"/>
      <c r="F245" s="1747"/>
      <c r="G245" s="1896"/>
      <c r="H245" s="1747"/>
      <c r="I245" s="1717"/>
      <c r="J245" s="1715"/>
      <c r="K245" s="1715"/>
      <c r="L245" s="1715"/>
      <c r="M245" s="1746"/>
    </row>
    <row r="246" spans="1:13">
      <c r="A246" s="1746"/>
      <c r="B246" s="1746"/>
      <c r="C246" s="1746"/>
      <c r="D246" s="1746"/>
      <c r="E246" s="1747"/>
      <c r="F246" s="1747"/>
      <c r="G246" s="1896"/>
      <c r="H246" s="1747"/>
      <c r="I246" s="1717"/>
      <c r="J246" s="1715"/>
      <c r="K246" s="1715"/>
      <c r="L246" s="1715"/>
      <c r="M246" s="1746"/>
    </row>
    <row r="247" spans="1:13">
      <c r="A247" s="1746"/>
      <c r="B247" s="1746"/>
      <c r="C247" s="1746"/>
      <c r="D247" s="1746"/>
      <c r="E247" s="1747"/>
      <c r="F247" s="1747"/>
      <c r="G247" s="1896"/>
      <c r="H247" s="1747"/>
      <c r="I247" s="1717"/>
      <c r="J247" s="1715"/>
      <c r="K247" s="1715"/>
      <c r="L247" s="1715"/>
      <c r="M247" s="1746"/>
    </row>
    <row r="248" spans="1:13">
      <c r="A248" s="1746"/>
      <c r="B248" s="1746"/>
      <c r="C248" s="1746"/>
      <c r="D248" s="1746"/>
      <c r="E248" s="1747"/>
      <c r="F248" s="1747"/>
      <c r="G248" s="1896"/>
      <c r="H248" s="1747"/>
      <c r="I248" s="1717"/>
      <c r="J248" s="1715"/>
      <c r="K248" s="1715"/>
      <c r="L248" s="1715"/>
      <c r="M248" s="1746"/>
    </row>
    <row r="249" spans="1:13">
      <c r="A249" s="1746"/>
      <c r="B249" s="1746"/>
      <c r="C249" s="1746"/>
      <c r="D249" s="1746"/>
      <c r="E249" s="1747"/>
      <c r="F249" s="1747"/>
      <c r="G249" s="1896"/>
      <c r="H249" s="1747"/>
      <c r="I249" s="1717"/>
      <c r="J249" s="1715"/>
      <c r="K249" s="1715"/>
      <c r="L249" s="1715"/>
      <c r="M249" s="1746"/>
    </row>
    <row r="250" spans="1:13">
      <c r="C250" s="1746"/>
      <c r="D250" s="1746"/>
      <c r="E250" s="1747"/>
      <c r="F250" s="1747"/>
      <c r="G250" s="1896"/>
      <c r="H250" s="1747"/>
      <c r="I250" s="1717"/>
      <c r="J250" s="1715"/>
      <c r="K250" s="1715"/>
      <c r="L250" s="1715"/>
      <c r="M250" s="1746"/>
    </row>
  </sheetData>
  <phoneticPr fontId="49" type="noConversion"/>
  <pageMargins left="0.18" right="0.7" top="0.17" bottom="0.22" header="0.3" footer="0.3"/>
  <pageSetup scale="63"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R43"/>
  <sheetViews>
    <sheetView zoomScale="65" zoomScaleNormal="65" workbookViewId="0">
      <pane xSplit="3" ySplit="4" topLeftCell="F5" activePane="bottomRight" state="frozen"/>
      <selection pane="topRight" activeCell="D1" sqref="D1"/>
      <selection pane="bottomLeft" activeCell="A5" sqref="A5"/>
      <selection pane="bottomRight" activeCell="C47" sqref="C47"/>
    </sheetView>
  </sheetViews>
  <sheetFormatPr defaultRowHeight="12.75"/>
  <cols>
    <col min="1" max="1" width="7.140625" customWidth="1"/>
    <col min="2" max="2" width="15.5703125" style="81" customWidth="1"/>
    <col min="3" max="3" width="41.42578125" customWidth="1"/>
    <col min="4" max="7" width="15.7109375" style="485" bestFit="1" customWidth="1"/>
    <col min="8" max="8" width="15.28515625" style="485" bestFit="1" customWidth="1"/>
    <col min="9" max="9" width="15.7109375" style="485" bestFit="1" customWidth="1"/>
    <col min="10" max="11" width="15.28515625" style="485" bestFit="1" customWidth="1"/>
    <col min="12" max="16" width="15.7109375" style="485" bestFit="1" customWidth="1"/>
    <col min="17" max="17" width="20.85546875" style="485" bestFit="1" customWidth="1"/>
    <col min="18" max="18" width="4" style="485"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style="2" bestFit="1" customWidth="1"/>
    <col min="26" max="26" width="13.7109375" style="2" customWidth="1"/>
    <col min="27" max="27" width="36.42578125" style="2" customWidth="1"/>
    <col min="28" max="38" width="16.42578125" style="2" customWidth="1"/>
    <col min="39" max="40" width="14.28515625" style="2" bestFit="1" customWidth="1"/>
    <col min="41" max="41" width="2.7109375" style="2" customWidth="1"/>
    <col min="42" max="44" width="9.140625" style="2"/>
  </cols>
  <sheetData>
    <row r="1" spans="1:44" ht="15.75">
      <c r="A1" s="1" t="s">
        <v>543</v>
      </c>
      <c r="P1" s="428"/>
      <c r="AO1"/>
      <c r="AP1"/>
      <c r="AQ1"/>
      <c r="AR1"/>
    </row>
    <row r="2" spans="1:44">
      <c r="B2" s="1722"/>
      <c r="D2" s="837" t="s">
        <v>184</v>
      </c>
      <c r="E2" s="837" t="s">
        <v>475</v>
      </c>
      <c r="F2" s="837" t="s">
        <v>476</v>
      </c>
      <c r="G2" s="837" t="s">
        <v>477</v>
      </c>
      <c r="H2" s="837" t="s">
        <v>625</v>
      </c>
      <c r="I2" s="837" t="s">
        <v>626</v>
      </c>
      <c r="J2" s="837" t="s">
        <v>627</v>
      </c>
      <c r="K2" s="837" t="s">
        <v>478</v>
      </c>
      <c r="L2" s="837" t="s">
        <v>479</v>
      </c>
      <c r="M2" s="837" t="s">
        <v>480</v>
      </c>
      <c r="N2" s="837" t="s">
        <v>481</v>
      </c>
      <c r="O2" s="837" t="s">
        <v>482</v>
      </c>
      <c r="P2" s="837" t="s">
        <v>184</v>
      </c>
      <c r="Q2" s="837" t="s">
        <v>413</v>
      </c>
      <c r="AO2"/>
      <c r="AP2"/>
      <c r="AQ2"/>
      <c r="AR2"/>
    </row>
    <row r="3" spans="1:44">
      <c r="A3" s="479" t="s">
        <v>187</v>
      </c>
      <c r="B3" s="479" t="s">
        <v>188</v>
      </c>
      <c r="C3" s="479" t="s">
        <v>189</v>
      </c>
      <c r="D3" s="492">
        <v>2023</v>
      </c>
      <c r="E3" s="491">
        <v>2024</v>
      </c>
      <c r="F3" s="491">
        <v>2024</v>
      </c>
      <c r="G3" s="491">
        <v>2024</v>
      </c>
      <c r="H3" s="491">
        <v>2024</v>
      </c>
      <c r="I3" s="491">
        <v>2024</v>
      </c>
      <c r="J3" s="491">
        <v>2024</v>
      </c>
      <c r="K3" s="491">
        <v>2024</v>
      </c>
      <c r="L3" s="491">
        <v>2024</v>
      </c>
      <c r="M3" s="491">
        <v>2024</v>
      </c>
      <c r="N3" s="491">
        <v>2024</v>
      </c>
      <c r="O3" s="491">
        <v>2024</v>
      </c>
      <c r="P3" s="491">
        <v>2024</v>
      </c>
      <c r="Q3" s="838" t="s">
        <v>215</v>
      </c>
      <c r="R3" s="493"/>
      <c r="T3" s="895" t="s">
        <v>190</v>
      </c>
      <c r="U3" s="895" t="s">
        <v>191</v>
      </c>
      <c r="V3" s="895" t="s">
        <v>192</v>
      </c>
      <c r="W3" s="895" t="s">
        <v>117</v>
      </c>
      <c r="AO3"/>
      <c r="AP3"/>
      <c r="AQ3"/>
      <c r="AR3"/>
    </row>
    <row r="4" spans="1:44">
      <c r="B4" s="487" t="s">
        <v>212</v>
      </c>
      <c r="C4" s="486"/>
      <c r="D4" s="428"/>
      <c r="E4" s="428"/>
      <c r="F4" s="428"/>
      <c r="G4" s="428"/>
      <c r="H4" s="428"/>
      <c r="I4" s="428"/>
      <c r="J4" s="428"/>
      <c r="K4" s="428"/>
      <c r="L4" s="428"/>
      <c r="M4" s="428"/>
      <c r="N4" s="428"/>
      <c r="O4" s="428"/>
      <c r="P4" s="428"/>
      <c r="Q4" s="493"/>
      <c r="R4" s="493"/>
      <c r="AO4"/>
      <c r="AP4"/>
      <c r="AQ4"/>
      <c r="AR4"/>
    </row>
    <row r="5" spans="1:44">
      <c r="A5" s="496" t="s">
        <v>126</v>
      </c>
      <c r="B5" s="496" t="s">
        <v>1283</v>
      </c>
      <c r="C5" s="183" t="s">
        <v>1284</v>
      </c>
      <c r="D5" s="1889">
        <v>254613.2</v>
      </c>
      <c r="E5" s="1889">
        <v>239534</v>
      </c>
      <c r="F5" s="1889">
        <v>224454.8</v>
      </c>
      <c r="G5" s="1889">
        <v>905930.09000000008</v>
      </c>
      <c r="H5" s="1889">
        <v>774758.47</v>
      </c>
      <c r="I5" s="1889">
        <v>643586.85</v>
      </c>
      <c r="J5" s="1889">
        <v>512415.23000000004</v>
      </c>
      <c r="K5" s="1889">
        <v>381243.61</v>
      </c>
      <c r="L5" s="1889">
        <v>250071.99000000002</v>
      </c>
      <c r="M5" s="1889">
        <v>277366.70999999996</v>
      </c>
      <c r="N5" s="1889">
        <v>262072.13999999998</v>
      </c>
      <c r="O5" s="1889">
        <v>246777.57</v>
      </c>
      <c r="P5" s="1889">
        <v>231483</v>
      </c>
      <c r="Q5" s="664">
        <f>AVERAGE(D5:P5)</f>
        <v>400331.35846153845</v>
      </c>
      <c r="R5" s="484"/>
      <c r="S5" s="176" t="s">
        <v>1237</v>
      </c>
      <c r="V5" s="482">
        <f t="shared" ref="V5" si="0">+Q5</f>
        <v>400331.35846153845</v>
      </c>
      <c r="AO5"/>
      <c r="AP5"/>
      <c r="AQ5"/>
      <c r="AR5"/>
    </row>
    <row r="6" spans="1:44">
      <c r="B6" s="488" t="s">
        <v>131</v>
      </c>
      <c r="C6" s="489"/>
      <c r="D6" s="494">
        <f t="shared" ref="D6:Q6" si="1">SUM(D5:D5)</f>
        <v>254613.2</v>
      </c>
      <c r="E6" s="494">
        <f t="shared" si="1"/>
        <v>239534</v>
      </c>
      <c r="F6" s="494">
        <f t="shared" si="1"/>
        <v>224454.8</v>
      </c>
      <c r="G6" s="494">
        <f t="shared" si="1"/>
        <v>905930.09000000008</v>
      </c>
      <c r="H6" s="494">
        <f t="shared" si="1"/>
        <v>774758.47</v>
      </c>
      <c r="I6" s="494">
        <f t="shared" si="1"/>
        <v>643586.85</v>
      </c>
      <c r="J6" s="494">
        <f t="shared" si="1"/>
        <v>512415.23000000004</v>
      </c>
      <c r="K6" s="494">
        <f t="shared" si="1"/>
        <v>381243.61</v>
      </c>
      <c r="L6" s="494">
        <f t="shared" si="1"/>
        <v>250071.99000000002</v>
      </c>
      <c r="M6" s="494">
        <f t="shared" si="1"/>
        <v>277366.70999999996</v>
      </c>
      <c r="N6" s="494">
        <f t="shared" si="1"/>
        <v>262072.13999999998</v>
      </c>
      <c r="O6" s="494">
        <f t="shared" si="1"/>
        <v>246777.57</v>
      </c>
      <c r="P6" s="494">
        <f t="shared" si="1"/>
        <v>231483</v>
      </c>
      <c r="Q6" s="494">
        <f t="shared" si="1"/>
        <v>400331.35846153845</v>
      </c>
      <c r="R6" s="495"/>
      <c r="S6" s="490"/>
      <c r="T6" s="490"/>
      <c r="U6" s="490"/>
      <c r="V6" s="894">
        <f>SUM(V5:V5)</f>
        <v>400331.35846153845</v>
      </c>
      <c r="AB6" s="836"/>
      <c r="AC6" s="836"/>
      <c r="AD6" s="836"/>
      <c r="AE6" s="836"/>
      <c r="AF6" s="836"/>
      <c r="AG6" s="836"/>
      <c r="AH6" s="836"/>
      <c r="AI6" s="836"/>
      <c r="AJ6" s="836"/>
      <c r="AK6" s="836"/>
      <c r="AL6" s="836"/>
      <c r="AN6" s="836"/>
      <c r="AO6"/>
      <c r="AP6"/>
      <c r="AQ6"/>
      <c r="AR6"/>
    </row>
    <row r="7" spans="1:44">
      <c r="B7" s="486"/>
      <c r="C7" s="486"/>
      <c r="D7" s="1795"/>
      <c r="E7" s="1795"/>
      <c r="F7" s="1795"/>
      <c r="G7" s="1795"/>
      <c r="H7" s="1795"/>
      <c r="I7" s="1795"/>
      <c r="J7" s="1795"/>
      <c r="K7" s="1795"/>
      <c r="L7" s="1795"/>
      <c r="M7" s="1795"/>
      <c r="N7" s="1795"/>
      <c r="O7" s="1795"/>
      <c r="P7" s="1796"/>
      <c r="Q7" s="493"/>
      <c r="R7" s="484"/>
      <c r="S7" s="183"/>
      <c r="V7" s="482"/>
      <c r="AB7" s="836"/>
      <c r="AC7" s="836"/>
      <c r="AD7" s="836"/>
      <c r="AE7" s="836"/>
      <c r="AF7" s="836"/>
      <c r="AG7" s="836"/>
      <c r="AH7" s="836"/>
      <c r="AI7" s="836"/>
      <c r="AJ7" s="836"/>
      <c r="AK7" s="836"/>
      <c r="AL7" s="836"/>
      <c r="AM7" s="836"/>
      <c r="AN7" s="836"/>
      <c r="AO7"/>
      <c r="AP7"/>
      <c r="AQ7"/>
      <c r="AR7"/>
    </row>
    <row r="8" spans="1:44">
      <c r="B8" s="486"/>
      <c r="C8" s="486"/>
      <c r="D8" s="1795"/>
      <c r="E8" s="1795"/>
      <c r="F8" s="1795"/>
      <c r="G8" s="1795"/>
      <c r="H8" s="1795"/>
      <c r="I8" s="1795"/>
      <c r="J8" s="1795"/>
      <c r="K8" s="1795"/>
      <c r="L8" s="1795"/>
      <c r="M8" s="1795"/>
      <c r="N8" s="1795"/>
      <c r="O8" s="1795"/>
      <c r="P8" s="1796"/>
      <c r="Q8" s="493"/>
      <c r="AB8" s="836"/>
      <c r="AC8" s="836"/>
      <c r="AD8" s="836"/>
      <c r="AF8" s="836"/>
      <c r="AG8" s="836"/>
      <c r="AH8" s="836"/>
      <c r="AI8" s="836"/>
      <c r="AJ8" s="836"/>
      <c r="AK8" s="836"/>
      <c r="AL8" s="836"/>
      <c r="AM8" s="836"/>
      <c r="AN8" s="836"/>
      <c r="AO8"/>
      <c r="AP8"/>
      <c r="AQ8"/>
      <c r="AR8"/>
    </row>
    <row r="9" spans="1:44">
      <c r="B9" s="487" t="s">
        <v>213</v>
      </c>
      <c r="C9" s="486"/>
      <c r="D9" s="1795"/>
      <c r="E9" s="1795"/>
      <c r="F9" s="1795"/>
      <c r="G9" s="1795"/>
      <c r="H9" s="1795"/>
      <c r="I9" s="1795"/>
      <c r="J9" s="1795"/>
      <c r="K9" s="1795"/>
      <c r="L9" s="1795"/>
      <c r="M9" s="1795"/>
      <c r="N9" s="1795"/>
      <c r="O9" s="1795"/>
      <c r="P9" s="1796"/>
      <c r="Q9" s="493"/>
      <c r="R9" s="493"/>
      <c r="AB9" s="836"/>
      <c r="AC9" s="836"/>
      <c r="AD9" s="836"/>
      <c r="AE9" s="836"/>
      <c r="AF9" s="836"/>
      <c r="AG9" s="836"/>
      <c r="AH9" s="836"/>
      <c r="AI9" s="836"/>
      <c r="AJ9" s="836"/>
      <c r="AK9" s="836"/>
      <c r="AL9" s="836"/>
      <c r="AN9" s="836"/>
      <c r="AO9"/>
      <c r="AP9"/>
      <c r="AQ9"/>
      <c r="AR9"/>
    </row>
    <row r="10" spans="1:44">
      <c r="A10" s="497" t="s">
        <v>129</v>
      </c>
      <c r="B10" t="s">
        <v>1066</v>
      </c>
      <c r="C10" t="s">
        <v>831</v>
      </c>
      <c r="D10" s="1752">
        <v>571721.66</v>
      </c>
      <c r="E10" s="1752">
        <v>552881.94999999995</v>
      </c>
      <c r="F10" s="1752">
        <v>719741.68</v>
      </c>
      <c r="G10" s="1752">
        <v>1086834.75</v>
      </c>
      <c r="H10" s="1752">
        <v>18333.330000000002</v>
      </c>
      <c r="I10" s="1752">
        <v>155744.45000000001</v>
      </c>
      <c r="J10" s="1752">
        <v>0</v>
      </c>
      <c r="K10" s="1752">
        <v>0</v>
      </c>
      <c r="L10" s="1752">
        <v>0</v>
      </c>
      <c r="M10" s="1752">
        <v>0</v>
      </c>
      <c r="N10" s="1752">
        <v>0</v>
      </c>
      <c r="O10" s="1752">
        <v>0</v>
      </c>
      <c r="P10" s="1752">
        <v>95600</v>
      </c>
      <c r="Q10" s="664">
        <f t="shared" ref="Q10:Q11" si="2">AVERAGE(D10:P10)</f>
        <v>246219.83230769233</v>
      </c>
      <c r="R10" s="481"/>
      <c r="S10" s="183" t="s">
        <v>414</v>
      </c>
      <c r="W10" s="482">
        <f t="shared" ref="W10" si="3">+Q10</f>
        <v>246219.83230769233</v>
      </c>
      <c r="AB10" s="836"/>
      <c r="AC10" s="836"/>
      <c r="AD10" s="836"/>
      <c r="AE10" s="836"/>
      <c r="AJ10" s="836"/>
      <c r="AK10" s="836"/>
      <c r="AL10" s="836"/>
      <c r="AM10" s="836"/>
      <c r="AN10" s="836"/>
      <c r="AO10"/>
      <c r="AP10"/>
      <c r="AQ10"/>
      <c r="AR10"/>
    </row>
    <row r="11" spans="1:44">
      <c r="A11" s="497" t="s">
        <v>129</v>
      </c>
      <c r="B11" t="s">
        <v>1067</v>
      </c>
      <c r="C11" t="s">
        <v>1211</v>
      </c>
      <c r="D11" s="1752">
        <v>31260.94</v>
      </c>
      <c r="E11" s="1752">
        <v>31260.94</v>
      </c>
      <c r="F11" s="1752">
        <v>31260.94</v>
      </c>
      <c r="G11" s="1752">
        <v>31260.94</v>
      </c>
      <c r="H11" s="1752">
        <v>31260.94</v>
      </c>
      <c r="I11" s="1752">
        <v>31260.94</v>
      </c>
      <c r="J11" s="1752">
        <v>0</v>
      </c>
      <c r="K11" s="1752">
        <v>0</v>
      </c>
      <c r="L11" s="1752">
        <v>0</v>
      </c>
      <c r="M11" s="1752">
        <v>0</v>
      </c>
      <c r="N11" s="1752">
        <v>0</v>
      </c>
      <c r="O11" s="1752">
        <v>0</v>
      </c>
      <c r="P11" s="1752">
        <v>0</v>
      </c>
      <c r="Q11" s="664">
        <f t="shared" si="2"/>
        <v>14428.126153846153</v>
      </c>
      <c r="R11" s="484"/>
      <c r="S11" s="183" t="s">
        <v>414</v>
      </c>
      <c r="T11" s="499"/>
      <c r="U11" s="2"/>
      <c r="V11" s="2"/>
      <c r="W11" s="482">
        <f t="shared" ref="W11:W15" si="4">+Q11</f>
        <v>14428.126153846153</v>
      </c>
      <c r="AB11" s="836"/>
      <c r="AC11" s="836"/>
      <c r="AD11" s="836"/>
      <c r="AE11" s="836"/>
      <c r="AJ11" s="836"/>
      <c r="AK11" s="836"/>
      <c r="AL11" s="836"/>
      <c r="AM11" s="836"/>
      <c r="AN11" s="836"/>
      <c r="AO11"/>
      <c r="AP11"/>
      <c r="AQ11"/>
      <c r="AR11"/>
    </row>
    <row r="12" spans="1:44" s="2" customFormat="1">
      <c r="A12" s="497" t="s">
        <v>129</v>
      </c>
      <c r="B12" t="s">
        <v>1221</v>
      </c>
      <c r="C12" t="s">
        <v>1222</v>
      </c>
      <c r="D12" s="1752">
        <v>20134123.789999999</v>
      </c>
      <c r="E12" s="1752">
        <v>17884045.460000001</v>
      </c>
      <c r="F12" s="1752">
        <v>15633967.130000001</v>
      </c>
      <c r="G12" s="1752">
        <v>13383888.720000001</v>
      </c>
      <c r="H12" s="1752">
        <v>11523438.119999999</v>
      </c>
      <c r="I12" s="1752">
        <v>16551936.99</v>
      </c>
      <c r="J12" s="1752">
        <v>14246321.529999999</v>
      </c>
      <c r="K12" s="1752">
        <v>11940706.07</v>
      </c>
      <c r="L12" s="1752">
        <v>9635090.6099999994</v>
      </c>
      <c r="M12" s="1752">
        <v>7329475.1500000004</v>
      </c>
      <c r="N12" s="1752">
        <v>5023859.6900000004</v>
      </c>
      <c r="O12" s="1752">
        <v>2718244.23</v>
      </c>
      <c r="P12" s="1752">
        <v>19102981.449999999</v>
      </c>
      <c r="Q12" s="664">
        <f t="shared" ref="Q12:Q20" si="5">AVERAGE(D12:P12)</f>
        <v>12700621.456923075</v>
      </c>
      <c r="R12" s="484"/>
      <c r="S12" s="183" t="s">
        <v>415</v>
      </c>
      <c r="T12" s="482"/>
      <c r="U12" s="176"/>
      <c r="V12" s="176"/>
      <c r="W12" s="482">
        <f t="shared" si="4"/>
        <v>12700621.456923075</v>
      </c>
      <c r="AB12" s="836"/>
      <c r="AC12" s="836"/>
      <c r="AD12" s="836"/>
      <c r="AE12" s="836"/>
      <c r="AJ12" s="836"/>
      <c r="AK12" s="836"/>
      <c r="AL12" s="836"/>
      <c r="AM12" s="836"/>
      <c r="AN12" s="836"/>
    </row>
    <row r="13" spans="1:44">
      <c r="A13" s="497" t="s">
        <v>129</v>
      </c>
      <c r="B13" t="s">
        <v>1223</v>
      </c>
      <c r="C13" t="s">
        <v>1224</v>
      </c>
      <c r="D13" s="1752">
        <v>907631.24</v>
      </c>
      <c r="E13" s="1752">
        <v>2571086.36</v>
      </c>
      <c r="F13" s="1752">
        <v>2321286.08</v>
      </c>
      <c r="G13" s="1752">
        <v>2459505.71</v>
      </c>
      <c r="H13" s="1752">
        <v>2166592.1</v>
      </c>
      <c r="I13" s="1752">
        <v>1873678.49</v>
      </c>
      <c r="J13" s="1752">
        <v>1580764.88</v>
      </c>
      <c r="K13" s="1752">
        <v>1300604.52</v>
      </c>
      <c r="L13" s="1752">
        <v>1020444.16</v>
      </c>
      <c r="M13" s="1752">
        <v>1255955.3</v>
      </c>
      <c r="N13" s="1752">
        <v>963030.11</v>
      </c>
      <c r="O13" s="1752">
        <v>1441098.55</v>
      </c>
      <c r="P13" s="1752">
        <v>1094965.8999999999</v>
      </c>
      <c r="Q13" s="664">
        <f t="shared" si="5"/>
        <v>1612049.4923076923</v>
      </c>
      <c r="R13" s="484"/>
      <c r="S13" s="183" t="s">
        <v>415</v>
      </c>
      <c r="T13" s="482"/>
      <c r="U13" s="176"/>
      <c r="V13" s="176"/>
      <c r="W13" s="482">
        <f t="shared" si="4"/>
        <v>1612049.4923076923</v>
      </c>
      <c r="AB13" s="836"/>
      <c r="AC13" s="836"/>
      <c r="AD13" s="836"/>
      <c r="AE13" s="836"/>
      <c r="AF13" s="836"/>
      <c r="AG13" s="836"/>
      <c r="AH13" s="836"/>
      <c r="AI13" s="836"/>
      <c r="AJ13" s="836"/>
      <c r="AK13" s="836"/>
      <c r="AL13" s="836"/>
      <c r="AM13" s="836"/>
      <c r="AN13" s="836"/>
    </row>
    <row r="14" spans="1:44">
      <c r="A14" s="497" t="s">
        <v>129</v>
      </c>
      <c r="B14" t="s">
        <v>1225</v>
      </c>
      <c r="C14" t="s">
        <v>1226</v>
      </c>
      <c r="D14" s="1752">
        <v>214194.13</v>
      </c>
      <c r="E14" s="1752">
        <v>5491.13</v>
      </c>
      <c r="F14" s="1752">
        <v>0.01</v>
      </c>
      <c r="G14" s="1752">
        <v>1500000</v>
      </c>
      <c r="H14" s="1752">
        <v>1500000</v>
      </c>
      <c r="I14" s="1752">
        <v>1326681.18</v>
      </c>
      <c r="J14" s="1752">
        <v>1153333.8899999999</v>
      </c>
      <c r="K14" s="1752">
        <v>986078.29</v>
      </c>
      <c r="L14" s="1752">
        <v>821459.33</v>
      </c>
      <c r="M14" s="1752">
        <v>647990.48</v>
      </c>
      <c r="N14" s="1752">
        <v>487587.49</v>
      </c>
      <c r="O14" s="1752">
        <v>319527.25</v>
      </c>
      <c r="P14" s="1752">
        <v>117507.93</v>
      </c>
      <c r="Q14" s="664">
        <f t="shared" si="5"/>
        <v>698450.08538461535</v>
      </c>
      <c r="R14" s="484"/>
      <c r="S14" s="183" t="s">
        <v>414</v>
      </c>
      <c r="T14" s="482"/>
      <c r="U14" s="176"/>
      <c r="V14" s="176"/>
      <c r="W14" s="482">
        <f t="shared" si="4"/>
        <v>698450.08538461535</v>
      </c>
      <c r="AB14" s="836"/>
      <c r="AC14" s="836"/>
      <c r="AD14" s="836"/>
      <c r="AE14" s="836"/>
      <c r="AF14" s="836"/>
      <c r="AG14" s="836"/>
      <c r="AH14" s="836"/>
      <c r="AI14" s="836"/>
      <c r="AJ14" s="836"/>
      <c r="AK14" s="836"/>
      <c r="AL14" s="836"/>
      <c r="AM14" s="836"/>
      <c r="AN14" s="836"/>
    </row>
    <row r="15" spans="1:44">
      <c r="A15" s="497" t="s">
        <v>129</v>
      </c>
      <c r="B15" t="s">
        <v>1227</v>
      </c>
      <c r="C15" t="s">
        <v>1228</v>
      </c>
      <c r="D15" s="1752">
        <v>10068722.220000001</v>
      </c>
      <c r="E15" s="1752">
        <v>9576570.2799999993</v>
      </c>
      <c r="F15" s="1752">
        <v>9757556.4700000007</v>
      </c>
      <c r="G15" s="1752">
        <v>9931037.4100000001</v>
      </c>
      <c r="H15" s="1752">
        <v>13020009.050000001</v>
      </c>
      <c r="I15" s="1752">
        <v>12808257.02</v>
      </c>
      <c r="J15" s="1752">
        <v>13414163.939999999</v>
      </c>
      <c r="K15" s="1752">
        <v>12689315.779999999</v>
      </c>
      <c r="L15" s="1752">
        <v>10845515.390000001</v>
      </c>
      <c r="M15" s="1752">
        <v>11309257.609999999</v>
      </c>
      <c r="N15" s="1752">
        <v>13616907.08</v>
      </c>
      <c r="O15" s="1752">
        <v>12775525.15</v>
      </c>
      <c r="P15" s="1752">
        <v>12879340.33</v>
      </c>
      <c r="Q15" s="664">
        <f t="shared" si="5"/>
        <v>11745552.133076923</v>
      </c>
      <c r="R15" s="484"/>
      <c r="S15" s="183" t="s">
        <v>414</v>
      </c>
      <c r="T15" s="482"/>
      <c r="U15" s="176"/>
      <c r="V15" s="176"/>
      <c r="W15" s="482">
        <f t="shared" si="4"/>
        <v>11745552.133076923</v>
      </c>
      <c r="AB15" s="836"/>
      <c r="AC15" s="836"/>
      <c r="AD15" s="836"/>
      <c r="AE15" s="836"/>
      <c r="AF15" s="836"/>
      <c r="AG15" s="836"/>
      <c r="AH15" s="836"/>
      <c r="AI15" s="836"/>
      <c r="AJ15" s="836"/>
      <c r="AK15" s="836"/>
      <c r="AL15" s="836"/>
      <c r="AM15" s="836"/>
      <c r="AN15" s="836"/>
    </row>
    <row r="16" spans="1:44">
      <c r="A16" s="497" t="s">
        <v>129</v>
      </c>
      <c r="B16" t="s">
        <v>1229</v>
      </c>
      <c r="C16" t="s">
        <v>1230</v>
      </c>
      <c r="D16" s="1752">
        <v>2122548.85</v>
      </c>
      <c r="E16" s="1752">
        <v>2099629.12</v>
      </c>
      <c r="F16" s="1752">
        <v>2360316.37</v>
      </c>
      <c r="G16" s="1752">
        <v>2694210.51</v>
      </c>
      <c r="H16" s="1752">
        <v>2429239.4500000002</v>
      </c>
      <c r="I16" s="1752">
        <v>2482064.7999999998</v>
      </c>
      <c r="J16" s="1752">
        <v>2499171.64</v>
      </c>
      <c r="K16" s="1752">
        <v>2319138.85</v>
      </c>
      <c r="L16" s="1752">
        <v>2254293.52</v>
      </c>
      <c r="M16" s="1752">
        <v>2706425.93</v>
      </c>
      <c r="N16" s="1752">
        <v>5475534.5999999996</v>
      </c>
      <c r="O16" s="1752">
        <v>5257022.43</v>
      </c>
      <c r="P16" s="1752">
        <v>4825292.4000000004</v>
      </c>
      <c r="Q16" s="664">
        <f t="shared" si="5"/>
        <v>3040376.036153846</v>
      </c>
      <c r="R16" s="484"/>
      <c r="S16" s="183" t="s">
        <v>414</v>
      </c>
      <c r="T16" s="482"/>
      <c r="U16" s="176"/>
      <c r="V16" s="176"/>
      <c r="W16" s="482">
        <f t="shared" ref="W16:W20" si="6">+Q16</f>
        <v>3040376.036153846</v>
      </c>
      <c r="AB16" s="836"/>
      <c r="AC16" s="836"/>
      <c r="AD16" s="836"/>
      <c r="AE16" s="836"/>
      <c r="AF16" s="836"/>
      <c r="AG16" s="836"/>
      <c r="AH16" s="836"/>
      <c r="AI16" s="836"/>
      <c r="AJ16" s="836"/>
      <c r="AK16" s="836"/>
      <c r="AL16" s="836"/>
      <c r="AM16" s="836"/>
      <c r="AN16" s="836"/>
    </row>
    <row r="17" spans="1:44">
      <c r="A17" s="497" t="s">
        <v>129</v>
      </c>
      <c r="B17" t="s">
        <v>1231</v>
      </c>
      <c r="C17" t="s">
        <v>1232</v>
      </c>
      <c r="D17" s="1752">
        <v>893926.96</v>
      </c>
      <c r="E17" s="1752">
        <v>819433.04</v>
      </c>
      <c r="F17" s="1752">
        <v>744939.12</v>
      </c>
      <c r="G17" s="1752">
        <v>670445.19999999995</v>
      </c>
      <c r="H17" s="1752">
        <v>595951.28</v>
      </c>
      <c r="I17" s="1752">
        <v>521457.36</v>
      </c>
      <c r="J17" s="1752">
        <v>446963.44</v>
      </c>
      <c r="K17" s="1752">
        <v>372469.52</v>
      </c>
      <c r="L17" s="1752">
        <v>297975.59999999998</v>
      </c>
      <c r="M17" s="1752">
        <v>223481.68</v>
      </c>
      <c r="N17" s="1752">
        <v>148987.76</v>
      </c>
      <c r="O17" s="1752">
        <v>74493.84</v>
      </c>
      <c r="P17" s="1752">
        <v>16104427.92</v>
      </c>
      <c r="Q17" s="664">
        <f t="shared" si="5"/>
        <v>1685765.5938461537</v>
      </c>
      <c r="R17" s="484"/>
      <c r="S17" s="183" t="s">
        <v>414</v>
      </c>
      <c r="T17" s="482"/>
      <c r="U17" s="176"/>
      <c r="V17" s="176"/>
      <c r="W17" s="482">
        <f t="shared" si="6"/>
        <v>1685765.5938461537</v>
      </c>
      <c r="AB17" s="836"/>
      <c r="AC17" s="836"/>
      <c r="AD17" s="836"/>
      <c r="AE17" s="836"/>
      <c r="AF17" s="836"/>
      <c r="AG17" s="836"/>
      <c r="AH17" s="836"/>
      <c r="AI17" s="836"/>
      <c r="AJ17" s="836"/>
      <c r="AK17" s="836"/>
      <c r="AL17" s="836"/>
      <c r="AM17" s="836"/>
      <c r="AN17" s="836"/>
    </row>
    <row r="18" spans="1:44">
      <c r="A18" s="497" t="s">
        <v>129</v>
      </c>
      <c r="B18" t="s">
        <v>1285</v>
      </c>
      <c r="C18" s="183" t="s">
        <v>1287</v>
      </c>
      <c r="D18" s="1752">
        <v>3385902.16</v>
      </c>
      <c r="E18" s="1752">
        <v>3778792.9</v>
      </c>
      <c r="F18" s="1752">
        <v>3539894.28</v>
      </c>
      <c r="G18" s="1752">
        <v>3202257.69</v>
      </c>
      <c r="H18" s="1752">
        <v>2895439.78</v>
      </c>
      <c r="I18" s="1752">
        <v>2666924.11</v>
      </c>
      <c r="J18" s="1752">
        <v>1529482.37</v>
      </c>
      <c r="K18" s="1752">
        <v>1289727.3500000001</v>
      </c>
      <c r="L18" s="1752">
        <v>2007440.57</v>
      </c>
      <c r="M18" s="1752">
        <v>1846124.57</v>
      </c>
      <c r="N18" s="1752">
        <v>1835286.05</v>
      </c>
      <c r="O18" s="1752">
        <v>1764208.77</v>
      </c>
      <c r="P18" s="1752">
        <v>1926140.9</v>
      </c>
      <c r="Q18" s="664">
        <f t="shared" si="5"/>
        <v>2435970.8846153845</v>
      </c>
      <c r="R18" s="484"/>
      <c r="S18" s="183" t="s">
        <v>414</v>
      </c>
      <c r="T18" s="482"/>
      <c r="U18" s="176"/>
      <c r="V18" s="176"/>
      <c r="W18" s="482">
        <f t="shared" si="6"/>
        <v>2435970.8846153845</v>
      </c>
      <c r="AB18" s="836"/>
      <c r="AC18" s="836"/>
      <c r="AD18" s="836"/>
      <c r="AE18" s="836"/>
      <c r="AF18" s="836"/>
      <c r="AG18" s="836"/>
      <c r="AH18" s="836"/>
      <c r="AI18" s="836"/>
      <c r="AJ18" s="836"/>
      <c r="AK18" s="836"/>
      <c r="AL18" s="836"/>
      <c r="AM18" s="836"/>
      <c r="AN18" s="836"/>
    </row>
    <row r="19" spans="1:44">
      <c r="A19" s="497" t="s">
        <v>129</v>
      </c>
      <c r="B19" t="s">
        <v>1286</v>
      </c>
      <c r="C19" s="183" t="s">
        <v>1230</v>
      </c>
      <c r="D19" s="1752">
        <v>955226.4</v>
      </c>
      <c r="E19" s="1752">
        <v>858967.75</v>
      </c>
      <c r="F19" s="1752">
        <v>762709.1</v>
      </c>
      <c r="G19" s="1752">
        <v>677580.06</v>
      </c>
      <c r="H19" s="1752">
        <v>575756.65</v>
      </c>
      <c r="I19" s="1752">
        <v>473933.15</v>
      </c>
      <c r="J19" s="1752">
        <v>377674.5</v>
      </c>
      <c r="K19" s="1752">
        <v>281415.84999999998</v>
      </c>
      <c r="L19" s="1752">
        <v>185157.2</v>
      </c>
      <c r="M19" s="1752">
        <v>88898.53</v>
      </c>
      <c r="N19" s="1752">
        <v>0.04</v>
      </c>
      <c r="O19" s="1752">
        <v>0.04</v>
      </c>
      <c r="P19" s="1752">
        <v>0.04</v>
      </c>
      <c r="Q19" s="664">
        <f t="shared" si="5"/>
        <v>402870.71615384618</v>
      </c>
      <c r="R19" s="484"/>
      <c r="S19" s="183" t="s">
        <v>203</v>
      </c>
      <c r="T19" s="482"/>
      <c r="U19" s="176"/>
      <c r="V19" s="176"/>
      <c r="W19" s="482">
        <f t="shared" si="6"/>
        <v>402870.71615384618</v>
      </c>
      <c r="AB19" s="836"/>
      <c r="AC19" s="836"/>
      <c r="AD19" s="836"/>
      <c r="AE19" s="836"/>
      <c r="AF19" s="836"/>
      <c r="AG19" s="836"/>
      <c r="AH19" s="836"/>
      <c r="AI19" s="836"/>
      <c r="AJ19" s="836"/>
      <c r="AK19" s="836"/>
      <c r="AL19" s="836"/>
      <c r="AM19" s="836"/>
      <c r="AN19" s="836"/>
    </row>
    <row r="20" spans="1:44">
      <c r="A20" s="497" t="s">
        <v>129</v>
      </c>
      <c r="B20" s="183" t="s">
        <v>1319</v>
      </c>
      <c r="C20" s="183" t="s">
        <v>1320</v>
      </c>
      <c r="D20" s="1752">
        <v>8793485.8600000013</v>
      </c>
      <c r="E20" s="1752">
        <v>9329712.0800000001</v>
      </c>
      <c r="F20" s="1752">
        <v>8633407.5899999999</v>
      </c>
      <c r="G20" s="1752">
        <v>13996821.869999999</v>
      </c>
      <c r="H20" s="1752">
        <v>13774428.09</v>
      </c>
      <c r="I20" s="1752">
        <v>9549355.8000000007</v>
      </c>
      <c r="J20" s="1752">
        <v>8824987.5999999996</v>
      </c>
      <c r="K20" s="1752">
        <v>8602154.8900000006</v>
      </c>
      <c r="L20" s="1752">
        <v>9385905.959999999</v>
      </c>
      <c r="M20" s="1752">
        <v>8178420.1399999997</v>
      </c>
      <c r="N20" s="1752">
        <v>7737397.0499999998</v>
      </c>
      <c r="O20" s="1752">
        <v>6835142.3700000001</v>
      </c>
      <c r="P20" s="1752">
        <v>12057171.84</v>
      </c>
      <c r="Q20" s="664">
        <f t="shared" si="5"/>
        <v>9669107.0107692294</v>
      </c>
      <c r="R20" s="484"/>
      <c r="S20" s="183" t="s">
        <v>414</v>
      </c>
      <c r="T20" s="482"/>
      <c r="U20" s="176"/>
      <c r="V20" s="176"/>
      <c r="W20" s="482">
        <f t="shared" si="6"/>
        <v>9669107.0107692294</v>
      </c>
      <c r="AB20" s="836"/>
      <c r="AC20" s="836"/>
      <c r="AD20" s="836"/>
      <c r="AE20" s="836"/>
      <c r="AF20" s="836"/>
      <c r="AG20" s="836"/>
      <c r="AH20" s="836"/>
      <c r="AI20" s="836"/>
      <c r="AJ20" s="836"/>
      <c r="AK20" s="836"/>
      <c r="AL20" s="836"/>
      <c r="AM20" s="836"/>
      <c r="AN20" s="836"/>
    </row>
    <row r="21" spans="1:44">
      <c r="A21" s="497"/>
      <c r="B21" s="183"/>
      <c r="C21" s="176"/>
      <c r="D21" s="1752"/>
      <c r="E21" s="1752"/>
      <c r="F21" s="1752"/>
      <c r="G21" s="1752"/>
      <c r="H21" s="1752"/>
      <c r="I21" s="1752"/>
      <c r="J21" s="1752"/>
      <c r="K21" s="1752"/>
      <c r="L21" s="1752"/>
      <c r="M21" s="1752"/>
      <c r="N21" s="1752"/>
      <c r="O21" s="1752"/>
      <c r="P21" s="1752"/>
      <c r="Q21" s="664"/>
      <c r="R21" s="484"/>
      <c r="S21" s="183"/>
      <c r="T21" s="482"/>
      <c r="U21" s="176"/>
      <c r="V21" s="176"/>
      <c r="W21" s="482"/>
      <c r="AB21" s="836"/>
      <c r="AC21" s="836"/>
      <c r="AD21" s="836"/>
      <c r="AE21" s="836"/>
      <c r="AF21" s="836"/>
      <c r="AG21" s="836"/>
      <c r="AH21" s="836"/>
      <c r="AI21" s="836"/>
      <c r="AJ21" s="836"/>
      <c r="AK21" s="836"/>
      <c r="AL21" s="836"/>
      <c r="AM21" s="836"/>
      <c r="AN21" s="836"/>
    </row>
    <row r="22" spans="1:44">
      <c r="A22" s="498"/>
      <c r="B22" s="488" t="s">
        <v>132</v>
      </c>
      <c r="C22" s="488"/>
      <c r="D22" s="494">
        <f t="shared" ref="D22:Q22" si="7">SUM(D10:D21)</f>
        <v>48078744.210000001</v>
      </c>
      <c r="E22" s="494">
        <f t="shared" si="7"/>
        <v>47507871.009999998</v>
      </c>
      <c r="F22" s="494">
        <f t="shared" si="7"/>
        <v>44505078.770000011</v>
      </c>
      <c r="G22" s="494">
        <f t="shared" si="7"/>
        <v>49633842.859999999</v>
      </c>
      <c r="H22" s="494">
        <f t="shared" si="7"/>
        <v>48530448.789999992</v>
      </c>
      <c r="I22" s="494">
        <f t="shared" si="7"/>
        <v>48441294.289999992</v>
      </c>
      <c r="J22" s="494">
        <f t="shared" si="7"/>
        <v>44072863.790000007</v>
      </c>
      <c r="K22" s="494">
        <f t="shared" si="7"/>
        <v>39781611.120000005</v>
      </c>
      <c r="L22" s="494">
        <f t="shared" si="7"/>
        <v>36453282.340000004</v>
      </c>
      <c r="M22" s="494">
        <f t="shared" si="7"/>
        <v>33586029.390000001</v>
      </c>
      <c r="N22" s="494">
        <f t="shared" si="7"/>
        <v>35288589.869999997</v>
      </c>
      <c r="O22" s="494">
        <f t="shared" si="7"/>
        <v>31185262.629999999</v>
      </c>
      <c r="P22" s="494">
        <f t="shared" si="7"/>
        <v>68203428.709999993</v>
      </c>
      <c r="Q22" s="494">
        <f t="shared" si="7"/>
        <v>44251411.367692307</v>
      </c>
      <c r="R22" s="484"/>
      <c r="S22" s="176"/>
      <c r="T22" s="482"/>
      <c r="U22" s="2"/>
      <c r="V22" s="2"/>
      <c r="W22" s="494">
        <f>SUM(W10:W21)</f>
        <v>44251411.367692307</v>
      </c>
      <c r="AB22" s="836"/>
      <c r="AC22" s="836"/>
      <c r="AD22" s="836"/>
      <c r="AE22" s="836"/>
      <c r="AF22" s="836"/>
      <c r="AG22" s="836"/>
      <c r="AH22" s="836"/>
      <c r="AI22" s="836"/>
      <c r="AJ22" s="836"/>
      <c r="AK22" s="836"/>
      <c r="AL22" s="836"/>
      <c r="AM22" s="836"/>
      <c r="AN22" s="836"/>
    </row>
    <row r="23" spans="1:44">
      <c r="A23" s="498"/>
      <c r="B23" s="1793"/>
      <c r="C23" s="176"/>
      <c r="D23" s="1708"/>
      <c r="E23" s="1708"/>
      <c r="F23" s="1708"/>
      <c r="G23" s="1708"/>
      <c r="H23" s="1708"/>
      <c r="I23" s="1708"/>
      <c r="J23" s="1708"/>
      <c r="K23" s="1708"/>
      <c r="L23" s="1708"/>
      <c r="M23" s="1708"/>
      <c r="N23" s="1708"/>
      <c r="O23" s="1708"/>
      <c r="P23" s="1708"/>
      <c r="Q23" s="664"/>
      <c r="R23" s="484"/>
      <c r="S23" s="176"/>
      <c r="T23" s="482"/>
      <c r="U23" s="2"/>
      <c r="V23" s="2"/>
      <c r="W23" s="2"/>
      <c r="AC23" s="836"/>
      <c r="AD23" s="836"/>
      <c r="AI23" s="836"/>
      <c r="AJ23" s="836"/>
      <c r="AM23" s="836"/>
      <c r="AN23" s="836"/>
    </row>
    <row r="24" spans="1:44">
      <c r="A24" s="498"/>
      <c r="B24" s="1793"/>
      <c r="C24" s="176"/>
      <c r="D24" s="1708"/>
      <c r="E24" s="1708"/>
      <c r="F24" s="1708"/>
      <c r="G24" s="1708"/>
      <c r="H24" s="1708"/>
      <c r="I24" s="1708"/>
      <c r="J24" s="1708"/>
      <c r="K24" s="1708"/>
      <c r="L24" s="1708"/>
      <c r="M24" s="1708"/>
      <c r="N24" s="1708"/>
      <c r="O24" s="1708"/>
      <c r="P24" s="1708"/>
      <c r="Q24" s="664"/>
      <c r="R24" s="484"/>
      <c r="S24" s="176"/>
      <c r="T24" s="482"/>
      <c r="U24" s="2"/>
      <c r="V24" s="2"/>
      <c r="W24" s="2"/>
      <c r="AC24" s="836"/>
      <c r="AD24" s="836"/>
      <c r="AI24" s="836"/>
      <c r="AJ24" s="836"/>
      <c r="AM24" s="836"/>
      <c r="AN24" s="836"/>
    </row>
    <row r="25" spans="1:44">
      <c r="B25" s="487" t="s">
        <v>218</v>
      </c>
      <c r="C25" s="176"/>
      <c r="D25" s="1708"/>
      <c r="E25" s="1708"/>
      <c r="F25" s="1708"/>
      <c r="G25" s="1708"/>
      <c r="H25" s="1708"/>
      <c r="I25" s="1708"/>
      <c r="J25" s="1708"/>
      <c r="K25" s="1708"/>
      <c r="L25" s="1708"/>
      <c r="M25" s="1708"/>
      <c r="N25" s="1708"/>
      <c r="O25" s="1708"/>
      <c r="P25" s="1708"/>
      <c r="Q25" s="664"/>
      <c r="R25" s="484"/>
      <c r="S25" s="176"/>
      <c r="T25" s="482"/>
      <c r="U25" s="2"/>
      <c r="V25" s="2"/>
      <c r="W25" s="2"/>
      <c r="AC25" s="836"/>
      <c r="AD25" s="836"/>
      <c r="AI25" s="836"/>
      <c r="AJ25" s="836"/>
      <c r="AM25" s="836"/>
      <c r="AN25" s="836"/>
    </row>
    <row r="26" spans="1:44">
      <c r="A26" s="176"/>
      <c r="B26" s="496"/>
      <c r="C26" s="176"/>
      <c r="D26" s="1708"/>
      <c r="E26" s="1708"/>
      <c r="F26" s="1708"/>
      <c r="G26" s="1708"/>
      <c r="H26" s="1708"/>
      <c r="I26" s="1708"/>
      <c r="J26" s="1708"/>
      <c r="K26" s="1708"/>
      <c r="L26" s="1708"/>
      <c r="M26" s="1708"/>
      <c r="N26" s="1752"/>
      <c r="O26" s="1752"/>
      <c r="P26" s="1752"/>
      <c r="Q26" s="664"/>
      <c r="R26" s="484"/>
      <c r="S26" s="176"/>
      <c r="T26" s="482"/>
      <c r="U26" s="125">
        <f>Q26</f>
        <v>0</v>
      </c>
      <c r="V26" s="2"/>
      <c r="W26" s="2"/>
      <c r="AC26" s="836"/>
      <c r="AD26" s="836"/>
      <c r="AI26" s="836"/>
      <c r="AJ26" s="836"/>
      <c r="AM26" s="836"/>
      <c r="AN26" s="836"/>
    </row>
    <row r="27" spans="1:44" s="176" customFormat="1">
      <c r="A27" s="498"/>
      <c r="B27" s="488" t="s">
        <v>214</v>
      </c>
      <c r="C27" s="488"/>
      <c r="D27" s="494">
        <f t="shared" ref="D27:Q27" si="8">SUM(D26:D26)</f>
        <v>0</v>
      </c>
      <c r="E27" s="494">
        <f t="shared" si="8"/>
        <v>0</v>
      </c>
      <c r="F27" s="494">
        <f t="shared" si="8"/>
        <v>0</v>
      </c>
      <c r="G27" s="494">
        <f t="shared" si="8"/>
        <v>0</v>
      </c>
      <c r="H27" s="494">
        <f t="shared" si="8"/>
        <v>0</v>
      </c>
      <c r="I27" s="494">
        <f t="shared" si="8"/>
        <v>0</v>
      </c>
      <c r="J27" s="494">
        <f t="shared" si="8"/>
        <v>0</v>
      </c>
      <c r="K27" s="494">
        <f t="shared" si="8"/>
        <v>0</v>
      </c>
      <c r="L27" s="494">
        <f t="shared" si="8"/>
        <v>0</v>
      </c>
      <c r="M27" s="494">
        <f t="shared" si="8"/>
        <v>0</v>
      </c>
      <c r="N27" s="494">
        <f t="shared" si="8"/>
        <v>0</v>
      </c>
      <c r="O27" s="494">
        <f t="shared" si="8"/>
        <v>0</v>
      </c>
      <c r="P27" s="494">
        <f t="shared" si="8"/>
        <v>0</v>
      </c>
      <c r="Q27" s="494">
        <f t="shared" si="8"/>
        <v>0</v>
      </c>
      <c r="R27" s="484"/>
      <c r="T27" s="482"/>
      <c r="U27" s="494">
        <f>SUM(U26:U26)</f>
        <v>0</v>
      </c>
      <c r="V27" s="2"/>
      <c r="W27" s="2"/>
      <c r="Y27" s="2"/>
      <c r="Z27" s="2"/>
      <c r="AA27" s="2"/>
      <c r="AB27" s="836"/>
      <c r="AC27" s="836"/>
      <c r="AD27" s="836"/>
      <c r="AE27" s="2"/>
      <c r="AF27" s="836"/>
      <c r="AG27" s="836"/>
      <c r="AH27" s="836"/>
      <c r="AI27" s="836"/>
      <c r="AJ27" s="836"/>
      <c r="AM27" s="2"/>
      <c r="AN27" s="836"/>
      <c r="AO27" s="499"/>
    </row>
    <row r="28" spans="1:44" s="176" customFormat="1">
      <c r="A28" s="498"/>
      <c r="B28" s="1748"/>
      <c r="D28" s="1708"/>
      <c r="E28" s="1708"/>
      <c r="F28" s="1708"/>
      <c r="G28" s="1708"/>
      <c r="H28" s="1708"/>
      <c r="I28" s="1708"/>
      <c r="J28" s="1708"/>
      <c r="K28" s="1708"/>
      <c r="L28" s="1708"/>
      <c r="M28" s="1708"/>
      <c r="N28" s="1708"/>
      <c r="O28" s="1708"/>
      <c r="P28" s="1708"/>
      <c r="Q28" s="664"/>
      <c r="R28" s="484"/>
      <c r="T28" s="1798"/>
      <c r="U28" s="2"/>
      <c r="V28" s="2"/>
      <c r="W28" s="2"/>
      <c r="Y28" s="2"/>
      <c r="Z28" s="2"/>
      <c r="AA28" s="2"/>
      <c r="AB28" s="836"/>
      <c r="AC28" s="836"/>
      <c r="AD28" s="836"/>
      <c r="AE28" s="2"/>
      <c r="AF28" s="836"/>
      <c r="AG28" s="836"/>
      <c r="AH28" s="836"/>
      <c r="AI28" s="836"/>
      <c r="AJ28" s="836"/>
      <c r="AM28" s="2"/>
      <c r="AN28" s="836"/>
      <c r="AO28" s="499"/>
    </row>
    <row r="29" spans="1:44" s="176" customFormat="1">
      <c r="A29" s="498"/>
      <c r="B29" s="1782"/>
      <c r="D29" s="1708"/>
      <c r="E29" s="1708"/>
      <c r="F29" s="1708"/>
      <c r="G29" s="1708"/>
      <c r="H29" s="1708"/>
      <c r="I29" s="1708"/>
      <c r="J29" s="1708"/>
      <c r="K29" s="1708"/>
      <c r="L29" s="1708"/>
      <c r="M29" s="1708"/>
      <c r="N29" s="1708"/>
      <c r="O29" s="1708"/>
      <c r="P29" s="1708"/>
      <c r="Q29" s="664"/>
      <c r="R29" s="484"/>
      <c r="T29" s="1798"/>
      <c r="U29" s="2"/>
      <c r="V29" s="2"/>
      <c r="W29" s="2"/>
      <c r="Y29" s="2"/>
      <c r="Z29" s="2"/>
      <c r="AA29" s="2"/>
      <c r="AB29" s="836"/>
      <c r="AC29" s="836"/>
      <c r="AD29" s="836"/>
      <c r="AE29" s="2"/>
      <c r="AF29" s="836"/>
      <c r="AG29" s="836"/>
      <c r="AH29" s="836"/>
      <c r="AI29" s="836"/>
      <c r="AJ29" s="836"/>
      <c r="AM29" s="2"/>
      <c r="AN29" s="836"/>
      <c r="AO29" s="499"/>
    </row>
    <row r="30" spans="1:44" s="176" customFormat="1">
      <c r="A30" s="498"/>
      <c r="B30" s="487" t="s">
        <v>216</v>
      </c>
      <c r="D30" s="1708"/>
      <c r="E30" s="1708"/>
      <c r="F30" s="1708"/>
      <c r="G30" s="1708"/>
      <c r="H30" s="1708"/>
      <c r="I30" s="1708"/>
      <c r="J30" s="1708"/>
      <c r="K30" s="1708"/>
      <c r="L30" s="1708"/>
      <c r="M30" s="1708"/>
      <c r="N30" s="1708"/>
      <c r="O30" s="1708"/>
      <c r="P30" s="1708"/>
      <c r="Q30" s="664"/>
      <c r="R30" s="484"/>
      <c r="T30" s="1798"/>
      <c r="U30" s="2"/>
      <c r="V30" s="2"/>
      <c r="W30" s="2"/>
      <c r="Y30" s="2"/>
      <c r="Z30" s="2"/>
      <c r="AA30" s="2"/>
      <c r="AB30" s="836"/>
      <c r="AC30" s="836"/>
      <c r="AD30" s="836"/>
      <c r="AE30" s="2"/>
      <c r="AF30" s="836"/>
      <c r="AG30" s="836"/>
      <c r="AH30" s="836"/>
      <c r="AI30" s="836"/>
      <c r="AJ30" s="836"/>
      <c r="AM30" s="2"/>
      <c r="AN30" s="836"/>
      <c r="AO30" s="499"/>
    </row>
    <row r="31" spans="1:44" s="176" customFormat="1">
      <c r="A31" s="497" t="s">
        <v>272</v>
      </c>
      <c r="B31" t="s">
        <v>1159</v>
      </c>
      <c r="C31" s="183" t="s">
        <v>1321</v>
      </c>
      <c r="D31" s="1752">
        <v>4898200.84</v>
      </c>
      <c r="E31" s="1752">
        <v>5652114.0300000003</v>
      </c>
      <c r="F31" s="1752">
        <v>5652114.0300000003</v>
      </c>
      <c r="G31" s="1752">
        <v>5652114.0300000003</v>
      </c>
      <c r="H31" s="1752">
        <v>6466356.6099999994</v>
      </c>
      <c r="I31" s="1752">
        <v>6466356.6099999994</v>
      </c>
      <c r="J31" s="1752">
        <v>6466356.6099999994</v>
      </c>
      <c r="K31" s="1752">
        <v>6951079.8700000001</v>
      </c>
      <c r="L31" s="1752">
        <v>12161067.370000001</v>
      </c>
      <c r="M31" s="1752">
        <v>6951079.8700000001</v>
      </c>
      <c r="N31" s="1752">
        <v>7782927.3899999997</v>
      </c>
      <c r="O31" s="1752">
        <v>12992914.890000001</v>
      </c>
      <c r="P31" s="1752">
        <v>7782927.3899999997</v>
      </c>
      <c r="Q31" s="664">
        <f t="shared" ref="Q31:Q38" si="9">AVERAGE(D31:P31)</f>
        <v>7375046.8876923081</v>
      </c>
      <c r="R31" s="484"/>
      <c r="T31" s="1798">
        <f t="shared" ref="T31:T38" si="10">Q31</f>
        <v>7375046.8876923081</v>
      </c>
      <c r="U31" s="2"/>
      <c r="V31" s="2"/>
      <c r="W31" s="2"/>
      <c r="Y31" s="2"/>
      <c r="Z31" s="2"/>
      <c r="AA31" s="2"/>
      <c r="AB31" s="836"/>
      <c r="AC31" s="836"/>
      <c r="AD31" s="836"/>
      <c r="AE31" s="2"/>
      <c r="AF31" s="836"/>
      <c r="AG31" s="836"/>
      <c r="AH31" s="836"/>
      <c r="AI31" s="836"/>
      <c r="AJ31" s="836"/>
      <c r="AM31" s="2"/>
      <c r="AN31" s="836"/>
      <c r="AO31" s="499"/>
    </row>
    <row r="32" spans="1:44">
      <c r="A32" s="497" t="s">
        <v>272</v>
      </c>
      <c r="B32" t="s">
        <v>1160</v>
      </c>
      <c r="C32" t="s">
        <v>211</v>
      </c>
      <c r="D32" s="1752">
        <v>4070782.8099999996</v>
      </c>
      <c r="E32" s="1752">
        <v>4902284.74</v>
      </c>
      <c r="F32" s="1752">
        <v>4902284.74</v>
      </c>
      <c r="G32" s="1752">
        <v>4902284.74</v>
      </c>
      <c r="H32" s="1752">
        <v>5725214.8500000006</v>
      </c>
      <c r="I32" s="1752">
        <v>5725214.8500000006</v>
      </c>
      <c r="J32" s="1752">
        <v>5725214.8500000006</v>
      </c>
      <c r="K32" s="1752">
        <v>6289444.0899999989</v>
      </c>
      <c r="L32" s="1752">
        <v>6289444.0899999989</v>
      </c>
      <c r="M32" s="1752">
        <v>6289444.0899999989</v>
      </c>
      <c r="N32" s="1752">
        <v>7122703.5999999987</v>
      </c>
      <c r="O32" s="1752">
        <v>7122703.5999999987</v>
      </c>
      <c r="P32" s="1752">
        <v>7122703.5999999987</v>
      </c>
      <c r="Q32" s="664">
        <f t="shared" si="9"/>
        <v>5860748.0499999989</v>
      </c>
      <c r="T32" s="1798">
        <f t="shared" si="10"/>
        <v>5860748.0499999989</v>
      </c>
      <c r="AM32" s="836"/>
      <c r="AN32" s="836"/>
      <c r="AP32"/>
      <c r="AQ32"/>
      <c r="AR32"/>
    </row>
    <row r="33" spans="1:20">
      <c r="A33" s="497" t="s">
        <v>272</v>
      </c>
      <c r="B33" t="s">
        <v>1161</v>
      </c>
      <c r="C33" t="s">
        <v>1068</v>
      </c>
      <c r="D33" s="1752">
        <v>0</v>
      </c>
      <c r="E33" s="1752">
        <v>0</v>
      </c>
      <c r="F33" s="1752">
        <v>0</v>
      </c>
      <c r="G33" s="1752">
        <v>0</v>
      </c>
      <c r="H33" s="1752">
        <v>0</v>
      </c>
      <c r="I33" s="1752">
        <v>0</v>
      </c>
      <c r="J33" s="1752">
        <v>0</v>
      </c>
      <c r="K33" s="1752">
        <v>0</v>
      </c>
      <c r="L33" s="1752">
        <v>0</v>
      </c>
      <c r="M33" s="1752">
        <v>0</v>
      </c>
      <c r="N33" s="1752">
        <v>0</v>
      </c>
      <c r="O33" s="1752">
        <v>0</v>
      </c>
      <c r="P33" s="1752">
        <v>0</v>
      </c>
      <c r="Q33" s="664">
        <f t="shared" si="9"/>
        <v>0</v>
      </c>
      <c r="T33" s="1798">
        <f t="shared" si="10"/>
        <v>0</v>
      </c>
    </row>
    <row r="34" spans="1:20">
      <c r="A34" s="497" t="s">
        <v>272</v>
      </c>
      <c r="B34" t="s">
        <v>1142</v>
      </c>
      <c r="C34" t="s">
        <v>1143</v>
      </c>
      <c r="D34" s="1752">
        <v>33006</v>
      </c>
      <c r="E34" s="1752">
        <v>33006</v>
      </c>
      <c r="F34" s="1752">
        <v>33006</v>
      </c>
      <c r="G34" s="1752">
        <v>33006</v>
      </c>
      <c r="H34" s="1752">
        <v>33006</v>
      </c>
      <c r="I34" s="1752">
        <v>33006</v>
      </c>
      <c r="J34" s="1752">
        <v>33006</v>
      </c>
      <c r="K34" s="1752">
        <v>33006</v>
      </c>
      <c r="L34" s="1752">
        <v>33006</v>
      </c>
      <c r="M34" s="1752">
        <v>33006</v>
      </c>
      <c r="N34" s="1752">
        <v>33006</v>
      </c>
      <c r="O34" s="1752">
        <v>33006</v>
      </c>
      <c r="P34" s="1752">
        <v>33006</v>
      </c>
      <c r="Q34" s="664">
        <f t="shared" si="9"/>
        <v>33006</v>
      </c>
      <c r="T34" s="1798">
        <f t="shared" si="10"/>
        <v>33006</v>
      </c>
    </row>
    <row r="35" spans="1:20">
      <c r="A35" s="497" t="s">
        <v>272</v>
      </c>
      <c r="B35" t="s">
        <v>1120</v>
      </c>
      <c r="C35" s="183" t="s">
        <v>1335</v>
      </c>
      <c r="D35" s="1752">
        <v>413012.81999999995</v>
      </c>
      <c r="E35" s="1752">
        <v>330364.81999999995</v>
      </c>
      <c r="F35" s="1752">
        <v>247716.82</v>
      </c>
      <c r="G35" s="1752">
        <v>165068.82</v>
      </c>
      <c r="H35" s="1752">
        <v>82420.820000000007</v>
      </c>
      <c r="I35" s="1752">
        <v>-227.20000000000002</v>
      </c>
      <c r="J35" s="1752">
        <v>-225.96</v>
      </c>
      <c r="K35" s="1752">
        <v>700950.62</v>
      </c>
      <c r="L35" s="1752">
        <v>630832.38</v>
      </c>
      <c r="M35" s="1752">
        <v>560716.38</v>
      </c>
      <c r="N35" s="1752">
        <v>490600.38</v>
      </c>
      <c r="O35" s="1752">
        <v>420484.38</v>
      </c>
      <c r="P35" s="1752">
        <v>350368.38</v>
      </c>
      <c r="Q35" s="664">
        <f t="shared" si="9"/>
        <v>337852.57384615386</v>
      </c>
      <c r="T35" s="1798">
        <f t="shared" si="10"/>
        <v>337852.57384615386</v>
      </c>
    </row>
    <row r="36" spans="1:20">
      <c r="A36" s="497" t="s">
        <v>272</v>
      </c>
      <c r="B36" s="428" t="s">
        <v>1233</v>
      </c>
      <c r="C36" t="s">
        <v>1234</v>
      </c>
      <c r="D36" s="1752">
        <v>0</v>
      </c>
      <c r="E36" s="1752">
        <v>0</v>
      </c>
      <c r="F36" s="1752">
        <v>0</v>
      </c>
      <c r="G36" s="1752">
        <v>0</v>
      </c>
      <c r="H36" s="1752">
        <v>0</v>
      </c>
      <c r="I36" s="1752">
        <v>0</v>
      </c>
      <c r="J36" s="1752">
        <v>0</v>
      </c>
      <c r="K36" s="1752">
        <v>0</v>
      </c>
      <c r="L36" s="1752">
        <v>0</v>
      </c>
      <c r="M36" s="1752">
        <v>0</v>
      </c>
      <c r="N36" s="1752">
        <v>0</v>
      </c>
      <c r="O36" s="1752">
        <v>0</v>
      </c>
      <c r="P36" s="1752">
        <v>0</v>
      </c>
      <c r="Q36" s="664">
        <f t="shared" si="9"/>
        <v>0</v>
      </c>
      <c r="T36" s="1798">
        <f t="shared" si="10"/>
        <v>0</v>
      </c>
    </row>
    <row r="37" spans="1:20">
      <c r="A37" s="497" t="s">
        <v>272</v>
      </c>
      <c r="B37" s="1804" t="s">
        <v>1235</v>
      </c>
      <c r="C37" t="s">
        <v>1236</v>
      </c>
      <c r="D37" s="1752">
        <v>769392</v>
      </c>
      <c r="E37" s="1752">
        <v>769392</v>
      </c>
      <c r="F37" s="1752">
        <v>769392</v>
      </c>
      <c r="G37" s="1752">
        <v>769392</v>
      </c>
      <c r="H37" s="1752">
        <v>769392</v>
      </c>
      <c r="I37" s="1752">
        <v>769392</v>
      </c>
      <c r="J37" s="1752">
        <v>769392</v>
      </c>
      <c r="K37" s="1752">
        <v>769392</v>
      </c>
      <c r="L37" s="1752">
        <v>769392</v>
      </c>
      <c r="M37" s="1752">
        <v>769392</v>
      </c>
      <c r="N37" s="1752">
        <v>769392</v>
      </c>
      <c r="O37" s="1752">
        <v>769392</v>
      </c>
      <c r="P37" s="1752">
        <v>851003</v>
      </c>
      <c r="Q37" s="664">
        <f t="shared" si="9"/>
        <v>775669.76923076925</v>
      </c>
      <c r="T37" s="1798">
        <f t="shared" si="10"/>
        <v>775669.76923076925</v>
      </c>
    </row>
    <row r="38" spans="1:20">
      <c r="A38" s="497" t="s">
        <v>272</v>
      </c>
      <c r="B38" t="s">
        <v>1311</v>
      </c>
      <c r="C38" s="183" t="s">
        <v>1336</v>
      </c>
      <c r="D38" s="1752">
        <v>29251600</v>
      </c>
      <c r="E38" s="1752">
        <v>27364400</v>
      </c>
      <c r="F38" s="1752">
        <v>29251600</v>
      </c>
      <c r="G38" s="1752">
        <v>0</v>
      </c>
      <c r="H38" s="1752">
        <v>0</v>
      </c>
      <c r="I38" s="1752">
        <v>12558000</v>
      </c>
      <c r="J38" s="1752">
        <v>0</v>
      </c>
      <c r="K38" s="1752">
        <v>12976600</v>
      </c>
      <c r="L38" s="1752">
        <v>12558000</v>
      </c>
      <c r="M38" s="1752">
        <v>0</v>
      </c>
      <c r="N38" s="1752">
        <v>0</v>
      </c>
      <c r="O38" s="1752">
        <v>0</v>
      </c>
      <c r="P38" s="1752">
        <v>15689933</v>
      </c>
      <c r="Q38" s="664">
        <f t="shared" si="9"/>
        <v>10742317.923076924</v>
      </c>
      <c r="T38" s="1798">
        <f t="shared" si="10"/>
        <v>10742317.923076924</v>
      </c>
    </row>
    <row r="39" spans="1:20">
      <c r="A39" s="497"/>
      <c r="B39" s="1797"/>
      <c r="D39" s="428"/>
      <c r="E39" s="428"/>
      <c r="F39" s="428"/>
      <c r="G39" s="428"/>
      <c r="H39" s="428"/>
      <c r="I39" s="428"/>
      <c r="J39" s="428"/>
      <c r="K39" s="428"/>
      <c r="L39" s="428"/>
      <c r="M39" s="428"/>
      <c r="N39" s="428"/>
      <c r="O39" s="428"/>
      <c r="P39" s="428"/>
      <c r="Q39" s="664"/>
      <c r="T39" s="1798"/>
    </row>
    <row r="40" spans="1:20">
      <c r="B40" s="488" t="s">
        <v>217</v>
      </c>
      <c r="C40" s="488"/>
      <c r="D40" s="494">
        <f t="shared" ref="D40:Q40" si="11">SUM(D31:D39)</f>
        <v>39435994.469999999</v>
      </c>
      <c r="E40" s="494">
        <f t="shared" si="11"/>
        <v>39051561.590000004</v>
      </c>
      <c r="F40" s="494">
        <f t="shared" si="11"/>
        <v>40856113.590000004</v>
      </c>
      <c r="G40" s="494">
        <f t="shared" si="11"/>
        <v>11521865.59</v>
      </c>
      <c r="H40" s="494">
        <f t="shared" si="11"/>
        <v>13076390.280000001</v>
      </c>
      <c r="I40" s="494">
        <f t="shared" si="11"/>
        <v>25551742.260000002</v>
      </c>
      <c r="J40" s="494">
        <f t="shared" si="11"/>
        <v>12993743.5</v>
      </c>
      <c r="K40" s="494">
        <f t="shared" si="11"/>
        <v>27720472.579999998</v>
      </c>
      <c r="L40" s="494">
        <f t="shared" si="11"/>
        <v>32441741.84</v>
      </c>
      <c r="M40" s="494">
        <f t="shared" si="11"/>
        <v>14603638.34</v>
      </c>
      <c r="N40" s="494">
        <f t="shared" si="11"/>
        <v>16198629.369999999</v>
      </c>
      <c r="O40" s="494">
        <f t="shared" si="11"/>
        <v>21338500.869999997</v>
      </c>
      <c r="P40" s="494">
        <f t="shared" si="11"/>
        <v>31829941.369999997</v>
      </c>
      <c r="Q40" s="494">
        <f t="shared" si="11"/>
        <v>25124641.203846157</v>
      </c>
      <c r="T40" s="494">
        <f>SUM(T31:T38)</f>
        <v>25124641.203846157</v>
      </c>
    </row>
    <row r="43" spans="1:20">
      <c r="D43" s="428">
        <f>D40+D27+D22+D6</f>
        <v>87769351.88000001</v>
      </c>
      <c r="P43" s="428">
        <f>P40+P27+P22+P6</f>
        <v>100264853.07999998</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7"/>
  <sheetViews>
    <sheetView zoomScale="75" zoomScaleNormal="75" workbookViewId="0">
      <pane ySplit="2" topLeftCell="A3" activePane="bottomLeft" state="frozen"/>
      <selection activeCell="C309" sqref="C309"/>
      <selection pane="bottomLeft" activeCell="E3" sqref="E3"/>
    </sheetView>
  </sheetViews>
  <sheetFormatPr defaultColWidth="9.140625" defaultRowHeight="12.75"/>
  <cols>
    <col min="1" max="1" width="9.140625" style="628"/>
    <col min="2" max="2" width="70.42578125" style="97" bestFit="1" customWidth="1"/>
    <col min="3" max="3" width="20.7109375" style="629" customWidth="1"/>
    <col min="4" max="4" width="20.7109375" style="630" customWidth="1"/>
    <col min="5" max="5" width="20.42578125" style="630" customWidth="1"/>
    <col min="6" max="16384" width="9.140625" style="97"/>
  </cols>
  <sheetData>
    <row r="1" spans="1:5" ht="26.25" customHeight="1">
      <c r="A1" s="47" t="s">
        <v>545</v>
      </c>
      <c r="B1" s="47"/>
      <c r="C1" s="642"/>
      <c r="D1" s="643"/>
      <c r="E1" s="643"/>
    </row>
    <row r="2" spans="1:5" ht="38.25">
      <c r="A2" s="486" t="s">
        <v>141</v>
      </c>
      <c r="B2" s="486" t="s">
        <v>142</v>
      </c>
      <c r="C2" s="626" t="s">
        <v>1348</v>
      </c>
      <c r="D2" s="627" t="s">
        <v>1347</v>
      </c>
      <c r="E2" s="627" t="s">
        <v>1372</v>
      </c>
    </row>
    <row r="3" spans="1:5">
      <c r="A3" s="628">
        <v>1</v>
      </c>
      <c r="B3" t="s">
        <v>1166</v>
      </c>
      <c r="C3" s="184">
        <v>3515000</v>
      </c>
      <c r="D3" s="184">
        <v>3286000</v>
      </c>
      <c r="E3" s="1816">
        <f>C3-D3</f>
        <v>229000</v>
      </c>
    </row>
    <row r="4" spans="1:5">
      <c r="A4" s="628">
        <f t="shared" ref="A4:A79" si="0">+A3+1</f>
        <v>2</v>
      </c>
      <c r="B4" t="s">
        <v>1167</v>
      </c>
      <c r="C4" s="184">
        <v>89000</v>
      </c>
      <c r="D4" s="184">
        <v>73000</v>
      </c>
      <c r="E4" s="1816">
        <f>C4-D4</f>
        <v>16000</v>
      </c>
    </row>
    <row r="5" spans="1:5">
      <c r="A5" s="628">
        <f>+A4+1</f>
        <v>3</v>
      </c>
      <c r="B5" t="s">
        <v>1168</v>
      </c>
      <c r="C5" s="184">
        <v>269000</v>
      </c>
      <c r="D5" s="184">
        <v>221000</v>
      </c>
      <c r="E5" s="1816">
        <f>C5-D5</f>
        <v>48000</v>
      </c>
    </row>
    <row r="6" spans="1:5">
      <c r="A6" s="628">
        <f>+A5+1</f>
        <v>4</v>
      </c>
    </row>
    <row r="7" spans="1:5">
      <c r="A7" s="628">
        <f>+A6+1</f>
        <v>5</v>
      </c>
      <c r="C7" s="1664"/>
      <c r="D7" s="1664"/>
      <c r="E7" s="1816"/>
    </row>
    <row r="8" spans="1:5">
      <c r="A8" s="628">
        <f t="shared" si="0"/>
        <v>6</v>
      </c>
      <c r="B8" s="631" t="s">
        <v>143</v>
      </c>
      <c r="C8" s="1817">
        <f>SUM(C3:C5)</f>
        <v>3873000</v>
      </c>
      <c r="D8" s="1817">
        <f>SUM(D3:D5)</f>
        <v>3580000</v>
      </c>
      <c r="E8" s="1817">
        <f>SUM(E3:E5)</f>
        <v>293000</v>
      </c>
    </row>
    <row r="9" spans="1:5">
      <c r="A9" s="628">
        <f t="shared" si="0"/>
        <v>7</v>
      </c>
      <c r="C9" s="1818"/>
      <c r="D9" s="1819"/>
      <c r="E9" s="1819"/>
    </row>
    <row r="10" spans="1:5">
      <c r="A10" s="628">
        <f t="shared" si="0"/>
        <v>8</v>
      </c>
      <c r="B10" t="s">
        <v>1033</v>
      </c>
      <c r="C10" s="184">
        <v>2000</v>
      </c>
      <c r="D10" s="97"/>
      <c r="E10" s="1816">
        <f t="shared" ref="E10:E31" si="1">C10-D10</f>
        <v>2000</v>
      </c>
    </row>
    <row r="11" spans="1:5">
      <c r="A11" s="628">
        <f t="shared" si="0"/>
        <v>9</v>
      </c>
      <c r="B11" t="s">
        <v>1034</v>
      </c>
      <c r="C11" s="184">
        <v>29000</v>
      </c>
      <c r="D11" s="1806">
        <v>11000</v>
      </c>
      <c r="E11" s="1816">
        <f t="shared" si="1"/>
        <v>18000</v>
      </c>
    </row>
    <row r="12" spans="1:5">
      <c r="A12" s="628">
        <f t="shared" si="0"/>
        <v>10</v>
      </c>
      <c r="B12" t="s">
        <v>1035</v>
      </c>
      <c r="C12" s="184">
        <v>132000</v>
      </c>
      <c r="D12" s="1806">
        <v>42000</v>
      </c>
      <c r="E12" s="1816">
        <f t="shared" si="1"/>
        <v>90000</v>
      </c>
    </row>
    <row r="13" spans="1:5">
      <c r="A13" s="628">
        <f t="shared" si="0"/>
        <v>11</v>
      </c>
      <c r="B13" t="s">
        <v>1036</v>
      </c>
      <c r="C13" s="184">
        <v>1000</v>
      </c>
      <c r="D13" s="1806">
        <v>1000</v>
      </c>
      <c r="E13" s="1816">
        <f t="shared" si="1"/>
        <v>0</v>
      </c>
    </row>
    <row r="14" spans="1:5">
      <c r="A14" s="628">
        <f t="shared" si="0"/>
        <v>12</v>
      </c>
      <c r="B14" t="s">
        <v>1037</v>
      </c>
      <c r="C14" s="664">
        <v>7000</v>
      </c>
      <c r="D14" s="1806">
        <v>2000</v>
      </c>
      <c r="E14" s="1816">
        <f t="shared" si="1"/>
        <v>5000</v>
      </c>
    </row>
    <row r="15" spans="1:5">
      <c r="A15" s="628">
        <f t="shared" si="0"/>
        <v>13</v>
      </c>
      <c r="B15" t="s">
        <v>1122</v>
      </c>
      <c r="C15" s="664">
        <v>40000</v>
      </c>
      <c r="D15" s="1806">
        <v>31000</v>
      </c>
      <c r="E15" s="1816">
        <f t="shared" si="1"/>
        <v>9000</v>
      </c>
    </row>
    <row r="16" spans="1:5">
      <c r="A16" s="628">
        <f t="shared" si="0"/>
        <v>14</v>
      </c>
      <c r="B16" t="s">
        <v>1075</v>
      </c>
      <c r="C16" s="664">
        <v>1684000</v>
      </c>
      <c r="D16" s="1806">
        <v>445000</v>
      </c>
      <c r="E16" s="1816">
        <f t="shared" si="1"/>
        <v>1239000</v>
      </c>
    </row>
    <row r="17" spans="1:5">
      <c r="A17" s="628">
        <f t="shared" si="0"/>
        <v>15</v>
      </c>
      <c r="B17" t="s">
        <v>1038</v>
      </c>
      <c r="C17" s="664">
        <v>153000</v>
      </c>
      <c r="D17" s="1806">
        <v>50000</v>
      </c>
      <c r="E17" s="1816">
        <f t="shared" si="1"/>
        <v>103000</v>
      </c>
    </row>
    <row r="18" spans="1:5">
      <c r="A18" s="628">
        <f t="shared" si="0"/>
        <v>16</v>
      </c>
      <c r="B18" t="s">
        <v>1039</v>
      </c>
      <c r="C18" s="184">
        <v>79000</v>
      </c>
      <c r="D18" s="1806">
        <v>71000</v>
      </c>
      <c r="E18" s="1816">
        <f t="shared" si="1"/>
        <v>8000</v>
      </c>
    </row>
    <row r="19" spans="1:5">
      <c r="A19" s="628">
        <f t="shared" si="0"/>
        <v>17</v>
      </c>
      <c r="B19" t="s">
        <v>1040</v>
      </c>
      <c r="C19" s="184">
        <v>405000</v>
      </c>
      <c r="D19" s="1806">
        <v>273000</v>
      </c>
      <c r="E19" s="1816">
        <f t="shared" si="1"/>
        <v>132000</v>
      </c>
    </row>
    <row r="20" spans="1:5">
      <c r="A20" s="628">
        <f t="shared" si="0"/>
        <v>18</v>
      </c>
      <c r="B20" t="s">
        <v>1041</v>
      </c>
      <c r="C20" s="184">
        <v>144000</v>
      </c>
      <c r="D20" s="1806">
        <v>103000</v>
      </c>
      <c r="E20" s="1816">
        <f t="shared" si="1"/>
        <v>41000</v>
      </c>
    </row>
    <row r="21" spans="1:5">
      <c r="A21" s="628">
        <f t="shared" si="0"/>
        <v>19</v>
      </c>
      <c r="B21" t="s">
        <v>1042</v>
      </c>
      <c r="C21" s="184">
        <v>377000</v>
      </c>
      <c r="D21" s="1806">
        <v>-15000</v>
      </c>
      <c r="E21" s="1816">
        <f t="shared" si="1"/>
        <v>392000</v>
      </c>
    </row>
    <row r="22" spans="1:5">
      <c r="A22" s="628">
        <f t="shared" si="0"/>
        <v>20</v>
      </c>
      <c r="B22" t="s">
        <v>1043</v>
      </c>
      <c r="C22" s="184">
        <v>112000</v>
      </c>
      <c r="D22" s="1806">
        <v>91000</v>
      </c>
      <c r="E22" s="1816">
        <f t="shared" si="1"/>
        <v>21000</v>
      </c>
    </row>
    <row r="23" spans="1:5">
      <c r="A23" s="628">
        <f t="shared" si="0"/>
        <v>21</v>
      </c>
      <c r="B23" t="s">
        <v>1044</v>
      </c>
      <c r="C23" s="184">
        <v>5413000</v>
      </c>
      <c r="D23" s="1806">
        <v>5440000</v>
      </c>
      <c r="E23" s="1816">
        <f t="shared" si="1"/>
        <v>-27000</v>
      </c>
    </row>
    <row r="24" spans="1:5">
      <c r="A24" s="628">
        <f t="shared" si="0"/>
        <v>22</v>
      </c>
      <c r="B24" t="s">
        <v>1062</v>
      </c>
      <c r="C24" s="184">
        <v>5619000</v>
      </c>
      <c r="D24" s="1806">
        <v>4506000</v>
      </c>
      <c r="E24" s="1816">
        <f t="shared" si="1"/>
        <v>1113000</v>
      </c>
    </row>
    <row r="25" spans="1:5">
      <c r="A25" s="628">
        <f t="shared" si="0"/>
        <v>23</v>
      </c>
      <c r="B25" t="s">
        <v>1163</v>
      </c>
      <c r="C25" s="184">
        <v>5035000</v>
      </c>
      <c r="D25" s="1806">
        <v>2151000</v>
      </c>
      <c r="E25" s="1816">
        <f t="shared" si="1"/>
        <v>2884000</v>
      </c>
    </row>
    <row r="26" spans="1:5">
      <c r="A26" s="628">
        <f t="shared" si="0"/>
        <v>24</v>
      </c>
      <c r="B26" t="s">
        <v>1045</v>
      </c>
      <c r="C26" s="184">
        <v>3189000</v>
      </c>
      <c r="D26" s="1806">
        <v>911000</v>
      </c>
      <c r="E26" s="1816">
        <f t="shared" si="1"/>
        <v>2278000</v>
      </c>
    </row>
    <row r="27" spans="1:5">
      <c r="A27" s="628">
        <f t="shared" si="0"/>
        <v>25</v>
      </c>
      <c r="B27" t="s">
        <v>1046</v>
      </c>
      <c r="C27" s="184">
        <v>3815000</v>
      </c>
      <c r="D27" s="1806">
        <v>1889000</v>
      </c>
      <c r="E27" s="1816">
        <f t="shared" si="1"/>
        <v>1926000</v>
      </c>
    </row>
    <row r="28" spans="1:5">
      <c r="A28" s="628">
        <f t="shared" si="0"/>
        <v>26</v>
      </c>
      <c r="B28" t="s">
        <v>1047</v>
      </c>
      <c r="C28" s="184">
        <v>1732000</v>
      </c>
      <c r="D28" s="1806">
        <v>816000</v>
      </c>
      <c r="E28" s="1816">
        <f t="shared" si="1"/>
        <v>916000</v>
      </c>
    </row>
    <row r="29" spans="1:5">
      <c r="A29" s="628">
        <f t="shared" si="0"/>
        <v>27</v>
      </c>
      <c r="B29" t="s">
        <v>1048</v>
      </c>
      <c r="C29" s="184">
        <v>411000</v>
      </c>
      <c r="D29" s="1806">
        <v>140000</v>
      </c>
      <c r="E29" s="1816">
        <f t="shared" si="1"/>
        <v>271000</v>
      </c>
    </row>
    <row r="30" spans="1:5">
      <c r="A30" s="628">
        <f t="shared" si="0"/>
        <v>28</v>
      </c>
      <c r="B30" t="s">
        <v>1049</v>
      </c>
      <c r="C30" s="184">
        <v>8919000</v>
      </c>
      <c r="D30" s="1806">
        <v>3049000</v>
      </c>
      <c r="E30" s="1816">
        <f t="shared" si="1"/>
        <v>5870000</v>
      </c>
    </row>
    <row r="31" spans="1:5">
      <c r="A31" s="628">
        <f t="shared" si="0"/>
        <v>29</v>
      </c>
      <c r="B31" t="s">
        <v>1050</v>
      </c>
      <c r="C31" s="184">
        <v>9381000</v>
      </c>
      <c r="D31" s="1806">
        <v>3733000</v>
      </c>
      <c r="E31" s="1816">
        <f t="shared" si="1"/>
        <v>5648000</v>
      </c>
    </row>
    <row r="32" spans="1:5">
      <c r="A32" s="628">
        <f t="shared" si="0"/>
        <v>30</v>
      </c>
      <c r="B32" t="s">
        <v>1051</v>
      </c>
      <c r="C32" s="184">
        <v>2700000</v>
      </c>
      <c r="D32" s="1806">
        <v>929000</v>
      </c>
      <c r="E32" s="1816">
        <f t="shared" ref="E32:E72" si="2">C32-D32</f>
        <v>1771000</v>
      </c>
    </row>
    <row r="33" spans="1:5">
      <c r="A33" s="628">
        <f t="shared" si="0"/>
        <v>31</v>
      </c>
      <c r="B33" t="s">
        <v>1076</v>
      </c>
      <c r="C33" s="184">
        <v>24186000</v>
      </c>
      <c r="D33" s="1806">
        <v>10662000</v>
      </c>
      <c r="E33" s="1816">
        <f t="shared" si="2"/>
        <v>13524000</v>
      </c>
    </row>
    <row r="34" spans="1:5">
      <c r="A34" s="628">
        <f t="shared" si="0"/>
        <v>32</v>
      </c>
      <c r="B34" t="s">
        <v>1052</v>
      </c>
      <c r="C34" s="184">
        <v>1780000</v>
      </c>
      <c r="D34" s="1806">
        <v>645000</v>
      </c>
      <c r="E34" s="1816">
        <f t="shared" si="2"/>
        <v>1135000</v>
      </c>
    </row>
    <row r="35" spans="1:5">
      <c r="A35" s="628">
        <f t="shared" si="0"/>
        <v>33</v>
      </c>
      <c r="B35" t="s">
        <v>1053</v>
      </c>
      <c r="C35" s="184">
        <v>31000</v>
      </c>
      <c r="D35" s="1806">
        <v>12000</v>
      </c>
      <c r="E35" s="1816">
        <f t="shared" si="2"/>
        <v>19000</v>
      </c>
    </row>
    <row r="36" spans="1:5">
      <c r="A36" s="628">
        <f t="shared" si="0"/>
        <v>34</v>
      </c>
      <c r="B36" t="s">
        <v>1054</v>
      </c>
      <c r="C36" s="184">
        <v>206000</v>
      </c>
      <c r="D36" s="1806">
        <v>53000</v>
      </c>
      <c r="E36" s="1816">
        <f t="shared" si="2"/>
        <v>153000</v>
      </c>
    </row>
    <row r="37" spans="1:5">
      <c r="A37" s="628">
        <f t="shared" si="0"/>
        <v>35</v>
      </c>
      <c r="B37" t="s">
        <v>1055</v>
      </c>
      <c r="C37" s="184">
        <v>127000</v>
      </c>
      <c r="D37" s="1806">
        <v>48000</v>
      </c>
      <c r="E37" s="1816">
        <f t="shared" si="2"/>
        <v>79000</v>
      </c>
    </row>
    <row r="38" spans="1:5">
      <c r="A38" s="628">
        <f t="shared" si="0"/>
        <v>36</v>
      </c>
      <c r="B38" t="s">
        <v>1063</v>
      </c>
      <c r="C38" s="184">
        <v>4059000</v>
      </c>
      <c r="D38" s="1806">
        <v>1149000</v>
      </c>
      <c r="E38" s="1816">
        <f t="shared" si="2"/>
        <v>2910000</v>
      </c>
    </row>
    <row r="39" spans="1:5">
      <c r="A39" s="628">
        <f t="shared" si="0"/>
        <v>37</v>
      </c>
      <c r="B39" t="s">
        <v>1064</v>
      </c>
      <c r="C39" s="184">
        <v>4730000</v>
      </c>
      <c r="D39" s="1806">
        <v>1203000</v>
      </c>
      <c r="E39" s="1816">
        <f t="shared" si="2"/>
        <v>3527000</v>
      </c>
    </row>
    <row r="40" spans="1:5">
      <c r="A40" s="628">
        <f t="shared" si="0"/>
        <v>38</v>
      </c>
      <c r="B40" t="s">
        <v>1056</v>
      </c>
      <c r="C40" s="184">
        <v>209000</v>
      </c>
      <c r="D40" s="1806">
        <v>165000</v>
      </c>
      <c r="E40" s="1816">
        <f t="shared" si="2"/>
        <v>44000</v>
      </c>
    </row>
    <row r="41" spans="1:5">
      <c r="A41" s="628">
        <f t="shared" si="0"/>
        <v>39</v>
      </c>
      <c r="B41" t="s">
        <v>1057</v>
      </c>
      <c r="C41" s="184">
        <v>92000</v>
      </c>
      <c r="D41" s="1806">
        <v>-32000</v>
      </c>
      <c r="E41" s="1816">
        <f t="shared" si="2"/>
        <v>124000</v>
      </c>
    </row>
    <row r="42" spans="1:5">
      <c r="A42" s="628">
        <f t="shared" si="0"/>
        <v>40</v>
      </c>
      <c r="B42" t="s">
        <v>1058</v>
      </c>
      <c r="C42" s="184">
        <v>26000</v>
      </c>
      <c r="D42" s="1806">
        <v>15000</v>
      </c>
      <c r="E42" s="1816">
        <f t="shared" si="2"/>
        <v>11000</v>
      </c>
    </row>
    <row r="43" spans="1:5">
      <c r="A43" s="628">
        <f t="shared" si="0"/>
        <v>41</v>
      </c>
      <c r="B43" t="s">
        <v>1077</v>
      </c>
      <c r="C43" s="184">
        <v>2835000</v>
      </c>
      <c r="D43" s="1806">
        <v>689000</v>
      </c>
      <c r="E43" s="1816">
        <f t="shared" si="2"/>
        <v>2146000</v>
      </c>
    </row>
    <row r="44" spans="1:5">
      <c r="A44" s="628">
        <f t="shared" si="0"/>
        <v>42</v>
      </c>
      <c r="B44" t="s">
        <v>1059</v>
      </c>
      <c r="C44" s="184">
        <v>3525000</v>
      </c>
      <c r="D44" s="1806">
        <v>3739000</v>
      </c>
      <c r="E44" s="1816">
        <f t="shared" si="2"/>
        <v>-214000</v>
      </c>
    </row>
    <row r="45" spans="1:5">
      <c r="A45" s="628">
        <f t="shared" si="0"/>
        <v>43</v>
      </c>
      <c r="B45" t="s">
        <v>1060</v>
      </c>
      <c r="C45" s="184">
        <v>137000</v>
      </c>
      <c r="D45" s="1806">
        <v>87000</v>
      </c>
      <c r="E45" s="1816">
        <f t="shared" si="2"/>
        <v>50000</v>
      </c>
    </row>
    <row r="46" spans="1:5">
      <c r="A46" s="628">
        <f t="shared" si="0"/>
        <v>44</v>
      </c>
      <c r="B46" t="s">
        <v>1061</v>
      </c>
      <c r="C46" s="184">
        <v>13000</v>
      </c>
      <c r="D46" s="1806">
        <v>9000</v>
      </c>
      <c r="E46" s="1816">
        <f t="shared" si="2"/>
        <v>4000</v>
      </c>
    </row>
    <row r="47" spans="1:5">
      <c r="A47" s="628">
        <f t="shared" si="0"/>
        <v>45</v>
      </c>
      <c r="B47" t="s">
        <v>0</v>
      </c>
      <c r="C47" s="184">
        <v>2706000</v>
      </c>
      <c r="D47" s="1806">
        <v>943000</v>
      </c>
      <c r="E47" s="1816">
        <f t="shared" si="2"/>
        <v>1763000</v>
      </c>
    </row>
    <row r="48" spans="1:5">
      <c r="A48" s="628">
        <f t="shared" si="0"/>
        <v>46</v>
      </c>
      <c r="B48" t="s">
        <v>1</v>
      </c>
      <c r="C48" s="184">
        <v>2885000</v>
      </c>
      <c r="D48" s="1806">
        <v>862000</v>
      </c>
      <c r="E48" s="1816">
        <f t="shared" si="2"/>
        <v>2023000</v>
      </c>
    </row>
    <row r="49" spans="1:5">
      <c r="A49" s="628">
        <f t="shared" si="0"/>
        <v>47</v>
      </c>
      <c r="B49" t="s">
        <v>2</v>
      </c>
      <c r="C49" s="184">
        <v>2566000</v>
      </c>
      <c r="D49" s="1806">
        <v>1418000</v>
      </c>
      <c r="E49" s="1816">
        <f t="shared" si="2"/>
        <v>1148000</v>
      </c>
    </row>
    <row r="50" spans="1:5">
      <c r="A50" s="628">
        <f t="shared" si="0"/>
        <v>48</v>
      </c>
      <c r="B50" t="s">
        <v>3</v>
      </c>
      <c r="C50" s="184">
        <v>10815000</v>
      </c>
      <c r="D50" s="1806">
        <v>4205000</v>
      </c>
      <c r="E50" s="1816">
        <f t="shared" si="2"/>
        <v>6610000</v>
      </c>
    </row>
    <row r="51" spans="1:5">
      <c r="A51" s="628">
        <f t="shared" si="0"/>
        <v>49</v>
      </c>
      <c r="B51" t="s">
        <v>1157</v>
      </c>
      <c r="C51" s="184">
        <v>9688000</v>
      </c>
      <c r="D51" s="1806">
        <v>3641000</v>
      </c>
      <c r="E51" s="1816">
        <f t="shared" si="2"/>
        <v>6047000</v>
      </c>
    </row>
    <row r="52" spans="1:5">
      <c r="A52" s="628">
        <f t="shared" si="0"/>
        <v>50</v>
      </c>
      <c r="B52" t="s">
        <v>4</v>
      </c>
      <c r="C52" s="184">
        <v>8292000</v>
      </c>
      <c r="D52" s="1806">
        <v>2461000</v>
      </c>
      <c r="E52" s="1816">
        <f t="shared" si="2"/>
        <v>5831000</v>
      </c>
    </row>
    <row r="53" spans="1:5">
      <c r="A53" s="628">
        <f t="shared" si="0"/>
        <v>51</v>
      </c>
      <c r="B53" t="s">
        <v>5</v>
      </c>
      <c r="C53" s="184">
        <v>152000</v>
      </c>
      <c r="D53" s="1806">
        <v>58000</v>
      </c>
      <c r="E53" s="1816">
        <f t="shared" si="2"/>
        <v>94000</v>
      </c>
    </row>
    <row r="54" spans="1:5">
      <c r="A54" s="628">
        <f t="shared" si="0"/>
        <v>52</v>
      </c>
      <c r="B54" t="s">
        <v>6</v>
      </c>
      <c r="C54" s="184">
        <v>159000</v>
      </c>
      <c r="D54" s="1806">
        <v>59000</v>
      </c>
      <c r="E54" s="1816">
        <f t="shared" si="2"/>
        <v>100000</v>
      </c>
    </row>
    <row r="55" spans="1:5">
      <c r="A55" s="628">
        <f t="shared" si="0"/>
        <v>53</v>
      </c>
      <c r="B55" t="s">
        <v>1065</v>
      </c>
      <c r="C55" s="184">
        <v>45000</v>
      </c>
      <c r="D55" s="1806">
        <v>33000</v>
      </c>
      <c r="E55" s="1816">
        <f t="shared" si="2"/>
        <v>12000</v>
      </c>
    </row>
    <row r="56" spans="1:5">
      <c r="A56" s="628">
        <f t="shared" si="0"/>
        <v>54</v>
      </c>
      <c r="B56" t="s">
        <v>7</v>
      </c>
      <c r="C56" s="184">
        <v>1545000</v>
      </c>
      <c r="D56" s="1806">
        <v>814000</v>
      </c>
      <c r="E56" s="1816">
        <f t="shared" si="2"/>
        <v>731000</v>
      </c>
    </row>
    <row r="57" spans="1:5">
      <c r="A57" s="628">
        <f t="shared" si="0"/>
        <v>55</v>
      </c>
      <c r="B57" t="s">
        <v>8</v>
      </c>
      <c r="C57" s="184">
        <v>11000</v>
      </c>
      <c r="D57" s="1806">
        <v>14000</v>
      </c>
      <c r="E57" s="1816">
        <f t="shared" si="2"/>
        <v>-3000</v>
      </c>
    </row>
    <row r="58" spans="1:5">
      <c r="A58" s="628">
        <f t="shared" si="0"/>
        <v>56</v>
      </c>
      <c r="B58" t="s">
        <v>9</v>
      </c>
      <c r="C58" s="184">
        <v>935000</v>
      </c>
      <c r="D58" s="1806">
        <v>403000</v>
      </c>
      <c r="E58" s="1816">
        <f t="shared" si="2"/>
        <v>532000</v>
      </c>
    </row>
    <row r="59" spans="1:5">
      <c r="A59" s="628">
        <f t="shared" si="0"/>
        <v>57</v>
      </c>
      <c r="B59" t="s">
        <v>10</v>
      </c>
      <c r="C59" s="184">
        <v>19000</v>
      </c>
      <c r="D59" s="1806">
        <v>13000</v>
      </c>
      <c r="E59" s="1816">
        <f t="shared" si="2"/>
        <v>6000</v>
      </c>
    </row>
    <row r="60" spans="1:5">
      <c r="A60" s="628">
        <f t="shared" si="0"/>
        <v>58</v>
      </c>
      <c r="B60" t="s">
        <v>11</v>
      </c>
      <c r="C60" s="184">
        <v>194000</v>
      </c>
      <c r="D60" s="1806">
        <v>82000</v>
      </c>
      <c r="E60" s="1816">
        <f t="shared" si="2"/>
        <v>112000</v>
      </c>
    </row>
    <row r="61" spans="1:5">
      <c r="A61" s="628">
        <f t="shared" si="0"/>
        <v>59</v>
      </c>
      <c r="B61" t="s">
        <v>12</v>
      </c>
      <c r="C61" s="184">
        <v>85000</v>
      </c>
      <c r="D61" s="1806">
        <v>76000</v>
      </c>
      <c r="E61" s="1816">
        <f t="shared" si="2"/>
        <v>9000</v>
      </c>
    </row>
    <row r="62" spans="1:5">
      <c r="A62" s="628">
        <f t="shared" si="0"/>
        <v>60</v>
      </c>
      <c r="B62" t="s">
        <v>1123</v>
      </c>
      <c r="C62" s="184">
        <v>89000</v>
      </c>
      <c r="D62" s="1806">
        <v>49000</v>
      </c>
      <c r="E62" s="1816">
        <f t="shared" si="2"/>
        <v>40000</v>
      </c>
    </row>
    <row r="63" spans="1:5">
      <c r="A63" s="628">
        <f t="shared" si="0"/>
        <v>61</v>
      </c>
      <c r="B63" t="s">
        <v>13</v>
      </c>
      <c r="C63" s="184">
        <v>152000</v>
      </c>
      <c r="D63" s="1806">
        <v>159000</v>
      </c>
      <c r="E63" s="1816">
        <f t="shared" si="2"/>
        <v>-7000</v>
      </c>
    </row>
    <row r="64" spans="1:5">
      <c r="A64" s="628">
        <f t="shared" si="0"/>
        <v>62</v>
      </c>
      <c r="B64" t="s">
        <v>14</v>
      </c>
      <c r="C64" s="184">
        <v>1175000</v>
      </c>
      <c r="D64" s="1806">
        <v>580000</v>
      </c>
      <c r="E64" s="1816">
        <f t="shared" si="2"/>
        <v>595000</v>
      </c>
    </row>
    <row r="65" spans="1:5">
      <c r="A65" s="628">
        <f t="shared" si="0"/>
        <v>63</v>
      </c>
      <c r="B65" t="s">
        <v>1078</v>
      </c>
      <c r="C65" s="184">
        <v>4534000</v>
      </c>
      <c r="D65" s="1806">
        <v>1942000</v>
      </c>
      <c r="E65" s="1816">
        <f t="shared" si="2"/>
        <v>2592000</v>
      </c>
    </row>
    <row r="66" spans="1:5">
      <c r="A66" s="628">
        <f t="shared" si="0"/>
        <v>64</v>
      </c>
      <c r="B66" t="s">
        <v>15</v>
      </c>
      <c r="C66" s="184">
        <v>1665000</v>
      </c>
      <c r="D66" s="1806">
        <v>776000</v>
      </c>
      <c r="E66" s="1816">
        <f t="shared" si="2"/>
        <v>889000</v>
      </c>
    </row>
    <row r="67" spans="1:5">
      <c r="A67" s="628">
        <f t="shared" si="0"/>
        <v>65</v>
      </c>
      <c r="B67" t="s">
        <v>1164</v>
      </c>
      <c r="C67" s="184">
        <v>3000</v>
      </c>
      <c r="D67" s="1806">
        <v>5000</v>
      </c>
      <c r="E67" s="1816">
        <f t="shared" si="2"/>
        <v>-2000</v>
      </c>
    </row>
    <row r="68" spans="1:5">
      <c r="A68" s="628">
        <f t="shared" si="0"/>
        <v>66</v>
      </c>
      <c r="B68" t="s">
        <v>16</v>
      </c>
      <c r="C68" s="184">
        <v>252000</v>
      </c>
      <c r="D68" s="1806">
        <v>89000</v>
      </c>
      <c r="E68" s="1816">
        <f t="shared" si="2"/>
        <v>163000</v>
      </c>
    </row>
    <row r="69" spans="1:5">
      <c r="A69" s="628">
        <f t="shared" si="0"/>
        <v>67</v>
      </c>
      <c r="B69" t="s">
        <v>17</v>
      </c>
      <c r="C69" s="184">
        <v>9000</v>
      </c>
      <c r="D69" s="1806">
        <v>6000</v>
      </c>
      <c r="E69" s="1816">
        <f t="shared" si="2"/>
        <v>3000</v>
      </c>
    </row>
    <row r="70" spans="1:5">
      <c r="A70" s="628">
        <f t="shared" si="0"/>
        <v>68</v>
      </c>
      <c r="B70" t="s">
        <v>18</v>
      </c>
      <c r="C70" s="184">
        <v>164000</v>
      </c>
      <c r="D70" s="1806">
        <v>33000</v>
      </c>
      <c r="E70" s="1816">
        <f t="shared" si="2"/>
        <v>131000</v>
      </c>
    </row>
    <row r="71" spans="1:5">
      <c r="A71" s="628">
        <f t="shared" si="0"/>
        <v>69</v>
      </c>
      <c r="B71" t="s">
        <v>19</v>
      </c>
      <c r="C71" s="184">
        <v>103000</v>
      </c>
      <c r="D71" s="1806">
        <v>74000</v>
      </c>
      <c r="E71" s="1816">
        <f t="shared" si="2"/>
        <v>29000</v>
      </c>
    </row>
    <row r="72" spans="1:5">
      <c r="A72" s="628">
        <f t="shared" si="0"/>
        <v>70</v>
      </c>
      <c r="B72" t="s">
        <v>20</v>
      </c>
      <c r="C72" s="184">
        <v>63000</v>
      </c>
      <c r="D72" s="1806">
        <v>66000</v>
      </c>
      <c r="E72" s="1816">
        <f t="shared" si="2"/>
        <v>-3000</v>
      </c>
    </row>
    <row r="73" spans="1:5">
      <c r="A73" s="628">
        <f t="shared" si="0"/>
        <v>71</v>
      </c>
      <c r="B73" t="s">
        <v>1124</v>
      </c>
      <c r="C73" s="184">
        <v>68000</v>
      </c>
      <c r="D73" s="1806">
        <v>17000</v>
      </c>
      <c r="E73" s="1816">
        <f t="shared" ref="E73:E81" si="3">C73-D73</f>
        <v>51000</v>
      </c>
    </row>
    <row r="74" spans="1:5">
      <c r="A74" s="628">
        <f t="shared" si="0"/>
        <v>72</v>
      </c>
      <c r="B74" t="s">
        <v>21</v>
      </c>
      <c r="C74" s="184">
        <v>59000</v>
      </c>
      <c r="D74" s="1806">
        <v>55000</v>
      </c>
      <c r="E74" s="1816">
        <f t="shared" si="3"/>
        <v>4000</v>
      </c>
    </row>
    <row r="75" spans="1:5">
      <c r="A75" s="628">
        <f t="shared" si="0"/>
        <v>73</v>
      </c>
      <c r="B75" t="s">
        <v>22</v>
      </c>
      <c r="C75" s="184">
        <v>378000</v>
      </c>
      <c r="D75" s="1806">
        <v>132000</v>
      </c>
      <c r="E75" s="1816">
        <f t="shared" si="3"/>
        <v>246000</v>
      </c>
    </row>
    <row r="76" spans="1:5">
      <c r="A76" s="628">
        <f t="shared" si="0"/>
        <v>74</v>
      </c>
      <c r="B76" t="s">
        <v>1079</v>
      </c>
      <c r="C76" s="184">
        <v>3023000</v>
      </c>
      <c r="D76" s="1806">
        <v>877000</v>
      </c>
      <c r="E76" s="1816">
        <f t="shared" si="3"/>
        <v>2146000</v>
      </c>
    </row>
    <row r="77" spans="1:5">
      <c r="A77" s="628">
        <f t="shared" si="0"/>
        <v>75</v>
      </c>
      <c r="B77" t="s">
        <v>1125</v>
      </c>
      <c r="C77" s="184">
        <v>510000</v>
      </c>
      <c r="D77" s="1806">
        <v>190000</v>
      </c>
      <c r="E77" s="1816">
        <f t="shared" si="3"/>
        <v>320000</v>
      </c>
    </row>
    <row r="78" spans="1:5">
      <c r="A78" s="628">
        <f t="shared" si="0"/>
        <v>76</v>
      </c>
      <c r="B78" t="s">
        <v>1165</v>
      </c>
      <c r="C78" s="184">
        <v>3475000</v>
      </c>
      <c r="D78" s="1806">
        <v>1491000</v>
      </c>
      <c r="E78" s="1816">
        <f t="shared" si="3"/>
        <v>1984000</v>
      </c>
    </row>
    <row r="79" spans="1:5">
      <c r="A79" s="628">
        <f t="shared" si="0"/>
        <v>77</v>
      </c>
      <c r="B79" t="s">
        <v>1080</v>
      </c>
      <c r="C79" s="184">
        <v>22546000</v>
      </c>
      <c r="D79" s="1806">
        <v>8346000</v>
      </c>
      <c r="E79" s="1816">
        <f t="shared" si="3"/>
        <v>14200000</v>
      </c>
    </row>
    <row r="80" spans="1:5">
      <c r="A80" s="628">
        <f t="shared" ref="A80:A88" si="4">+A79+1</f>
        <v>78</v>
      </c>
      <c r="B80" s="97" t="s">
        <v>1126</v>
      </c>
      <c r="C80" s="184">
        <v>3837000</v>
      </c>
      <c r="D80" s="1806">
        <v>1994000</v>
      </c>
      <c r="E80" s="1816">
        <f t="shared" si="3"/>
        <v>1843000</v>
      </c>
    </row>
    <row r="81" spans="1:5">
      <c r="A81" s="628">
        <f t="shared" si="4"/>
        <v>79</v>
      </c>
      <c r="B81" s="97" t="s">
        <v>1127</v>
      </c>
      <c r="C81" s="184">
        <v>1080000</v>
      </c>
      <c r="D81" s="1806">
        <v>491000</v>
      </c>
      <c r="E81" s="1816">
        <f t="shared" si="3"/>
        <v>589000</v>
      </c>
    </row>
    <row r="82" spans="1:5">
      <c r="A82" s="628">
        <f t="shared" si="4"/>
        <v>80</v>
      </c>
      <c r="B82" s="97" t="s">
        <v>1128</v>
      </c>
      <c r="C82" s="184">
        <v>3086000</v>
      </c>
      <c r="D82" s="1806">
        <v>1111000</v>
      </c>
      <c r="E82" s="1816">
        <f>C80-D80</f>
        <v>1843000</v>
      </c>
    </row>
    <row r="83" spans="1:5">
      <c r="A83" s="628">
        <f t="shared" si="4"/>
        <v>81</v>
      </c>
      <c r="B83" s="97" t="s">
        <v>23</v>
      </c>
      <c r="C83" s="184">
        <v>8000</v>
      </c>
      <c r="D83" s="1806">
        <v>4000</v>
      </c>
      <c r="E83" s="1816">
        <f>C81-D81</f>
        <v>589000</v>
      </c>
    </row>
    <row r="84" spans="1:5">
      <c r="A84" s="628">
        <f t="shared" si="4"/>
        <v>82</v>
      </c>
      <c r="B84" s="184"/>
      <c r="E84" s="1816"/>
    </row>
    <row r="85" spans="1:5">
      <c r="A85" s="628">
        <f t="shared" si="4"/>
        <v>83</v>
      </c>
      <c r="B85" s="184"/>
      <c r="E85" s="1816"/>
    </row>
    <row r="86" spans="1:5">
      <c r="A86" s="628">
        <f t="shared" si="4"/>
        <v>84</v>
      </c>
      <c r="B86" s="184"/>
      <c r="C86" s="1812">
        <f>SUM(C10:C83)</f>
        <v>177711000</v>
      </c>
      <c r="D86" s="1812">
        <f>SUM(D10:D83)</f>
        <v>76682000</v>
      </c>
      <c r="E86" s="1812">
        <f>SUM(E10:E83)</f>
        <v>101482000</v>
      </c>
    </row>
    <row r="87" spans="1:5">
      <c r="A87" s="628">
        <f t="shared" si="4"/>
        <v>85</v>
      </c>
      <c r="B87" s="184"/>
      <c r="C87" s="1813"/>
      <c r="D87" s="1814"/>
      <c r="E87" s="1814"/>
    </row>
    <row r="88" spans="1:5">
      <c r="A88" s="628">
        <f t="shared" si="4"/>
        <v>86</v>
      </c>
      <c r="B88" s="184"/>
      <c r="C88" s="1812">
        <f>+C86+C8</f>
        <v>181584000</v>
      </c>
      <c r="D88" s="1815">
        <f>+D86+D8</f>
        <v>80262000</v>
      </c>
      <c r="E88" s="1815">
        <f>+E86+E8</f>
        <v>101775000</v>
      </c>
    </row>
    <row r="89" spans="1:5">
      <c r="B89" s="184"/>
    </row>
    <row r="90" spans="1:5">
      <c r="B90" s="184"/>
    </row>
    <row r="91" spans="1:5">
      <c r="B91" s="184"/>
    </row>
    <row r="92" spans="1:5">
      <c r="B92" s="184"/>
    </row>
    <row r="93" spans="1:5">
      <c r="B93" s="184"/>
    </row>
    <row r="94" spans="1:5">
      <c r="B94" s="184"/>
    </row>
    <row r="95" spans="1:5">
      <c r="B95" s="184"/>
    </row>
    <row r="96" spans="1:5">
      <c r="B96" s="184"/>
    </row>
    <row r="97" spans="2:2">
      <c r="B97" s="184"/>
    </row>
    <row r="98" spans="2:2">
      <c r="B98" s="184"/>
    </row>
    <row r="99" spans="2:2">
      <c r="B99" s="184"/>
    </row>
    <row r="100" spans="2:2">
      <c r="B100" s="184"/>
    </row>
    <row r="101" spans="2:2">
      <c r="B101" s="184"/>
    </row>
    <row r="102" spans="2:2">
      <c r="B102" s="184"/>
    </row>
    <row r="103" spans="2:2">
      <c r="B103" s="184"/>
    </row>
    <row r="104" spans="2:2">
      <c r="B104" s="184"/>
    </row>
    <row r="105" spans="2:2">
      <c r="B105" s="184"/>
    </row>
    <row r="106" spans="2:2">
      <c r="B106" s="184"/>
    </row>
    <row r="107" spans="2:2">
      <c r="B107" s="184"/>
    </row>
    <row r="108" spans="2:2">
      <c r="B108" s="184"/>
    </row>
    <row r="109" spans="2:2">
      <c r="B109" s="184"/>
    </row>
    <row r="110" spans="2:2">
      <c r="B110" s="184"/>
    </row>
    <row r="111" spans="2:2">
      <c r="B111" s="184"/>
    </row>
    <row r="112" spans="2:2">
      <c r="B112" s="184"/>
    </row>
    <row r="113" spans="2:2">
      <c r="B113" s="184"/>
    </row>
    <row r="114" spans="2:2">
      <c r="B114" s="184"/>
    </row>
    <row r="115" spans="2:2">
      <c r="B115" s="184"/>
    </row>
    <row r="116" spans="2:2">
      <c r="B116" s="184"/>
    </row>
    <row r="117" spans="2:2">
      <c r="B117" s="184"/>
    </row>
    <row r="118" spans="2:2">
      <c r="B118" s="184"/>
    </row>
    <row r="119" spans="2:2">
      <c r="B119" s="184"/>
    </row>
    <row r="120" spans="2:2">
      <c r="B120" s="184"/>
    </row>
    <row r="121" spans="2:2">
      <c r="B121" s="184"/>
    </row>
    <row r="122" spans="2:2">
      <c r="B122" s="184"/>
    </row>
    <row r="123" spans="2:2">
      <c r="B123" s="184"/>
    </row>
    <row r="124" spans="2:2">
      <c r="B124" s="184"/>
    </row>
    <row r="125" spans="2:2">
      <c r="B125" s="184"/>
    </row>
    <row r="126" spans="2:2">
      <c r="B126" s="184"/>
    </row>
    <row r="127" spans="2:2">
      <c r="B127" s="184"/>
    </row>
    <row r="128" spans="2:2">
      <c r="B128" s="184"/>
    </row>
    <row r="129" spans="2:2">
      <c r="B129" s="184"/>
    </row>
    <row r="130" spans="2:2">
      <c r="B130" s="184"/>
    </row>
    <row r="131" spans="2:2">
      <c r="B131" s="184"/>
    </row>
    <row r="132" spans="2:2">
      <c r="B132" s="184"/>
    </row>
    <row r="133" spans="2:2">
      <c r="B133" s="184"/>
    </row>
    <row r="134" spans="2:2">
      <c r="B134" s="184"/>
    </row>
    <row r="135" spans="2:2">
      <c r="B135" s="184"/>
    </row>
    <row r="136" spans="2:2">
      <c r="B136" s="184"/>
    </row>
    <row r="137" spans="2:2">
      <c r="B137" s="184"/>
    </row>
    <row r="138" spans="2:2">
      <c r="B138" s="184"/>
    </row>
    <row r="139" spans="2:2">
      <c r="B139" s="184"/>
    </row>
    <row r="140" spans="2:2">
      <c r="B140" s="184"/>
    </row>
    <row r="141" spans="2:2">
      <c r="B141" s="184"/>
    </row>
    <row r="142" spans="2:2">
      <c r="B142" s="184"/>
    </row>
    <row r="143" spans="2:2">
      <c r="B143" s="184"/>
    </row>
    <row r="144" spans="2:2">
      <c r="B144" s="184"/>
    </row>
    <row r="145" spans="2:2">
      <c r="B145" s="184"/>
    </row>
    <row r="146" spans="2:2">
      <c r="B146" s="184"/>
    </row>
    <row r="147" spans="2:2">
      <c r="B147" s="184"/>
    </row>
    <row r="148" spans="2:2">
      <c r="B148" s="184"/>
    </row>
    <row r="149" spans="2:2">
      <c r="B149" s="184"/>
    </row>
    <row r="150" spans="2:2">
      <c r="B150" s="184"/>
    </row>
    <row r="151" spans="2:2">
      <c r="B151" s="184"/>
    </row>
    <row r="152" spans="2:2">
      <c r="B152" s="184"/>
    </row>
    <row r="153" spans="2:2">
      <c r="B153" s="184"/>
    </row>
    <row r="154" spans="2:2">
      <c r="B154" s="184"/>
    </row>
    <row r="155" spans="2:2">
      <c r="B155" s="184"/>
    </row>
    <row r="156" spans="2:2">
      <c r="B156" s="184"/>
    </row>
    <row r="157" spans="2:2">
      <c r="B157" s="184"/>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zoomScaleNormal="100" workbookViewId="0">
      <selection activeCell="L16" sqref="L16"/>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6" ht="15.75">
      <c r="A1" s="1" t="s">
        <v>546</v>
      </c>
    </row>
    <row r="4" spans="1:26">
      <c r="A4" s="773" t="s">
        <v>99</v>
      </c>
      <c r="U4" s="796"/>
      <c r="V4" s="97"/>
      <c r="W4" s="97"/>
      <c r="X4" s="97"/>
      <c r="Y4" s="97"/>
      <c r="Z4" s="97"/>
    </row>
    <row r="5" spans="1:26">
      <c r="A5" s="773" t="s">
        <v>1020</v>
      </c>
      <c r="E5" s="2"/>
      <c r="F5" s="2"/>
      <c r="G5" s="2"/>
      <c r="H5" s="774"/>
      <c r="I5" s="2"/>
      <c r="N5" s="2"/>
      <c r="O5" s="2"/>
      <c r="P5" s="2"/>
      <c r="Q5" s="774"/>
      <c r="R5" s="2"/>
      <c r="U5" s="97"/>
      <c r="V5" s="97"/>
      <c r="W5" s="97"/>
      <c r="X5" s="97"/>
      <c r="Y5" s="97"/>
      <c r="Z5" s="97"/>
    </row>
    <row r="6" spans="1:26">
      <c r="A6" s="773" t="s">
        <v>65</v>
      </c>
      <c r="E6" s="2"/>
      <c r="F6" s="2"/>
      <c r="G6" s="2"/>
      <c r="H6" s="2"/>
      <c r="I6" s="2"/>
      <c r="N6" s="2"/>
      <c r="O6" s="2"/>
      <c r="P6" s="2"/>
      <c r="Q6" s="2"/>
      <c r="R6" s="2"/>
      <c r="U6" s="97"/>
      <c r="V6" s="97"/>
      <c r="W6" s="97"/>
      <c r="X6" s="97"/>
      <c r="Y6" s="97"/>
      <c r="Z6" s="97"/>
    </row>
    <row r="7" spans="1:26" ht="63.75">
      <c r="A7" s="775" t="s">
        <v>141</v>
      </c>
      <c r="B7" s="129" t="s">
        <v>1024</v>
      </c>
      <c r="C7" s="776" t="s">
        <v>1023</v>
      </c>
      <c r="D7" s="776" t="s">
        <v>1025</v>
      </c>
      <c r="E7" s="776" t="s">
        <v>1026</v>
      </c>
      <c r="F7" s="776" t="s">
        <v>1027</v>
      </c>
      <c r="G7" s="776" t="s">
        <v>1028</v>
      </c>
      <c r="H7" s="776" t="s">
        <v>1029</v>
      </c>
      <c r="I7" s="777" t="s">
        <v>1030</v>
      </c>
      <c r="J7" s="777" t="s">
        <v>1031</v>
      </c>
      <c r="K7" s="777" t="s">
        <v>55</v>
      </c>
      <c r="L7" s="793"/>
      <c r="M7" s="793"/>
      <c r="N7" s="793"/>
      <c r="O7" s="793"/>
    </row>
    <row r="8" spans="1:26">
      <c r="A8" s="129"/>
      <c r="B8" s="129"/>
      <c r="C8" s="129"/>
      <c r="D8" s="129"/>
      <c r="E8" s="129"/>
      <c r="F8" s="129"/>
      <c r="G8" s="129"/>
      <c r="H8" s="129"/>
      <c r="I8" s="778"/>
      <c r="J8" s="789"/>
      <c r="K8" s="789"/>
      <c r="L8" s="97"/>
      <c r="M8" s="97"/>
      <c r="N8" s="97"/>
      <c r="O8" s="97"/>
    </row>
    <row r="9" spans="1:26">
      <c r="A9" s="129">
        <v>1</v>
      </c>
      <c r="B9" s="129" t="s">
        <v>475</v>
      </c>
      <c r="C9" s="1704">
        <v>6342.0616037001</v>
      </c>
      <c r="D9" s="1704">
        <v>12</v>
      </c>
      <c r="E9" s="1781">
        <v>1800</v>
      </c>
      <c r="F9" s="1704">
        <v>5358.0616037001</v>
      </c>
      <c r="G9" s="1704">
        <v>384</v>
      </c>
      <c r="H9" s="1704">
        <v>581</v>
      </c>
      <c r="I9" s="1704">
        <v>19</v>
      </c>
      <c r="J9" s="1704">
        <v>3863</v>
      </c>
      <c r="K9" s="1702">
        <v>260</v>
      </c>
      <c r="L9" s="97"/>
      <c r="M9" s="97"/>
      <c r="N9" s="97"/>
      <c r="O9" s="97"/>
    </row>
    <row r="10" spans="1:26">
      <c r="A10" s="129">
        <v>2</v>
      </c>
      <c r="B10" s="129" t="s">
        <v>476</v>
      </c>
      <c r="C10" s="1704">
        <v>4613.6454868549199</v>
      </c>
      <c r="D10" s="1704">
        <v>27</v>
      </c>
      <c r="E10" s="1781">
        <v>800</v>
      </c>
      <c r="F10" s="1704">
        <v>3670.6454868549199</v>
      </c>
      <c r="G10" s="1704">
        <v>347</v>
      </c>
      <c r="H10" s="1704">
        <v>581</v>
      </c>
      <c r="I10" s="1704">
        <v>15</v>
      </c>
      <c r="J10" s="1704">
        <v>1870</v>
      </c>
      <c r="K10" s="1704">
        <v>468</v>
      </c>
      <c r="L10" s="97"/>
      <c r="M10" s="97"/>
      <c r="N10" s="97"/>
      <c r="O10" s="97"/>
    </row>
    <row r="11" spans="1:26">
      <c r="A11" s="129">
        <v>3</v>
      </c>
      <c r="B11" s="129" t="s">
        <v>477</v>
      </c>
      <c r="C11" s="1704">
        <v>4743.3481850048693</v>
      </c>
      <c r="D11" s="1704">
        <v>6</v>
      </c>
      <c r="E11" s="1781">
        <v>800</v>
      </c>
      <c r="F11" s="1704">
        <v>3808.811185004869</v>
      </c>
      <c r="G11" s="1704">
        <v>336.81299999999999</v>
      </c>
      <c r="H11" s="1704">
        <v>581</v>
      </c>
      <c r="I11" s="1704">
        <v>16.724</v>
      </c>
      <c r="J11" s="1704">
        <v>1835</v>
      </c>
      <c r="K11" s="1704">
        <v>163</v>
      </c>
      <c r="L11" s="97"/>
      <c r="M11" s="97"/>
      <c r="N11" s="97"/>
      <c r="O11" s="97"/>
    </row>
    <row r="12" spans="1:26">
      <c r="A12" s="780">
        <v>4</v>
      </c>
      <c r="B12" s="657" t="s">
        <v>62</v>
      </c>
      <c r="C12" s="787">
        <f>SUM(C9:C11)</f>
        <v>15699.055275559891</v>
      </c>
      <c r="D12" s="781"/>
      <c r="E12" s="781"/>
      <c r="F12" s="787">
        <f t="shared" ref="F12:K12" si="0">SUM(F9:F11)</f>
        <v>12837.518275559891</v>
      </c>
      <c r="G12" s="787">
        <f t="shared" si="0"/>
        <v>1067.8130000000001</v>
      </c>
      <c r="H12" s="787">
        <f t="shared" si="0"/>
        <v>1743</v>
      </c>
      <c r="I12" s="787">
        <f t="shared" si="0"/>
        <v>50.724000000000004</v>
      </c>
      <c r="J12" s="787">
        <f t="shared" si="0"/>
        <v>7568</v>
      </c>
      <c r="K12" s="787">
        <f t="shared" si="0"/>
        <v>891</v>
      </c>
      <c r="L12" s="1116"/>
      <c r="M12" s="1116"/>
      <c r="N12" s="1116"/>
      <c r="O12" s="1116"/>
    </row>
    <row r="13" spans="1:26">
      <c r="A13" s="129">
        <v>5</v>
      </c>
      <c r="B13" s="657" t="s">
        <v>625</v>
      </c>
      <c r="C13" s="779">
        <v>4054</v>
      </c>
      <c r="D13" s="1668">
        <v>17</v>
      </c>
      <c r="E13" s="1669">
        <v>800</v>
      </c>
      <c r="F13" s="1670">
        <v>3150</v>
      </c>
      <c r="G13" s="1670">
        <v>312</v>
      </c>
      <c r="H13" s="1668">
        <v>581</v>
      </c>
      <c r="I13" s="1668">
        <v>11</v>
      </c>
      <c r="J13" s="1670">
        <v>2291</v>
      </c>
      <c r="K13" s="1670">
        <v>133</v>
      </c>
      <c r="L13" s="97"/>
      <c r="M13" s="97"/>
      <c r="N13" s="97"/>
      <c r="O13" s="97"/>
    </row>
    <row r="14" spans="1:26">
      <c r="A14" s="129">
        <v>6</v>
      </c>
      <c r="B14" s="657" t="s">
        <v>626</v>
      </c>
      <c r="C14" s="779">
        <v>3825</v>
      </c>
      <c r="D14" s="1668">
        <v>1</v>
      </c>
      <c r="E14" s="1669">
        <v>800</v>
      </c>
      <c r="F14" s="1670">
        <v>2918</v>
      </c>
      <c r="G14" s="1670">
        <v>314</v>
      </c>
      <c r="H14" s="1668">
        <v>581</v>
      </c>
      <c r="I14" s="1668">
        <v>12</v>
      </c>
      <c r="J14" s="1670">
        <v>2146</v>
      </c>
      <c r="K14" s="1670">
        <v>587</v>
      </c>
      <c r="L14" s="97"/>
      <c r="M14" s="97"/>
      <c r="N14" s="97"/>
      <c r="O14" s="97"/>
    </row>
    <row r="15" spans="1:26">
      <c r="A15" s="129">
        <v>7</v>
      </c>
      <c r="B15" s="657" t="s">
        <v>627</v>
      </c>
      <c r="C15" s="779">
        <v>3777</v>
      </c>
      <c r="D15" s="1668">
        <v>21</v>
      </c>
      <c r="E15" s="1669">
        <v>1800</v>
      </c>
      <c r="F15" s="1670">
        <v>2871</v>
      </c>
      <c r="G15" s="1670">
        <v>314</v>
      </c>
      <c r="H15" s="1668">
        <v>581</v>
      </c>
      <c r="I15" s="1668">
        <v>11</v>
      </c>
      <c r="J15" s="1670">
        <v>3194</v>
      </c>
      <c r="K15" s="1670">
        <v>711</v>
      </c>
      <c r="L15" s="97"/>
      <c r="M15" s="97"/>
      <c r="N15" s="97"/>
      <c r="O15" s="97"/>
    </row>
    <row r="16" spans="1:26">
      <c r="A16" s="780">
        <v>8</v>
      </c>
      <c r="B16" s="657" t="s">
        <v>62</v>
      </c>
      <c r="C16" s="787">
        <f>SUM(C13:C15)</f>
        <v>11656</v>
      </c>
      <c r="D16" s="781"/>
      <c r="E16" s="781"/>
      <c r="F16" s="787">
        <f t="shared" ref="F16:K16" si="1">SUM(F13:F15)</f>
        <v>8939</v>
      </c>
      <c r="G16" s="787">
        <f t="shared" si="1"/>
        <v>940</v>
      </c>
      <c r="H16" s="787">
        <f t="shared" si="1"/>
        <v>1743</v>
      </c>
      <c r="I16" s="787">
        <f t="shared" si="1"/>
        <v>34</v>
      </c>
      <c r="J16" s="787">
        <f t="shared" si="1"/>
        <v>7631</v>
      </c>
      <c r="K16" s="787">
        <f t="shared" si="1"/>
        <v>1431</v>
      </c>
      <c r="L16" s="1116"/>
      <c r="M16" s="1116"/>
      <c r="N16" s="1116"/>
      <c r="O16" s="1116"/>
    </row>
    <row r="17" spans="1:15">
      <c r="A17" s="129">
        <v>9</v>
      </c>
      <c r="B17" s="657" t="s">
        <v>478</v>
      </c>
      <c r="C17" s="779">
        <v>4666</v>
      </c>
      <c r="D17" s="1671">
        <v>9</v>
      </c>
      <c r="E17" s="1672">
        <v>1800</v>
      </c>
      <c r="F17" s="1673">
        <v>3743</v>
      </c>
      <c r="G17" s="1673">
        <v>326</v>
      </c>
      <c r="H17" s="1671">
        <v>581</v>
      </c>
      <c r="I17" s="1671">
        <v>16</v>
      </c>
      <c r="J17" s="1673">
        <v>4433</v>
      </c>
      <c r="K17" s="1673">
        <v>232</v>
      </c>
      <c r="L17" s="97"/>
      <c r="M17" s="97"/>
      <c r="N17" s="97"/>
      <c r="O17" s="97"/>
    </row>
    <row r="18" spans="1:15">
      <c r="A18" s="129">
        <v>10</v>
      </c>
      <c r="B18" s="657" t="s">
        <v>479</v>
      </c>
      <c r="C18" s="779">
        <v>4248</v>
      </c>
      <c r="D18" s="1671">
        <v>2</v>
      </c>
      <c r="E18" s="1672">
        <v>1800</v>
      </c>
      <c r="F18" s="1673">
        <v>3332</v>
      </c>
      <c r="G18" s="1673">
        <v>321</v>
      </c>
      <c r="H18" s="1671">
        <v>581</v>
      </c>
      <c r="I18" s="1671">
        <v>14</v>
      </c>
      <c r="J18" s="1673">
        <v>3897</v>
      </c>
      <c r="K18" s="1673">
        <v>772</v>
      </c>
      <c r="L18" s="97"/>
      <c r="M18" s="97"/>
      <c r="N18" s="97"/>
      <c r="O18" s="97"/>
    </row>
    <row r="19" spans="1:15">
      <c r="A19" s="129">
        <v>11</v>
      </c>
      <c r="B19" s="657" t="s">
        <v>480</v>
      </c>
      <c r="C19" s="779">
        <v>4200</v>
      </c>
      <c r="D19" s="1671">
        <v>5</v>
      </c>
      <c r="E19" s="1672">
        <v>1800</v>
      </c>
      <c r="F19" s="1673">
        <v>3281</v>
      </c>
      <c r="G19" s="1673">
        <v>325</v>
      </c>
      <c r="H19" s="1671">
        <v>581</v>
      </c>
      <c r="I19" s="1671">
        <v>13</v>
      </c>
      <c r="J19" s="1673">
        <v>3727</v>
      </c>
      <c r="K19" s="1673">
        <v>585</v>
      </c>
      <c r="L19" s="97"/>
      <c r="M19" s="97"/>
      <c r="N19" s="97"/>
      <c r="O19" s="97"/>
    </row>
    <row r="20" spans="1:15">
      <c r="A20" s="780">
        <v>12</v>
      </c>
      <c r="B20" s="657" t="s">
        <v>62</v>
      </c>
      <c r="C20" s="787">
        <f>SUM(C17:C19)</f>
        <v>13114</v>
      </c>
      <c r="D20" s="781"/>
      <c r="E20" s="781"/>
      <c r="F20" s="787">
        <f t="shared" ref="F20:K20" si="2">SUM(F17:F19)</f>
        <v>10356</v>
      </c>
      <c r="G20" s="787">
        <f t="shared" si="2"/>
        <v>972</v>
      </c>
      <c r="H20" s="787">
        <f t="shared" si="2"/>
        <v>1743</v>
      </c>
      <c r="I20" s="787">
        <f t="shared" si="2"/>
        <v>43</v>
      </c>
      <c r="J20" s="787">
        <f t="shared" si="2"/>
        <v>12057</v>
      </c>
      <c r="K20" s="787">
        <f t="shared" si="2"/>
        <v>1589</v>
      </c>
      <c r="L20" s="1116"/>
      <c r="M20" s="1116"/>
      <c r="N20" s="1116"/>
      <c r="O20" s="1116"/>
    </row>
    <row r="21" spans="1:15">
      <c r="A21" s="129">
        <v>13</v>
      </c>
      <c r="B21" s="657" t="s">
        <v>481</v>
      </c>
      <c r="C21" s="779">
        <v>4009</v>
      </c>
      <c r="D21" s="1675">
        <v>30</v>
      </c>
      <c r="E21" s="1676">
        <v>1900</v>
      </c>
      <c r="F21" s="1677">
        <v>3099</v>
      </c>
      <c r="G21" s="1677">
        <v>315</v>
      </c>
      <c r="H21" s="1675">
        <v>581</v>
      </c>
      <c r="I21" s="1675">
        <v>14</v>
      </c>
      <c r="J21" s="1677">
        <v>1621</v>
      </c>
      <c r="K21" s="1677">
        <v>199</v>
      </c>
      <c r="L21" s="97"/>
      <c r="M21" s="97"/>
      <c r="N21" s="97"/>
      <c r="O21" s="97"/>
    </row>
    <row r="22" spans="1:15">
      <c r="A22" s="129">
        <v>14</v>
      </c>
      <c r="B22" s="657" t="s">
        <v>482</v>
      </c>
      <c r="C22" s="779">
        <v>4469</v>
      </c>
      <c r="D22" s="1674">
        <v>18</v>
      </c>
      <c r="E22" s="1678">
        <v>1800</v>
      </c>
      <c r="F22" s="1679">
        <v>3549</v>
      </c>
      <c r="G22" s="1679">
        <v>324</v>
      </c>
      <c r="H22" s="1674">
        <v>581</v>
      </c>
      <c r="I22" s="1674">
        <v>15</v>
      </c>
      <c r="J22" s="1677">
        <v>1536</v>
      </c>
      <c r="K22" s="1679">
        <v>369</v>
      </c>
      <c r="L22" s="97"/>
      <c r="M22" s="97"/>
      <c r="N22" s="97"/>
      <c r="O22" s="97"/>
    </row>
    <row r="23" spans="1:15">
      <c r="A23" s="129">
        <v>15</v>
      </c>
      <c r="B23" s="657" t="s">
        <v>184</v>
      </c>
      <c r="C23" s="779">
        <v>4782</v>
      </c>
      <c r="D23" s="1674">
        <v>4</v>
      </c>
      <c r="E23" s="1678">
        <v>1800</v>
      </c>
      <c r="F23" s="1679">
        <v>3845</v>
      </c>
      <c r="G23" s="1679">
        <v>340</v>
      </c>
      <c r="H23" s="1674">
        <v>581</v>
      </c>
      <c r="I23" s="1674">
        <v>16</v>
      </c>
      <c r="J23" s="1677">
        <v>1213</v>
      </c>
      <c r="K23" s="1679">
        <v>388</v>
      </c>
      <c r="L23" s="97"/>
      <c r="M23" s="97"/>
      <c r="N23" s="97"/>
      <c r="O23" s="97"/>
    </row>
    <row r="24" spans="1:15">
      <c r="A24" s="780">
        <v>16</v>
      </c>
      <c r="B24" s="657" t="s">
        <v>62</v>
      </c>
      <c r="C24" s="787">
        <f>SUM(C21:C23)</f>
        <v>13260</v>
      </c>
      <c r="D24" s="782"/>
      <c r="E24" s="781"/>
      <c r="F24" s="787">
        <f t="shared" ref="F24:K24" si="3">SUM(F21:F23)</f>
        <v>10493</v>
      </c>
      <c r="G24" s="787">
        <f t="shared" si="3"/>
        <v>979</v>
      </c>
      <c r="H24" s="787">
        <f t="shared" si="3"/>
        <v>1743</v>
      </c>
      <c r="I24" s="787">
        <f t="shared" si="3"/>
        <v>45</v>
      </c>
      <c r="J24" s="787">
        <f t="shared" si="3"/>
        <v>4370</v>
      </c>
      <c r="K24" s="787">
        <f t="shared" si="3"/>
        <v>956</v>
      </c>
      <c r="L24" s="1116"/>
      <c r="M24" s="1116"/>
      <c r="N24" s="1116"/>
      <c r="O24" s="1116"/>
    </row>
    <row r="25" spans="1:15" ht="15">
      <c r="A25" s="783">
        <v>17</v>
      </c>
      <c r="B25" s="783" t="s">
        <v>63</v>
      </c>
      <c r="C25" s="784">
        <f>C24+C20+C16+C12</f>
        <v>53729.055275559891</v>
      </c>
      <c r="D25" s="785"/>
      <c r="E25" s="786"/>
      <c r="F25" s="784">
        <f t="shared" ref="F25:K25" si="4">F24+F20+F16+F12</f>
        <v>42625.518275559894</v>
      </c>
      <c r="G25" s="784">
        <f t="shared" si="4"/>
        <v>3958.8130000000001</v>
      </c>
      <c r="H25" s="784">
        <f>H24+H20+H16+H12</f>
        <v>6972</v>
      </c>
      <c r="I25" s="784">
        <f t="shared" si="4"/>
        <v>172.72399999999999</v>
      </c>
      <c r="J25" s="784">
        <f t="shared" si="4"/>
        <v>31626</v>
      </c>
      <c r="K25" s="784">
        <f t="shared" si="4"/>
        <v>4867</v>
      </c>
      <c r="L25" s="1117"/>
      <c r="M25" s="1117"/>
      <c r="N25" s="1117"/>
      <c r="O25" s="1117"/>
    </row>
    <row r="26" spans="1:15">
      <c r="A26" s="129"/>
      <c r="B26" s="129" t="s">
        <v>433</v>
      </c>
      <c r="C26" s="787">
        <f>(C25*1000)/12</f>
        <v>4477421.2729633236</v>
      </c>
      <c r="D26" s="129"/>
      <c r="E26" s="129"/>
      <c r="F26" s="129"/>
      <c r="G26" s="129"/>
      <c r="H26" s="129"/>
      <c r="I26" s="788"/>
      <c r="J26" s="790"/>
      <c r="K26" s="790"/>
      <c r="L26" s="97"/>
      <c r="M26" s="97"/>
      <c r="N26" s="97"/>
      <c r="O26" s="97"/>
    </row>
    <row r="27" spans="1:15">
      <c r="J27" s="2"/>
      <c r="L27" s="97"/>
      <c r="M27" s="97"/>
      <c r="N27" s="97"/>
      <c r="O27" s="97"/>
    </row>
    <row r="28" spans="1:15">
      <c r="A28" s="851" t="s">
        <v>930</v>
      </c>
      <c r="C28" s="1118">
        <f>C25</f>
        <v>53729.055275559891</v>
      </c>
      <c r="J28" s="2"/>
      <c r="L28" s="97"/>
      <c r="M28" s="97"/>
      <c r="N28" s="97"/>
      <c r="O28" s="97"/>
    </row>
    <row r="29" spans="1:15" ht="24" customHeight="1">
      <c r="A29" s="851" t="s">
        <v>929</v>
      </c>
      <c r="C29" s="1118">
        <f>G25+H25+I25</f>
        <v>11103.537</v>
      </c>
      <c r="D29" s="2030" t="s">
        <v>101</v>
      </c>
      <c r="E29" s="2030"/>
      <c r="F29" s="2030"/>
      <c r="G29" s="2030"/>
      <c r="H29" s="2030"/>
      <c r="I29" s="2030"/>
      <c r="J29" s="2030"/>
      <c r="K29" s="2030"/>
      <c r="L29" s="97"/>
      <c r="M29" s="97"/>
      <c r="N29" s="97"/>
      <c r="O29" s="97"/>
    </row>
    <row r="30" spans="1:15">
      <c r="A30" s="773"/>
      <c r="J30" s="2"/>
      <c r="L30" s="97"/>
      <c r="M30" s="97"/>
      <c r="N30" s="97"/>
      <c r="O30" s="97"/>
    </row>
    <row r="31" spans="1:15">
      <c r="A31" s="773" t="s">
        <v>64</v>
      </c>
      <c r="F31" s="92"/>
      <c r="J31" s="2"/>
      <c r="L31" s="97"/>
      <c r="M31" s="97"/>
      <c r="N31" s="97"/>
      <c r="O31" s="97"/>
    </row>
    <row r="32" spans="1:15" ht="51">
      <c r="A32" s="775" t="s">
        <v>141</v>
      </c>
      <c r="B32" s="129" t="s">
        <v>621</v>
      </c>
      <c r="C32" s="776" t="s">
        <v>56</v>
      </c>
      <c r="D32" s="776" t="s">
        <v>57</v>
      </c>
      <c r="E32" s="776" t="s">
        <v>58</v>
      </c>
      <c r="F32" s="776" t="s">
        <v>261</v>
      </c>
      <c r="G32" s="776" t="s">
        <v>59</v>
      </c>
      <c r="H32" s="776" t="s">
        <v>60</v>
      </c>
      <c r="I32" s="777" t="s">
        <v>1021</v>
      </c>
      <c r="J32" s="777" t="s">
        <v>61</v>
      </c>
      <c r="K32" s="777" t="s">
        <v>1022</v>
      </c>
      <c r="L32" s="97"/>
      <c r="M32" s="97"/>
      <c r="N32" s="97"/>
      <c r="O32" s="97"/>
    </row>
    <row r="33" spans="1:15">
      <c r="A33" s="129"/>
      <c r="B33" s="129"/>
      <c r="C33" s="129"/>
      <c r="D33" s="129"/>
      <c r="E33" s="129"/>
      <c r="F33" s="129"/>
      <c r="G33" s="129"/>
      <c r="H33" s="129"/>
      <c r="I33" s="778"/>
      <c r="J33" s="789"/>
      <c r="K33" s="778"/>
      <c r="L33" s="97"/>
      <c r="M33" s="97"/>
      <c r="N33" s="97"/>
      <c r="O33" s="97"/>
    </row>
    <row r="34" spans="1:15">
      <c r="A34" s="129">
        <v>1</v>
      </c>
      <c r="B34" s="129" t="s">
        <v>475</v>
      </c>
      <c r="C34" s="779">
        <v>700</v>
      </c>
      <c r="D34" s="1682">
        <v>0</v>
      </c>
      <c r="E34" s="1683"/>
      <c r="F34" s="1680">
        <v>0</v>
      </c>
      <c r="G34" s="1680">
        <v>0</v>
      </c>
      <c r="H34" s="1682">
        <v>400</v>
      </c>
      <c r="I34" s="1682">
        <v>300</v>
      </c>
      <c r="J34" s="1681">
        <v>7</v>
      </c>
      <c r="K34" s="1682">
        <v>0</v>
      </c>
      <c r="L34" s="97"/>
      <c r="M34" s="97"/>
      <c r="N34" s="97"/>
      <c r="O34" s="97"/>
    </row>
    <row r="35" spans="1:15">
      <c r="A35" s="129">
        <v>2</v>
      </c>
      <c r="B35" s="129" t="s">
        <v>476</v>
      </c>
      <c r="C35" s="779">
        <v>700</v>
      </c>
      <c r="D35" s="1682">
        <v>0</v>
      </c>
      <c r="E35" s="1683"/>
      <c r="F35" s="1680">
        <v>0</v>
      </c>
      <c r="G35" s="1680">
        <v>0</v>
      </c>
      <c r="H35" s="1692">
        <v>400</v>
      </c>
      <c r="I35" s="1682">
        <v>300</v>
      </c>
      <c r="J35" s="1681">
        <v>6</v>
      </c>
      <c r="K35" s="1682">
        <v>0</v>
      </c>
      <c r="L35" s="97"/>
      <c r="M35" s="97"/>
      <c r="N35" s="97"/>
      <c r="O35" s="97"/>
    </row>
    <row r="36" spans="1:15">
      <c r="A36" s="129">
        <v>3</v>
      </c>
      <c r="B36" s="129" t="s">
        <v>477</v>
      </c>
      <c r="C36" s="779">
        <v>700</v>
      </c>
      <c r="D36" s="1682">
        <v>0</v>
      </c>
      <c r="E36" s="1683"/>
      <c r="F36" s="1680">
        <v>0</v>
      </c>
      <c r="G36" s="1680">
        <v>0</v>
      </c>
      <c r="H36" s="1692">
        <v>400</v>
      </c>
      <c r="I36" s="1682">
        <v>300</v>
      </c>
      <c r="J36" s="1681">
        <v>6</v>
      </c>
      <c r="K36" s="1682">
        <v>0</v>
      </c>
      <c r="L36" s="97"/>
      <c r="M36" s="97"/>
      <c r="N36" s="97"/>
      <c r="O36" s="97"/>
    </row>
    <row r="37" spans="1:15">
      <c r="A37" s="780">
        <v>4</v>
      </c>
      <c r="B37" s="780" t="s">
        <v>62</v>
      </c>
      <c r="C37" s="787">
        <f>SUM(C34:C36)</f>
        <v>2100</v>
      </c>
      <c r="D37" s="781"/>
      <c r="E37" s="781"/>
      <c r="F37" s="787">
        <f t="shared" ref="F37:K37" si="5">SUM(F34:F36)</f>
        <v>0</v>
      </c>
      <c r="G37" s="787">
        <f t="shared" si="5"/>
        <v>0</v>
      </c>
      <c r="H37" s="787">
        <f t="shared" si="5"/>
        <v>1200</v>
      </c>
      <c r="I37" s="787">
        <f t="shared" si="5"/>
        <v>900</v>
      </c>
      <c r="J37" s="787">
        <f t="shared" si="5"/>
        <v>19</v>
      </c>
      <c r="K37" s="787">
        <f t="shared" si="5"/>
        <v>0</v>
      </c>
      <c r="L37" s="1116"/>
      <c r="M37" s="1116"/>
      <c r="N37" s="1116"/>
      <c r="O37" s="1116"/>
    </row>
    <row r="38" spans="1:15">
      <c r="A38" s="129">
        <v>5</v>
      </c>
      <c r="B38" s="129" t="s">
        <v>625</v>
      </c>
      <c r="C38" s="779">
        <v>700</v>
      </c>
      <c r="D38" s="1686">
        <v>0</v>
      </c>
      <c r="E38" s="1685"/>
      <c r="F38" s="1684">
        <v>0</v>
      </c>
      <c r="G38" s="1684">
        <v>0</v>
      </c>
      <c r="H38" s="1692">
        <v>400</v>
      </c>
      <c r="I38" s="1684">
        <v>300</v>
      </c>
      <c r="J38" s="1684">
        <v>6</v>
      </c>
      <c r="K38" s="1684">
        <v>0</v>
      </c>
      <c r="L38" s="97"/>
      <c r="M38" s="97"/>
      <c r="N38" s="97"/>
      <c r="O38" s="97"/>
    </row>
    <row r="39" spans="1:15">
      <c r="A39" s="129">
        <v>6</v>
      </c>
      <c r="B39" s="129" t="s">
        <v>626</v>
      </c>
      <c r="C39" s="779">
        <v>700</v>
      </c>
      <c r="D39" s="1686">
        <v>0</v>
      </c>
      <c r="E39" s="1685"/>
      <c r="F39" s="1684">
        <v>0</v>
      </c>
      <c r="G39" s="1684">
        <v>0</v>
      </c>
      <c r="H39" s="1692">
        <v>400</v>
      </c>
      <c r="I39" s="1684">
        <v>300</v>
      </c>
      <c r="J39" s="1684">
        <v>6</v>
      </c>
      <c r="K39" s="1684">
        <v>0</v>
      </c>
      <c r="L39" s="97"/>
      <c r="M39" s="97"/>
      <c r="N39" s="97"/>
      <c r="O39" s="97"/>
    </row>
    <row r="40" spans="1:15">
      <c r="A40" s="129">
        <v>7</v>
      </c>
      <c r="B40" s="129" t="s">
        <v>627</v>
      </c>
      <c r="C40" s="779">
        <v>700</v>
      </c>
      <c r="D40" s="1686">
        <v>0</v>
      </c>
      <c r="E40" s="1685"/>
      <c r="F40" s="1684">
        <v>0</v>
      </c>
      <c r="G40" s="1684">
        <v>0</v>
      </c>
      <c r="H40" s="1692">
        <v>400</v>
      </c>
      <c r="I40" s="1684">
        <v>300</v>
      </c>
      <c r="J40" s="1684">
        <v>6</v>
      </c>
      <c r="K40" s="1684">
        <v>0</v>
      </c>
      <c r="L40" s="97"/>
      <c r="M40" s="97"/>
      <c r="N40" s="97"/>
      <c r="O40" s="97"/>
    </row>
    <row r="41" spans="1:15">
      <c r="A41" s="780">
        <v>8</v>
      </c>
      <c r="B41" s="780" t="s">
        <v>62</v>
      </c>
      <c r="C41" s="787">
        <f>SUM(C38:C40)</f>
        <v>2100</v>
      </c>
      <c r="D41" s="781"/>
      <c r="E41" s="781"/>
      <c r="F41" s="787">
        <f t="shared" ref="F41:K41" si="6">SUM(F38:F40)</f>
        <v>0</v>
      </c>
      <c r="G41" s="787">
        <f t="shared" si="6"/>
        <v>0</v>
      </c>
      <c r="H41" s="787">
        <f t="shared" si="6"/>
        <v>1200</v>
      </c>
      <c r="I41" s="787">
        <f t="shared" si="6"/>
        <v>900</v>
      </c>
      <c r="J41" s="787">
        <f t="shared" si="6"/>
        <v>18</v>
      </c>
      <c r="K41" s="787">
        <f t="shared" si="6"/>
        <v>0</v>
      </c>
      <c r="L41" s="1116"/>
      <c r="M41" s="1116"/>
      <c r="N41" s="1116"/>
      <c r="O41" s="1116"/>
    </row>
    <row r="42" spans="1:15">
      <c r="A42" s="129">
        <v>9</v>
      </c>
      <c r="B42" s="129" t="s">
        <v>478</v>
      </c>
      <c r="C42" s="779">
        <v>700</v>
      </c>
      <c r="D42" s="1689">
        <v>0</v>
      </c>
      <c r="E42" s="1688"/>
      <c r="F42" s="1687">
        <v>0</v>
      </c>
      <c r="G42" s="1687">
        <v>0</v>
      </c>
      <c r="H42" s="1692">
        <v>400</v>
      </c>
      <c r="I42" s="1687">
        <v>300</v>
      </c>
      <c r="J42" s="1687">
        <v>6</v>
      </c>
      <c r="K42" s="1687">
        <v>0</v>
      </c>
      <c r="L42" s="97"/>
      <c r="M42" s="97"/>
      <c r="N42" s="97"/>
      <c r="O42" s="97"/>
    </row>
    <row r="43" spans="1:15">
      <c r="A43" s="129">
        <v>10</v>
      </c>
      <c r="B43" s="129" t="s">
        <v>479</v>
      </c>
      <c r="C43" s="779">
        <v>700</v>
      </c>
      <c r="D43" s="1689">
        <v>0</v>
      </c>
      <c r="E43" s="1688"/>
      <c r="F43" s="1690">
        <v>0</v>
      </c>
      <c r="G43" s="1690">
        <v>0</v>
      </c>
      <c r="H43" s="1692">
        <v>400</v>
      </c>
      <c r="I43" s="1687">
        <v>300</v>
      </c>
      <c r="J43" s="1687">
        <v>6</v>
      </c>
      <c r="K43" s="1687">
        <v>0</v>
      </c>
      <c r="L43" s="97"/>
      <c r="M43" s="97"/>
      <c r="N43" s="97"/>
      <c r="O43" s="97"/>
    </row>
    <row r="44" spans="1:15">
      <c r="A44" s="129">
        <v>11</v>
      </c>
      <c r="B44" s="129" t="s">
        <v>480</v>
      </c>
      <c r="C44" s="779">
        <v>700</v>
      </c>
      <c r="D44" s="1689">
        <v>0</v>
      </c>
      <c r="E44" s="1688"/>
      <c r="F44" s="1690">
        <v>0</v>
      </c>
      <c r="G44" s="1690">
        <v>0</v>
      </c>
      <c r="H44" s="1692">
        <v>400</v>
      </c>
      <c r="I44" s="1687">
        <v>300</v>
      </c>
      <c r="J44" s="1687">
        <v>6</v>
      </c>
      <c r="K44" s="1687">
        <v>0</v>
      </c>
      <c r="L44" s="97"/>
      <c r="M44" s="97"/>
      <c r="N44" s="97"/>
      <c r="O44" s="97"/>
    </row>
    <row r="45" spans="1:15">
      <c r="A45" s="780">
        <v>12</v>
      </c>
      <c r="B45" s="780" t="s">
        <v>62</v>
      </c>
      <c r="C45" s="787">
        <f>SUM(C42:C44)</f>
        <v>2100</v>
      </c>
      <c r="D45" s="781"/>
      <c r="E45" s="781"/>
      <c r="F45" s="787">
        <f t="shared" ref="F45:K45" si="7">SUM(F42:F44)</f>
        <v>0</v>
      </c>
      <c r="G45" s="787">
        <f t="shared" si="7"/>
        <v>0</v>
      </c>
      <c r="H45" s="787">
        <f t="shared" si="7"/>
        <v>1200</v>
      </c>
      <c r="I45" s="787">
        <f t="shared" si="7"/>
        <v>900</v>
      </c>
      <c r="J45" s="787">
        <f t="shared" si="7"/>
        <v>18</v>
      </c>
      <c r="K45" s="787">
        <f t="shared" si="7"/>
        <v>0</v>
      </c>
      <c r="L45" s="1116"/>
      <c r="M45" s="1116"/>
      <c r="N45" s="1116"/>
      <c r="O45" s="1116"/>
    </row>
    <row r="46" spans="1:15">
      <c r="A46" s="129">
        <v>13</v>
      </c>
      <c r="B46" s="129" t="s">
        <v>481</v>
      </c>
      <c r="C46" s="779">
        <v>600</v>
      </c>
      <c r="D46" s="1692">
        <v>0</v>
      </c>
      <c r="E46" s="1691"/>
      <c r="F46" s="1690">
        <v>0</v>
      </c>
      <c r="G46" s="1690">
        <v>0</v>
      </c>
      <c r="H46" s="1692">
        <v>300</v>
      </c>
      <c r="I46" s="1690">
        <v>300</v>
      </c>
      <c r="J46" s="1690">
        <v>6</v>
      </c>
      <c r="K46" s="1690">
        <v>0</v>
      </c>
      <c r="L46" s="97"/>
      <c r="M46" s="97"/>
      <c r="N46" s="97"/>
      <c r="O46" s="97"/>
    </row>
    <row r="47" spans="1:15">
      <c r="A47" s="129">
        <v>14</v>
      </c>
      <c r="B47" s="129" t="s">
        <v>482</v>
      </c>
      <c r="C47" s="779">
        <v>600</v>
      </c>
      <c r="D47" s="1692">
        <v>0</v>
      </c>
      <c r="E47" s="1691"/>
      <c r="F47" s="1690">
        <v>0</v>
      </c>
      <c r="G47" s="1690">
        <v>0</v>
      </c>
      <c r="H47" s="1692">
        <v>300</v>
      </c>
      <c r="I47" s="1690">
        <v>300</v>
      </c>
      <c r="J47" s="1690">
        <v>6</v>
      </c>
      <c r="K47" s="1690">
        <v>0</v>
      </c>
      <c r="L47" s="97"/>
      <c r="M47" s="97"/>
      <c r="N47" s="97"/>
      <c r="O47" s="97"/>
    </row>
    <row r="48" spans="1:15">
      <c r="A48" s="129">
        <v>15</v>
      </c>
      <c r="B48" s="129" t="s">
        <v>184</v>
      </c>
      <c r="C48" s="779">
        <v>600</v>
      </c>
      <c r="D48" s="1692">
        <v>0</v>
      </c>
      <c r="E48" s="1691"/>
      <c r="F48" s="1690">
        <v>0</v>
      </c>
      <c r="G48" s="1690">
        <v>0</v>
      </c>
      <c r="H48" s="1692">
        <v>300</v>
      </c>
      <c r="I48" s="1690">
        <v>300</v>
      </c>
      <c r="J48" s="1690">
        <v>6</v>
      </c>
      <c r="K48" s="1690">
        <v>0</v>
      </c>
      <c r="L48" s="97"/>
      <c r="M48" s="97"/>
      <c r="N48" s="97"/>
      <c r="O48" s="97"/>
    </row>
    <row r="49" spans="1:15">
      <c r="A49" s="780">
        <v>16</v>
      </c>
      <c r="B49" s="780" t="s">
        <v>62</v>
      </c>
      <c r="C49" s="787">
        <f>SUM(C46:C48)</f>
        <v>1800</v>
      </c>
      <c r="D49" s="782"/>
      <c r="E49" s="781"/>
      <c r="F49" s="787">
        <f t="shared" ref="F49:K49" si="8">SUM(F46:F48)</f>
        <v>0</v>
      </c>
      <c r="G49" s="787">
        <f t="shared" si="8"/>
        <v>0</v>
      </c>
      <c r="H49" s="787">
        <f t="shared" si="8"/>
        <v>900</v>
      </c>
      <c r="I49" s="787">
        <f t="shared" si="8"/>
        <v>900</v>
      </c>
      <c r="J49" s="787">
        <f t="shared" si="8"/>
        <v>18</v>
      </c>
      <c r="K49" s="787">
        <f t="shared" si="8"/>
        <v>0</v>
      </c>
      <c r="L49" s="1116"/>
      <c r="M49" s="1116"/>
      <c r="N49" s="1116"/>
      <c r="O49" s="1116"/>
    </row>
    <row r="50" spans="1:15" ht="15">
      <c r="A50" s="783">
        <v>17</v>
      </c>
      <c r="B50" s="783" t="s">
        <v>63</v>
      </c>
      <c r="C50" s="784">
        <f>C49+C45+C41+C37</f>
        <v>8100</v>
      </c>
      <c r="D50" s="785"/>
      <c r="E50" s="786"/>
      <c r="F50" s="784">
        <f t="shared" ref="F50:K50" si="9">F49+F45+F41+F37</f>
        <v>0</v>
      </c>
      <c r="G50" s="784">
        <f t="shared" si="9"/>
        <v>0</v>
      </c>
      <c r="H50" s="784">
        <f t="shared" si="9"/>
        <v>4500</v>
      </c>
      <c r="I50" s="784">
        <f t="shared" si="9"/>
        <v>3600</v>
      </c>
      <c r="J50" s="784">
        <f t="shared" si="9"/>
        <v>73</v>
      </c>
      <c r="K50" s="784">
        <f t="shared" si="9"/>
        <v>0</v>
      </c>
      <c r="L50" s="1117"/>
      <c r="M50" s="1117"/>
      <c r="N50" s="1117"/>
      <c r="O50" s="1117"/>
    </row>
    <row r="51" spans="1:15">
      <c r="A51" s="129"/>
      <c r="B51" s="129" t="s">
        <v>433</v>
      </c>
      <c r="C51" s="787">
        <f>(C50*1000)/12</f>
        <v>675000</v>
      </c>
      <c r="D51" s="129"/>
      <c r="E51" s="129"/>
      <c r="F51" s="129"/>
      <c r="G51" s="129"/>
      <c r="H51" s="129"/>
      <c r="I51" s="788"/>
      <c r="J51" s="790"/>
      <c r="K51" s="788"/>
      <c r="L51" s="97"/>
      <c r="M51" s="97"/>
      <c r="N51" s="97"/>
      <c r="O51" s="97"/>
    </row>
    <row r="52" spans="1:15">
      <c r="B52" s="791"/>
      <c r="C52" s="445"/>
      <c r="J52" s="2"/>
      <c r="L52" s="97"/>
      <c r="M52" s="97"/>
      <c r="N52" s="97"/>
      <c r="O52" s="97"/>
    </row>
    <row r="53" spans="1:15">
      <c r="A53" s="773"/>
      <c r="J53" s="2"/>
      <c r="L53" s="97"/>
      <c r="M53" s="97"/>
      <c r="N53" s="97"/>
      <c r="O53" s="97"/>
    </row>
    <row r="54" spans="1:15">
      <c r="A54" s="773" t="s">
        <v>100</v>
      </c>
      <c r="E54" s="792"/>
      <c r="L54" s="97"/>
      <c r="M54" s="97"/>
      <c r="N54" s="97"/>
      <c r="O54" s="97"/>
    </row>
    <row r="55" spans="1:15" ht="51">
      <c r="A55" s="775" t="s">
        <v>141</v>
      </c>
      <c r="B55" s="129" t="s">
        <v>621</v>
      </c>
      <c r="C55" s="776" t="s">
        <v>56</v>
      </c>
      <c r="D55" s="776" t="s">
        <v>57</v>
      </c>
      <c r="E55" s="776" t="s">
        <v>58</v>
      </c>
      <c r="F55" s="776" t="s">
        <v>261</v>
      </c>
      <c r="G55" s="776" t="s">
        <v>59</v>
      </c>
      <c r="H55" s="776" t="s">
        <v>60</v>
      </c>
      <c r="I55" s="777" t="s">
        <v>1021</v>
      </c>
      <c r="J55" s="777" t="s">
        <v>61</v>
      </c>
      <c r="K55" s="777" t="s">
        <v>1022</v>
      </c>
      <c r="L55" s="97"/>
      <c r="M55" s="97"/>
      <c r="N55" s="97"/>
      <c r="O55" s="97"/>
    </row>
    <row r="56" spans="1:15">
      <c r="A56" s="129"/>
      <c r="B56" s="129"/>
      <c r="C56" s="129"/>
      <c r="D56" s="129"/>
      <c r="E56" s="129"/>
      <c r="F56" s="129"/>
      <c r="G56" s="129"/>
      <c r="H56" s="129"/>
      <c r="I56" s="778"/>
      <c r="J56" s="778"/>
      <c r="K56" s="778"/>
      <c r="L56" s="97"/>
      <c r="M56" s="97"/>
      <c r="N56" s="97"/>
      <c r="O56" s="97"/>
    </row>
    <row r="57" spans="1:15">
      <c r="A57" s="129">
        <v>1</v>
      </c>
      <c r="B57" s="129" t="s">
        <v>475</v>
      </c>
      <c r="C57" s="779">
        <v>746</v>
      </c>
      <c r="D57" s="1695"/>
      <c r="E57" s="1694"/>
      <c r="F57" s="1693">
        <v>0</v>
      </c>
      <c r="G57" s="1693">
        <v>0</v>
      </c>
      <c r="H57" s="1693">
        <v>746</v>
      </c>
      <c r="I57" s="1693">
        <v>0</v>
      </c>
      <c r="J57" s="1693">
        <v>0</v>
      </c>
      <c r="K57" s="1693">
        <v>0</v>
      </c>
      <c r="L57" s="97"/>
      <c r="M57" s="97"/>
      <c r="N57" s="97"/>
      <c r="O57" s="97"/>
    </row>
    <row r="58" spans="1:15">
      <c r="A58" s="129">
        <v>2</v>
      </c>
      <c r="B58" s="129" t="s">
        <v>476</v>
      </c>
      <c r="C58" s="779">
        <v>746</v>
      </c>
      <c r="D58" s="1695"/>
      <c r="E58" s="1694"/>
      <c r="F58" s="1693">
        <v>0</v>
      </c>
      <c r="G58" s="1693">
        <v>0</v>
      </c>
      <c r="H58" s="1702">
        <v>746</v>
      </c>
      <c r="I58" s="1693">
        <v>0</v>
      </c>
      <c r="J58" s="1693">
        <v>0</v>
      </c>
      <c r="K58" s="1693">
        <v>0</v>
      </c>
      <c r="L58" s="97"/>
      <c r="M58" s="97"/>
      <c r="N58" s="97"/>
      <c r="O58" s="97"/>
    </row>
    <row r="59" spans="1:15">
      <c r="A59" s="129">
        <v>3</v>
      </c>
      <c r="B59" s="129" t="s">
        <v>477</v>
      </c>
      <c r="C59" s="779">
        <v>746</v>
      </c>
      <c r="D59" s="1695"/>
      <c r="E59" s="1694"/>
      <c r="F59" s="1693">
        <v>0</v>
      </c>
      <c r="G59" s="1693">
        <v>0</v>
      </c>
      <c r="H59" s="1702">
        <v>746</v>
      </c>
      <c r="I59" s="1693">
        <v>0</v>
      </c>
      <c r="J59" s="1693">
        <v>0</v>
      </c>
      <c r="K59" s="1693">
        <v>0</v>
      </c>
      <c r="L59" s="97"/>
      <c r="M59" s="97"/>
      <c r="N59" s="97"/>
      <c r="O59" s="97"/>
    </row>
    <row r="60" spans="1:15">
      <c r="A60" s="780">
        <v>4</v>
      </c>
      <c r="B60" s="780" t="s">
        <v>62</v>
      </c>
      <c r="C60" s="787">
        <f>SUM(C57:C59)</f>
        <v>2238</v>
      </c>
      <c r="D60" s="781"/>
      <c r="E60" s="781"/>
      <c r="F60" s="787">
        <f>SUM(F57:F59)</f>
        <v>0</v>
      </c>
      <c r="G60" s="787">
        <f>SUM(G57:G59)</f>
        <v>0</v>
      </c>
      <c r="H60" s="787">
        <f>SUM(H57:H59)</f>
        <v>2238</v>
      </c>
      <c r="I60" s="787">
        <f t="shared" ref="I60:K60" si="10">SUM(I57:I59)</f>
        <v>0</v>
      </c>
      <c r="J60" s="787">
        <f t="shared" si="10"/>
        <v>0</v>
      </c>
      <c r="K60" s="787">
        <f t="shared" si="10"/>
        <v>0</v>
      </c>
      <c r="L60" s="1116"/>
      <c r="M60" s="1116"/>
      <c r="N60" s="1116"/>
      <c r="O60" s="1116"/>
    </row>
    <row r="61" spans="1:15">
      <c r="A61" s="129">
        <v>5</v>
      </c>
      <c r="B61" s="129" t="s">
        <v>625</v>
      </c>
      <c r="C61" s="779">
        <v>746</v>
      </c>
      <c r="D61" s="1698"/>
      <c r="E61" s="1697"/>
      <c r="F61" s="1696">
        <v>0</v>
      </c>
      <c r="G61" s="1696">
        <v>0</v>
      </c>
      <c r="H61" s="1702">
        <v>746</v>
      </c>
      <c r="I61" s="1696">
        <v>0</v>
      </c>
      <c r="J61" s="1696">
        <v>0</v>
      </c>
      <c r="K61" s="1696">
        <v>0</v>
      </c>
      <c r="L61" s="97"/>
      <c r="M61" s="97"/>
      <c r="N61" s="97"/>
      <c r="O61" s="97"/>
    </row>
    <row r="62" spans="1:15">
      <c r="A62" s="129">
        <v>6</v>
      </c>
      <c r="B62" s="129" t="s">
        <v>626</v>
      </c>
      <c r="C62" s="779">
        <v>746</v>
      </c>
      <c r="D62" s="1698"/>
      <c r="E62" s="1697"/>
      <c r="F62" s="1696">
        <v>0</v>
      </c>
      <c r="G62" s="1696">
        <v>0</v>
      </c>
      <c r="H62" s="1702">
        <v>746</v>
      </c>
      <c r="I62" s="1696">
        <v>0</v>
      </c>
      <c r="J62" s="1696">
        <v>0</v>
      </c>
      <c r="K62" s="1696">
        <v>0</v>
      </c>
      <c r="L62" s="97"/>
      <c r="M62" s="97"/>
      <c r="N62" s="97"/>
      <c r="O62" s="97"/>
    </row>
    <row r="63" spans="1:15">
      <c r="A63" s="129">
        <v>7</v>
      </c>
      <c r="B63" s="129" t="s">
        <v>627</v>
      </c>
      <c r="C63" s="779">
        <v>746</v>
      </c>
      <c r="D63" s="1698"/>
      <c r="E63" s="1697"/>
      <c r="F63" s="1696">
        <v>0</v>
      </c>
      <c r="G63" s="1696">
        <v>0</v>
      </c>
      <c r="H63" s="1702">
        <v>746</v>
      </c>
      <c r="I63" s="1696">
        <v>0</v>
      </c>
      <c r="J63" s="1696">
        <v>0</v>
      </c>
      <c r="K63" s="1696">
        <v>0</v>
      </c>
      <c r="L63" s="97"/>
      <c r="M63" s="97"/>
      <c r="N63" s="97"/>
      <c r="O63" s="97"/>
    </row>
    <row r="64" spans="1:15">
      <c r="A64" s="780">
        <v>8</v>
      </c>
      <c r="B64" s="780" t="s">
        <v>62</v>
      </c>
      <c r="C64" s="787">
        <f>SUM(C61:C63)</f>
        <v>2238</v>
      </c>
      <c r="D64" s="781"/>
      <c r="E64" s="781"/>
      <c r="F64" s="787">
        <f>SUM(F61:F63)</f>
        <v>0</v>
      </c>
      <c r="G64" s="787">
        <f>SUM(G61:G63)</f>
        <v>0</v>
      </c>
      <c r="H64" s="787">
        <f>SUM(H61:H63)</f>
        <v>2238</v>
      </c>
      <c r="I64" s="787">
        <f t="shared" ref="I64:K64" si="11">SUM(I61:I63)</f>
        <v>0</v>
      </c>
      <c r="J64" s="787">
        <f t="shared" si="11"/>
        <v>0</v>
      </c>
      <c r="K64" s="787">
        <f t="shared" si="11"/>
        <v>0</v>
      </c>
      <c r="L64" s="1116"/>
      <c r="M64" s="1116"/>
      <c r="N64" s="1116"/>
      <c r="O64" s="1116"/>
    </row>
    <row r="65" spans="1:15">
      <c r="A65" s="129">
        <v>9</v>
      </c>
      <c r="B65" s="129" t="s">
        <v>478</v>
      </c>
      <c r="C65" s="779">
        <v>746</v>
      </c>
      <c r="D65" s="1701"/>
      <c r="E65" s="1700"/>
      <c r="F65" s="1699">
        <v>0</v>
      </c>
      <c r="G65" s="1699">
        <v>0</v>
      </c>
      <c r="H65" s="1702">
        <v>746</v>
      </c>
      <c r="I65" s="1699">
        <v>0</v>
      </c>
      <c r="J65" s="1699">
        <v>0</v>
      </c>
      <c r="K65" s="1699">
        <v>0</v>
      </c>
      <c r="L65" s="97"/>
      <c r="M65" s="97"/>
      <c r="N65" s="97"/>
      <c r="O65" s="97"/>
    </row>
    <row r="66" spans="1:15">
      <c r="A66" s="129">
        <v>10</v>
      </c>
      <c r="B66" s="129" t="s">
        <v>479</v>
      </c>
      <c r="C66" s="779">
        <v>746</v>
      </c>
      <c r="D66" s="1701"/>
      <c r="E66" s="1700"/>
      <c r="F66" s="1699">
        <v>0</v>
      </c>
      <c r="G66" s="1699">
        <v>0</v>
      </c>
      <c r="H66" s="1702">
        <v>746</v>
      </c>
      <c r="I66" s="1699">
        <v>0</v>
      </c>
      <c r="J66" s="1699">
        <v>0</v>
      </c>
      <c r="K66" s="1699">
        <v>0</v>
      </c>
      <c r="L66" s="97"/>
      <c r="M66" s="97"/>
      <c r="N66" s="97"/>
      <c r="O66" s="97"/>
    </row>
    <row r="67" spans="1:15">
      <c r="A67" s="129">
        <v>11</v>
      </c>
      <c r="B67" s="129" t="s">
        <v>480</v>
      </c>
      <c r="C67" s="779">
        <v>746</v>
      </c>
      <c r="D67" s="1701"/>
      <c r="E67" s="1700"/>
      <c r="F67" s="1699">
        <v>0</v>
      </c>
      <c r="G67" s="1699">
        <v>0</v>
      </c>
      <c r="H67" s="1702">
        <v>746</v>
      </c>
      <c r="I67" s="1699">
        <v>0</v>
      </c>
      <c r="J67" s="1699">
        <v>0</v>
      </c>
      <c r="K67" s="1699">
        <v>0</v>
      </c>
      <c r="L67" s="97"/>
      <c r="M67" s="97"/>
      <c r="N67" s="97"/>
      <c r="O67" s="97"/>
    </row>
    <row r="68" spans="1:15">
      <c r="A68" s="780">
        <v>12</v>
      </c>
      <c r="B68" s="780" t="s">
        <v>62</v>
      </c>
      <c r="C68" s="787">
        <f>SUM(C65:C67)</f>
        <v>2238</v>
      </c>
      <c r="D68" s="781"/>
      <c r="E68" s="781"/>
      <c r="F68" s="787">
        <f>SUM(F65:F67)</f>
        <v>0</v>
      </c>
      <c r="G68" s="787">
        <f>SUM(G65:G67)</f>
        <v>0</v>
      </c>
      <c r="H68" s="787">
        <f>SUM(H65:H67)</f>
        <v>2238</v>
      </c>
      <c r="I68" s="787">
        <f t="shared" ref="I68:K68" si="12">SUM(I65:I67)</f>
        <v>0</v>
      </c>
      <c r="J68" s="787">
        <f t="shared" si="12"/>
        <v>0</v>
      </c>
      <c r="K68" s="787">
        <f t="shared" si="12"/>
        <v>0</v>
      </c>
      <c r="L68" s="1116"/>
      <c r="M68" s="1116"/>
      <c r="N68" s="1116"/>
      <c r="O68" s="1116"/>
    </row>
    <row r="69" spans="1:15">
      <c r="A69" s="129">
        <v>13</v>
      </c>
      <c r="B69" s="129" t="s">
        <v>481</v>
      </c>
      <c r="C69" s="779">
        <v>746</v>
      </c>
      <c r="D69" s="1704"/>
      <c r="E69" s="1703"/>
      <c r="F69" s="1702">
        <v>0</v>
      </c>
      <c r="G69" s="1702">
        <v>0</v>
      </c>
      <c r="H69" s="1702">
        <v>746</v>
      </c>
      <c r="I69" s="1702">
        <v>0</v>
      </c>
      <c r="J69" s="1702">
        <v>0</v>
      </c>
      <c r="K69" s="1702">
        <v>0</v>
      </c>
      <c r="L69" s="97"/>
      <c r="M69" s="97"/>
      <c r="N69" s="97"/>
      <c r="O69" s="97"/>
    </row>
    <row r="70" spans="1:15">
      <c r="A70" s="129">
        <v>14</v>
      </c>
      <c r="B70" s="129" t="s">
        <v>482</v>
      </c>
      <c r="C70" s="779">
        <v>746</v>
      </c>
      <c r="D70" s="1704"/>
      <c r="E70" s="1703"/>
      <c r="F70" s="1702">
        <v>0</v>
      </c>
      <c r="G70" s="1702">
        <v>0</v>
      </c>
      <c r="H70" s="1702">
        <v>746</v>
      </c>
      <c r="I70" s="1702">
        <v>0</v>
      </c>
      <c r="J70" s="1702">
        <v>0</v>
      </c>
      <c r="K70" s="1702">
        <v>0</v>
      </c>
      <c r="L70" s="97"/>
      <c r="M70" s="97"/>
      <c r="N70" s="97"/>
      <c r="O70" s="97"/>
    </row>
    <row r="71" spans="1:15">
      <c r="A71" s="129">
        <v>15</v>
      </c>
      <c r="B71" s="129" t="s">
        <v>184</v>
      </c>
      <c r="C71" s="779">
        <v>746</v>
      </c>
      <c r="D71" s="1704"/>
      <c r="E71" s="1703"/>
      <c r="F71" s="1702">
        <v>0</v>
      </c>
      <c r="G71" s="1702">
        <v>0</v>
      </c>
      <c r="H71" s="1702">
        <v>746</v>
      </c>
      <c r="I71" s="1702">
        <v>0</v>
      </c>
      <c r="J71" s="1702">
        <v>0</v>
      </c>
      <c r="K71" s="1702">
        <v>0</v>
      </c>
      <c r="L71" s="97"/>
      <c r="M71" s="97"/>
      <c r="N71" s="97"/>
      <c r="O71" s="97"/>
    </row>
    <row r="72" spans="1:15">
      <c r="A72" s="780">
        <v>16</v>
      </c>
      <c r="B72" s="780" t="s">
        <v>62</v>
      </c>
      <c r="C72" s="787">
        <f>SUM(C69:C71)</f>
        <v>2238</v>
      </c>
      <c r="D72" s="782"/>
      <c r="E72" s="781"/>
      <c r="F72" s="787">
        <f>SUM(F69:F71)</f>
        <v>0</v>
      </c>
      <c r="G72" s="787">
        <f>SUM(G69:G71)</f>
        <v>0</v>
      </c>
      <c r="H72" s="787">
        <f>SUM(H69:H71)</f>
        <v>2238</v>
      </c>
      <c r="I72" s="787">
        <f t="shared" ref="I72:K72" si="13">SUM(I69:I71)</f>
        <v>0</v>
      </c>
      <c r="J72" s="787">
        <f t="shared" si="13"/>
        <v>0</v>
      </c>
      <c r="K72" s="787">
        <f t="shared" si="13"/>
        <v>0</v>
      </c>
      <c r="L72" s="1116"/>
      <c r="M72" s="1116"/>
      <c r="N72" s="1116"/>
      <c r="O72" s="1116"/>
    </row>
    <row r="73" spans="1:15" ht="15">
      <c r="A73" s="783">
        <v>17</v>
      </c>
      <c r="B73" s="783" t="s">
        <v>63</v>
      </c>
      <c r="C73" s="784">
        <f>C72+C68+C64+C60</f>
        <v>8952</v>
      </c>
      <c r="D73" s="785"/>
      <c r="E73" s="786"/>
      <c r="F73" s="784">
        <v>0</v>
      </c>
      <c r="G73" s="784">
        <v>0</v>
      </c>
      <c r="H73" s="784">
        <f>H72+H68+H64+H60</f>
        <v>8952</v>
      </c>
      <c r="I73" s="784">
        <f>I60+I64+I68+I72</f>
        <v>0</v>
      </c>
      <c r="J73" s="784">
        <f>J60+J64+J68+J72</f>
        <v>0</v>
      </c>
      <c r="K73" s="784">
        <v>0</v>
      </c>
      <c r="L73" s="1117"/>
      <c r="M73" s="1117"/>
      <c r="N73" s="1117"/>
      <c r="O73" s="1117"/>
    </row>
    <row r="74" spans="1:15">
      <c r="A74" s="129"/>
      <c r="B74" s="129" t="s">
        <v>433</v>
      </c>
      <c r="C74" s="787">
        <f>(C73*1000)/12</f>
        <v>746000</v>
      </c>
      <c r="D74" s="129"/>
      <c r="E74" s="129"/>
      <c r="F74" s="129"/>
      <c r="G74" s="129"/>
      <c r="H74" s="129"/>
      <c r="I74" s="788"/>
      <c r="J74" s="788"/>
      <c r="K74" s="788"/>
      <c r="L74" s="97"/>
      <c r="M74" s="97"/>
      <c r="N74" s="97"/>
      <c r="O74" s="97"/>
    </row>
    <row r="75" spans="1:15">
      <c r="C75" s="92"/>
    </row>
    <row r="76" spans="1:15">
      <c r="B76" s="104"/>
      <c r="C76" s="794"/>
      <c r="D76" s="97"/>
      <c r="L76" s="445"/>
    </row>
    <row r="77" spans="1:15" ht="14.25">
      <c r="B77" s="795"/>
      <c r="C77" s="795"/>
      <c r="D77" s="97"/>
    </row>
    <row r="78" spans="1:15" ht="14.25">
      <c r="B78" s="795"/>
      <c r="C78" s="795"/>
      <c r="D78" s="97"/>
    </row>
    <row r="79" spans="1:15">
      <c r="B79" s="97"/>
      <c r="C79" s="97"/>
      <c r="D79" s="97"/>
    </row>
    <row r="80" spans="1:15" ht="14.25">
      <c r="B80" s="795"/>
      <c r="C80" s="795"/>
      <c r="D80" s="97"/>
    </row>
    <row r="81" spans="2:4">
      <c r="B81" s="97"/>
      <c r="C81" s="97"/>
      <c r="D81" s="97"/>
    </row>
    <row r="82" spans="2:4">
      <c r="B82" s="97"/>
      <c r="C82" s="97"/>
      <c r="D82" s="97"/>
    </row>
    <row r="83" spans="2:4">
      <c r="B83" s="97"/>
      <c r="C83" s="97"/>
      <c r="D83" s="97"/>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5"/>
  <sheetViews>
    <sheetView zoomScale="75" zoomScaleNormal="75" zoomScaleSheetLayoutView="75" workbookViewId="0">
      <selection activeCell="H6" sqref="H6"/>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7.85546875" customWidth="1"/>
    <col min="15" max="15" width="19.140625" bestFit="1" customWidth="1"/>
    <col min="16" max="17" width="1.5703125" customWidth="1"/>
    <col min="18" max="18" width="69.5703125" customWidth="1"/>
  </cols>
  <sheetData>
    <row r="1" spans="1:16" ht="15.75">
      <c r="A1" s="1" t="s">
        <v>547</v>
      </c>
    </row>
    <row r="3" spans="1:16">
      <c r="B3" s="815"/>
      <c r="C3" s="815"/>
      <c r="D3" s="815"/>
      <c r="E3" s="815"/>
      <c r="F3" s="815"/>
      <c r="G3" s="815"/>
      <c r="H3" s="815"/>
      <c r="I3" s="815"/>
      <c r="J3" s="815"/>
      <c r="K3" s="815"/>
      <c r="L3" s="815"/>
      <c r="M3" s="815"/>
      <c r="N3" s="815"/>
    </row>
    <row r="4" spans="1:16">
      <c r="A4" s="816" t="s">
        <v>1135</v>
      </c>
      <c r="N4" s="445"/>
    </row>
    <row r="5" spans="1:16" ht="15">
      <c r="A5" s="773"/>
      <c r="B5" s="1430">
        <v>45261</v>
      </c>
      <c r="C5" s="1430">
        <v>45292</v>
      </c>
      <c r="D5" s="1430">
        <v>45323</v>
      </c>
      <c r="E5" s="1430">
        <v>45352</v>
      </c>
      <c r="F5" s="1430">
        <v>45383</v>
      </c>
      <c r="G5" s="1430">
        <v>45413</v>
      </c>
      <c r="H5" s="1430">
        <v>45444</v>
      </c>
      <c r="I5" s="1430">
        <v>45474</v>
      </c>
      <c r="J5" s="1430">
        <v>45505</v>
      </c>
      <c r="K5" s="1430">
        <v>45536</v>
      </c>
      <c r="L5" s="1430">
        <v>45566</v>
      </c>
      <c r="M5" s="1430">
        <v>45597</v>
      </c>
      <c r="N5" s="1430">
        <v>45627</v>
      </c>
      <c r="O5" s="1431" t="s">
        <v>79</v>
      </c>
    </row>
    <row r="6" spans="1:16">
      <c r="A6" s="213" t="s">
        <v>486</v>
      </c>
      <c r="B6" s="1949">
        <v>1395000</v>
      </c>
      <c r="C6" s="1949">
        <v>1395000</v>
      </c>
      <c r="D6" s="1949">
        <v>1395000</v>
      </c>
      <c r="E6" s="1949">
        <v>1395000</v>
      </c>
      <c r="F6" s="1949">
        <v>1395000</v>
      </c>
      <c r="G6" s="1949">
        <v>1395000</v>
      </c>
      <c r="H6" s="1949">
        <v>1395000</v>
      </c>
      <c r="I6" s="1949">
        <v>1395000</v>
      </c>
      <c r="J6" s="1949">
        <v>1395000</v>
      </c>
      <c r="K6" s="1949">
        <v>1395000</v>
      </c>
      <c r="L6" s="1949">
        <v>1395000</v>
      </c>
      <c r="M6" s="1949">
        <v>1395000</v>
      </c>
      <c r="N6" s="1949">
        <v>1395000</v>
      </c>
      <c r="O6" s="1744">
        <f>AVERAGE(B6:N6)</f>
        <v>1395000</v>
      </c>
      <c r="P6" s="97"/>
    </row>
    <row r="7" spans="1:16">
      <c r="A7" s="213" t="s">
        <v>1150</v>
      </c>
      <c r="B7" s="1949">
        <v>31000</v>
      </c>
      <c r="C7" s="1949">
        <v>31000</v>
      </c>
      <c r="D7" s="1949">
        <v>31000</v>
      </c>
      <c r="E7" s="1949">
        <v>31000</v>
      </c>
      <c r="F7" s="1949">
        <v>31000</v>
      </c>
      <c r="G7" s="1949">
        <v>31000</v>
      </c>
      <c r="H7" s="1949">
        <v>31000</v>
      </c>
      <c r="I7" s="1949">
        <v>31000</v>
      </c>
      <c r="J7" s="1949">
        <v>31000</v>
      </c>
      <c r="K7" s="1949">
        <v>31000</v>
      </c>
      <c r="L7" s="1949">
        <v>31000</v>
      </c>
      <c r="M7" s="1949">
        <v>31000</v>
      </c>
      <c r="N7" s="1949">
        <v>31000</v>
      </c>
      <c r="O7" s="1744">
        <f>AVERAGE(B7:N7)</f>
        <v>31000</v>
      </c>
      <c r="P7" s="632"/>
    </row>
    <row r="8" spans="1:16">
      <c r="A8" s="213" t="s">
        <v>1151</v>
      </c>
      <c r="B8" s="1949">
        <v>52000</v>
      </c>
      <c r="C8" s="1949">
        <v>52000</v>
      </c>
      <c r="D8" s="1949">
        <v>52000</v>
      </c>
      <c r="E8" s="1949">
        <v>52000</v>
      </c>
      <c r="F8" s="1949">
        <v>52000</v>
      </c>
      <c r="G8" s="1949">
        <v>52000</v>
      </c>
      <c r="H8" s="1949">
        <v>52000</v>
      </c>
      <c r="I8" s="1949">
        <v>52000</v>
      </c>
      <c r="J8" s="1949">
        <v>52000</v>
      </c>
      <c r="K8" s="1949">
        <v>52000</v>
      </c>
      <c r="L8" s="1949">
        <v>52000</v>
      </c>
      <c r="M8" s="1949">
        <v>52000</v>
      </c>
      <c r="N8" s="1949">
        <v>52000</v>
      </c>
      <c r="O8" s="1744">
        <f t="shared" ref="O8:O50" si="0">AVERAGE(B8:N8)</f>
        <v>52000</v>
      </c>
      <c r="P8" s="97"/>
    </row>
    <row r="9" spans="1:16">
      <c r="A9" s="213" t="s">
        <v>1162</v>
      </c>
      <c r="B9" s="1949">
        <v>17544000</v>
      </c>
      <c r="C9" s="1949">
        <v>25037000</v>
      </c>
      <c r="D9" s="1949">
        <v>24621000</v>
      </c>
      <c r="E9" s="1949">
        <v>24691000</v>
      </c>
      <c r="F9" s="1949">
        <v>24692000</v>
      </c>
      <c r="G9" s="1949">
        <v>24693000</v>
      </c>
      <c r="H9" s="1949">
        <v>24741000</v>
      </c>
      <c r="I9" s="1949">
        <v>24808000</v>
      </c>
      <c r="J9" s="1949">
        <v>24871000</v>
      </c>
      <c r="K9" s="1949">
        <v>24874000</v>
      </c>
      <c r="L9" s="1949">
        <v>24908000</v>
      </c>
      <c r="M9" s="1949">
        <v>24941000</v>
      </c>
      <c r="N9" s="1949">
        <v>24941000</v>
      </c>
      <c r="O9" s="1744">
        <f t="shared" si="0"/>
        <v>24258615.384615384</v>
      </c>
      <c r="P9" s="97"/>
    </row>
    <row r="10" spans="1:16">
      <c r="A10" s="213" t="s">
        <v>427</v>
      </c>
      <c r="B10" s="1949">
        <v>9138000</v>
      </c>
      <c r="C10" s="1949">
        <v>9138000</v>
      </c>
      <c r="D10" s="1949">
        <v>9138000</v>
      </c>
      <c r="E10" s="1949">
        <v>9138000</v>
      </c>
      <c r="F10" s="1949">
        <v>9138000</v>
      </c>
      <c r="G10" s="1949">
        <v>9138000</v>
      </c>
      <c r="H10" s="1949">
        <v>9138000</v>
      </c>
      <c r="I10" s="1949">
        <v>9138000</v>
      </c>
      <c r="J10" s="1949">
        <v>9138000</v>
      </c>
      <c r="K10" s="1949">
        <v>9138000</v>
      </c>
      <c r="L10" s="1949">
        <v>9138000</v>
      </c>
      <c r="M10" s="1949">
        <v>9138000</v>
      </c>
      <c r="N10" s="1949">
        <v>9138000</v>
      </c>
      <c r="O10" s="1744">
        <f t="shared" si="0"/>
        <v>9138000</v>
      </c>
      <c r="P10" s="97"/>
    </row>
    <row r="11" spans="1:16">
      <c r="A11" s="213" t="s">
        <v>487</v>
      </c>
      <c r="B11" s="1949">
        <v>20312000</v>
      </c>
      <c r="C11" s="1949">
        <v>20312000</v>
      </c>
      <c r="D11" s="1949">
        <v>20312000</v>
      </c>
      <c r="E11" s="1949">
        <v>20312000</v>
      </c>
      <c r="F11" s="1949">
        <v>20312000</v>
      </c>
      <c r="G11" s="1949">
        <v>20312000</v>
      </c>
      <c r="H11" s="1949">
        <v>20312000</v>
      </c>
      <c r="I11" s="1949">
        <v>20312000</v>
      </c>
      <c r="J11" s="1949">
        <v>20312000</v>
      </c>
      <c r="K11" s="1949">
        <v>20312000</v>
      </c>
      <c r="L11" s="1949">
        <v>20312000</v>
      </c>
      <c r="M11" s="1949">
        <v>20312000</v>
      </c>
      <c r="N11" s="1949">
        <v>20344000</v>
      </c>
      <c r="O11" s="1744">
        <f t="shared" si="0"/>
        <v>20314461.53846154</v>
      </c>
      <c r="P11" s="97"/>
    </row>
    <row r="12" spans="1:16">
      <c r="A12" s="213" t="s">
        <v>1111</v>
      </c>
      <c r="B12" s="1949">
        <v>70000</v>
      </c>
      <c r="C12" s="1949">
        <v>70000</v>
      </c>
      <c r="D12" s="1949">
        <v>70000</v>
      </c>
      <c r="E12" s="1949">
        <v>70000</v>
      </c>
      <c r="F12" s="1949">
        <v>70000</v>
      </c>
      <c r="G12" s="1949">
        <v>70000</v>
      </c>
      <c r="H12" s="1949">
        <v>70000</v>
      </c>
      <c r="I12" s="1949">
        <v>70000</v>
      </c>
      <c r="J12" s="1949">
        <v>70000</v>
      </c>
      <c r="K12" s="1949">
        <v>70000</v>
      </c>
      <c r="L12" s="1949">
        <v>70000</v>
      </c>
      <c r="M12" s="1949">
        <v>70000</v>
      </c>
      <c r="N12" s="1949">
        <v>70000</v>
      </c>
      <c r="O12" s="1744">
        <f t="shared" si="0"/>
        <v>70000</v>
      </c>
      <c r="P12" s="97"/>
    </row>
    <row r="13" spans="1:16">
      <c r="A13" s="213" t="s">
        <v>1112</v>
      </c>
      <c r="B13" s="1949">
        <v>57000</v>
      </c>
      <c r="C13" s="1949">
        <v>57000</v>
      </c>
      <c r="D13" s="1949">
        <v>57000</v>
      </c>
      <c r="E13" s="1949">
        <v>57000</v>
      </c>
      <c r="F13" s="1949">
        <v>57000</v>
      </c>
      <c r="G13" s="1949">
        <v>57000</v>
      </c>
      <c r="H13" s="1949">
        <v>57000</v>
      </c>
      <c r="I13" s="1949">
        <v>57000</v>
      </c>
      <c r="J13" s="1949">
        <v>57000</v>
      </c>
      <c r="K13" s="1949">
        <v>57000</v>
      </c>
      <c r="L13" s="1949">
        <v>57000</v>
      </c>
      <c r="M13" s="1949">
        <v>57000</v>
      </c>
      <c r="N13" s="1949">
        <v>57000</v>
      </c>
      <c r="O13" s="1744">
        <f t="shared" si="0"/>
        <v>57000</v>
      </c>
      <c r="P13" s="97"/>
    </row>
    <row r="14" spans="1:16">
      <c r="A14" s="213" t="s">
        <v>1212</v>
      </c>
      <c r="B14" s="1949">
        <v>952000</v>
      </c>
      <c r="C14" s="1949">
        <v>952000</v>
      </c>
      <c r="D14" s="1949">
        <v>952000</v>
      </c>
      <c r="E14" s="1949">
        <v>952000</v>
      </c>
      <c r="F14" s="1949">
        <v>952000</v>
      </c>
      <c r="G14" s="1949">
        <v>952000</v>
      </c>
      <c r="H14" s="1949">
        <v>952000</v>
      </c>
      <c r="I14" s="1949">
        <v>952000</v>
      </c>
      <c r="J14" s="1949">
        <v>952000</v>
      </c>
      <c r="K14" s="1949">
        <v>952000</v>
      </c>
      <c r="L14" s="1949">
        <v>952000</v>
      </c>
      <c r="M14" s="1949">
        <v>952000</v>
      </c>
      <c r="N14" s="1949">
        <v>952000</v>
      </c>
      <c r="O14" s="1744">
        <f t="shared" si="0"/>
        <v>952000</v>
      </c>
      <c r="P14" s="97"/>
    </row>
    <row r="15" spans="1:16">
      <c r="A15" s="213" t="s">
        <v>488</v>
      </c>
      <c r="B15" s="1949">
        <v>11090000</v>
      </c>
      <c r="C15" s="1949">
        <v>11085000</v>
      </c>
      <c r="D15" s="1949">
        <v>11085000</v>
      </c>
      <c r="E15" s="1949">
        <v>11085000</v>
      </c>
      <c r="F15" s="1949">
        <v>11085000</v>
      </c>
      <c r="G15" s="1949">
        <v>11085000</v>
      </c>
      <c r="H15" s="1949">
        <v>11085000</v>
      </c>
      <c r="I15" s="1949">
        <v>11085000</v>
      </c>
      <c r="J15" s="1949">
        <v>11085000</v>
      </c>
      <c r="K15" s="1949">
        <v>11085000</v>
      </c>
      <c r="L15" s="1949">
        <v>11085000</v>
      </c>
      <c r="M15" s="1949">
        <v>11085000</v>
      </c>
      <c r="N15" s="1949">
        <v>11141000</v>
      </c>
      <c r="O15" s="1744">
        <f t="shared" si="0"/>
        <v>11089692.307692308</v>
      </c>
      <c r="P15" s="97"/>
    </row>
    <row r="16" spans="1:16">
      <c r="A16" s="213" t="s">
        <v>491</v>
      </c>
      <c r="B16" s="1949">
        <v>4537000</v>
      </c>
      <c r="C16" s="1949">
        <v>4537000</v>
      </c>
      <c r="D16" s="1949">
        <v>4537000</v>
      </c>
      <c r="E16" s="1949">
        <v>4537000</v>
      </c>
      <c r="F16" s="1949">
        <v>4537000</v>
      </c>
      <c r="G16" s="1949">
        <v>4537000</v>
      </c>
      <c r="H16" s="1949">
        <v>4537000</v>
      </c>
      <c r="I16" s="1949">
        <v>4539000</v>
      </c>
      <c r="J16" s="1949">
        <v>4539000</v>
      </c>
      <c r="K16" s="1949">
        <v>4539000</v>
      </c>
      <c r="L16" s="1949">
        <v>4539000</v>
      </c>
      <c r="M16" s="1949">
        <v>4539000</v>
      </c>
      <c r="N16" s="1949">
        <v>4539000</v>
      </c>
      <c r="O16" s="1744">
        <f t="shared" si="0"/>
        <v>4537923.076923077</v>
      </c>
      <c r="P16" s="97"/>
    </row>
    <row r="17" spans="1:16">
      <c r="A17" s="213" t="s">
        <v>428</v>
      </c>
      <c r="B17" s="1949">
        <v>1760000</v>
      </c>
      <c r="C17" s="1949">
        <v>1760000</v>
      </c>
      <c r="D17" s="1949">
        <v>1760000</v>
      </c>
      <c r="E17" s="1949">
        <v>1760000</v>
      </c>
      <c r="F17" s="1949">
        <v>1760000</v>
      </c>
      <c r="G17" s="1949">
        <v>1760000</v>
      </c>
      <c r="H17" s="1949">
        <v>1760000</v>
      </c>
      <c r="I17" s="1949">
        <v>1760000</v>
      </c>
      <c r="J17" s="1949">
        <v>1760000</v>
      </c>
      <c r="K17" s="1949">
        <v>1760000</v>
      </c>
      <c r="L17" s="1949">
        <v>1760000</v>
      </c>
      <c r="M17" s="1949">
        <v>1760000</v>
      </c>
      <c r="N17" s="1949">
        <v>1760000</v>
      </c>
      <c r="O17" s="1744">
        <f t="shared" si="0"/>
        <v>1760000</v>
      </c>
      <c r="P17" s="97"/>
    </row>
    <row r="18" spans="1:16">
      <c r="A18" s="213" t="s">
        <v>492</v>
      </c>
      <c r="B18" s="1949">
        <v>1931000</v>
      </c>
      <c r="C18" s="1949">
        <v>1931000</v>
      </c>
      <c r="D18" s="1949">
        <v>1931000</v>
      </c>
      <c r="E18" s="1949">
        <v>1931000</v>
      </c>
      <c r="F18" s="1949">
        <v>1931000</v>
      </c>
      <c r="G18" s="1949">
        <v>1931000</v>
      </c>
      <c r="H18" s="1949">
        <v>1931000</v>
      </c>
      <c r="I18" s="1949">
        <v>1931000</v>
      </c>
      <c r="J18" s="1949">
        <v>1931000</v>
      </c>
      <c r="K18" s="1949">
        <v>1931000</v>
      </c>
      <c r="L18" s="1949">
        <v>1931000</v>
      </c>
      <c r="M18" s="1949">
        <v>1931000</v>
      </c>
      <c r="N18" s="1949">
        <v>1931000</v>
      </c>
      <c r="O18" s="1744">
        <f t="shared" si="0"/>
        <v>1931000</v>
      </c>
      <c r="P18" s="97"/>
    </row>
    <row r="19" spans="1:16">
      <c r="A19" s="213" t="s">
        <v>1113</v>
      </c>
      <c r="B19" s="1949">
        <v>3427000</v>
      </c>
      <c r="C19" s="1949">
        <v>3427000</v>
      </c>
      <c r="D19" s="1949">
        <v>3427000</v>
      </c>
      <c r="E19" s="1949">
        <v>3427000</v>
      </c>
      <c r="F19" s="1949">
        <v>3427000</v>
      </c>
      <c r="G19" s="1949">
        <v>3427000</v>
      </c>
      <c r="H19" s="1949">
        <v>3427000</v>
      </c>
      <c r="I19" s="1949">
        <v>3427000</v>
      </c>
      <c r="J19" s="1949">
        <v>3427000</v>
      </c>
      <c r="K19" s="1949">
        <v>3427000</v>
      </c>
      <c r="L19" s="1949">
        <v>3427000</v>
      </c>
      <c r="M19" s="1949">
        <v>3427000</v>
      </c>
      <c r="N19" s="1949">
        <v>3427000</v>
      </c>
      <c r="O19" s="1744">
        <f t="shared" si="0"/>
        <v>3427000</v>
      </c>
      <c r="P19" s="97"/>
    </row>
    <row r="20" spans="1:16">
      <c r="A20" s="213" t="s">
        <v>494</v>
      </c>
      <c r="B20" s="1949">
        <v>4273000</v>
      </c>
      <c r="C20" s="1949">
        <v>4273000</v>
      </c>
      <c r="D20" s="1949">
        <v>4273000</v>
      </c>
      <c r="E20" s="1949">
        <v>4273000</v>
      </c>
      <c r="F20" s="1949">
        <v>4273000</v>
      </c>
      <c r="G20" s="1949">
        <v>4273000</v>
      </c>
      <c r="H20" s="1949">
        <v>4273000</v>
      </c>
      <c r="I20" s="1949">
        <v>4273000</v>
      </c>
      <c r="J20" s="1949">
        <v>4273000</v>
      </c>
      <c r="K20" s="1949">
        <v>4273000</v>
      </c>
      <c r="L20" s="1949">
        <v>4273000</v>
      </c>
      <c r="M20" s="1949">
        <v>4273000</v>
      </c>
      <c r="N20" s="1949">
        <v>4273000</v>
      </c>
      <c r="O20" s="1744">
        <f t="shared" si="0"/>
        <v>4273000</v>
      </c>
      <c r="P20" s="97"/>
    </row>
    <row r="21" spans="1:16">
      <c r="A21" s="213" t="s">
        <v>495</v>
      </c>
      <c r="B21" s="1949">
        <v>135287000</v>
      </c>
      <c r="C21" s="1949">
        <v>135295000</v>
      </c>
      <c r="D21" s="1949">
        <v>135356000</v>
      </c>
      <c r="E21" s="1949">
        <v>135358000</v>
      </c>
      <c r="F21" s="1949">
        <v>149449000</v>
      </c>
      <c r="G21" s="1949">
        <v>149479000</v>
      </c>
      <c r="H21" s="1949">
        <v>149481000</v>
      </c>
      <c r="I21" s="1949">
        <v>149486000</v>
      </c>
      <c r="J21" s="1949">
        <v>149489000</v>
      </c>
      <c r="K21" s="1949">
        <v>149491000</v>
      </c>
      <c r="L21" s="1949">
        <v>149510000</v>
      </c>
      <c r="M21" s="1949">
        <v>149526000</v>
      </c>
      <c r="N21" s="1949">
        <v>152898000</v>
      </c>
      <c r="O21" s="1744">
        <f t="shared" si="0"/>
        <v>145392692.30769232</v>
      </c>
      <c r="P21" s="97"/>
    </row>
    <row r="22" spans="1:16">
      <c r="A22" t="s">
        <v>1346</v>
      </c>
      <c r="B22" s="1949">
        <v>0</v>
      </c>
      <c r="C22" s="1949">
        <v>0</v>
      </c>
      <c r="D22" s="1949">
        <v>0</v>
      </c>
      <c r="E22" s="1949">
        <v>0</v>
      </c>
      <c r="F22" s="1949">
        <v>0</v>
      </c>
      <c r="G22" s="1949">
        <v>0</v>
      </c>
      <c r="H22" s="1949">
        <v>0</v>
      </c>
      <c r="I22" s="1949">
        <v>0</v>
      </c>
      <c r="J22" s="1949">
        <v>0</v>
      </c>
      <c r="K22" s="1949">
        <v>0</v>
      </c>
      <c r="L22" s="1949">
        <v>0</v>
      </c>
      <c r="M22" s="1949">
        <v>0</v>
      </c>
      <c r="N22" s="1949">
        <v>148000</v>
      </c>
      <c r="O22" s="1744">
        <f t="shared" si="0"/>
        <v>11384.615384615385</v>
      </c>
      <c r="P22" s="97"/>
    </row>
    <row r="23" spans="1:16">
      <c r="A23" s="213" t="s">
        <v>1071</v>
      </c>
      <c r="B23" s="1949">
        <v>1383000</v>
      </c>
      <c r="C23" s="1949">
        <v>1384000</v>
      </c>
      <c r="D23" s="1949">
        <v>1384000</v>
      </c>
      <c r="E23" s="1949">
        <v>1384000</v>
      </c>
      <c r="F23" s="1949">
        <v>1384000</v>
      </c>
      <c r="G23" s="1949">
        <v>1384000</v>
      </c>
      <c r="H23" s="1949">
        <v>1384000</v>
      </c>
      <c r="I23" s="1949">
        <v>1384000</v>
      </c>
      <c r="J23" s="1949">
        <v>1384000</v>
      </c>
      <c r="K23" s="1949">
        <v>1384000</v>
      </c>
      <c r="L23" s="1949">
        <v>1384000</v>
      </c>
      <c r="M23" s="1949">
        <v>1384000</v>
      </c>
      <c r="N23" s="1949">
        <v>1384000</v>
      </c>
      <c r="O23" s="1744">
        <f t="shared" si="0"/>
        <v>1383923.076923077</v>
      </c>
      <c r="P23" s="97"/>
    </row>
    <row r="24" spans="1:16">
      <c r="A24" s="213" t="s">
        <v>1179</v>
      </c>
      <c r="B24" s="1949">
        <v>262441000</v>
      </c>
      <c r="C24" s="1949">
        <v>262242000</v>
      </c>
      <c r="D24" s="1949">
        <v>266874000</v>
      </c>
      <c r="E24" s="1949">
        <v>269967000</v>
      </c>
      <c r="F24" s="1949">
        <v>250945000</v>
      </c>
      <c r="G24" s="1949">
        <v>250369000</v>
      </c>
      <c r="H24" s="1949">
        <v>250456000</v>
      </c>
      <c r="I24" s="1949">
        <v>249280000</v>
      </c>
      <c r="J24" s="1949">
        <v>249777000</v>
      </c>
      <c r="K24" s="1949">
        <v>250165000</v>
      </c>
      <c r="L24" s="1949">
        <v>261278000</v>
      </c>
      <c r="M24" s="1949">
        <v>261329000</v>
      </c>
      <c r="N24" s="1949">
        <f>267189000+4000</f>
        <v>267193000</v>
      </c>
      <c r="O24" s="1744">
        <f t="shared" si="0"/>
        <v>257870461.53846154</v>
      </c>
      <c r="P24" s="97"/>
    </row>
    <row r="25" spans="1:16">
      <c r="A25" s="213" t="s">
        <v>496</v>
      </c>
      <c r="B25" s="1949">
        <v>4275000</v>
      </c>
      <c r="C25" s="1949">
        <v>4275000</v>
      </c>
      <c r="D25" s="1949">
        <v>4275000</v>
      </c>
      <c r="E25" s="1949">
        <v>4275000</v>
      </c>
      <c r="F25" s="1949">
        <v>4275000</v>
      </c>
      <c r="G25" s="1949">
        <v>4275000</v>
      </c>
      <c r="H25" s="1949">
        <v>4275000</v>
      </c>
      <c r="I25" s="1949">
        <v>4275000</v>
      </c>
      <c r="J25" s="1949">
        <v>4275000</v>
      </c>
      <c r="K25" s="1949">
        <v>4275000</v>
      </c>
      <c r="L25" s="1949">
        <v>4275000</v>
      </c>
      <c r="M25" s="1949">
        <v>4275000</v>
      </c>
      <c r="N25" s="1949">
        <v>4275000</v>
      </c>
      <c r="O25" s="1744">
        <f t="shared" si="0"/>
        <v>4275000</v>
      </c>
      <c r="P25" s="97"/>
    </row>
    <row r="26" spans="1:16">
      <c r="A26" s="213" t="s">
        <v>1172</v>
      </c>
      <c r="B26" s="1949">
        <v>663000</v>
      </c>
      <c r="C26" s="1949">
        <v>663000</v>
      </c>
      <c r="D26" s="1949">
        <v>663000</v>
      </c>
      <c r="E26" s="1949">
        <v>663000</v>
      </c>
      <c r="F26" s="1949">
        <v>663000</v>
      </c>
      <c r="G26" s="1949">
        <v>663000</v>
      </c>
      <c r="H26" s="1949">
        <v>663000</v>
      </c>
      <c r="I26" s="1949">
        <v>663000</v>
      </c>
      <c r="J26" s="1949">
        <v>663000</v>
      </c>
      <c r="K26" s="1949">
        <v>663000</v>
      </c>
      <c r="L26" s="1949">
        <v>663000</v>
      </c>
      <c r="M26" s="1949">
        <v>663000</v>
      </c>
      <c r="N26" s="1949">
        <v>663000</v>
      </c>
      <c r="O26" s="1744">
        <f t="shared" si="0"/>
        <v>663000</v>
      </c>
      <c r="P26" s="97"/>
    </row>
    <row r="27" spans="1:16">
      <c r="A27" s="213" t="s">
        <v>497</v>
      </c>
      <c r="B27" s="1949">
        <v>174326000</v>
      </c>
      <c r="C27" s="1949">
        <v>174314000</v>
      </c>
      <c r="D27" s="1949">
        <v>174314000</v>
      </c>
      <c r="E27" s="1949">
        <v>174314000</v>
      </c>
      <c r="F27" s="1949">
        <v>174302000</v>
      </c>
      <c r="G27" s="1949">
        <v>172448000</v>
      </c>
      <c r="H27" s="1949">
        <v>171563000</v>
      </c>
      <c r="I27" s="1949">
        <v>170319000</v>
      </c>
      <c r="J27" s="1949">
        <v>170272000</v>
      </c>
      <c r="K27" s="1949">
        <v>170182000</v>
      </c>
      <c r="L27" s="1949">
        <v>169904000</v>
      </c>
      <c r="M27" s="1949">
        <v>169904000</v>
      </c>
      <c r="N27" s="1949">
        <v>169904000</v>
      </c>
      <c r="O27" s="1744">
        <f t="shared" si="0"/>
        <v>172005076.92307693</v>
      </c>
      <c r="P27" s="97"/>
    </row>
    <row r="28" spans="1:16">
      <c r="A28" s="213" t="s">
        <v>498</v>
      </c>
      <c r="B28" s="1949">
        <v>26954000</v>
      </c>
      <c r="C28" s="1949">
        <v>26954000</v>
      </c>
      <c r="D28" s="1949">
        <v>27426000</v>
      </c>
      <c r="E28" s="1949">
        <v>27426000</v>
      </c>
      <c r="F28" s="1949">
        <v>27426000</v>
      </c>
      <c r="G28" s="1949">
        <v>27426000</v>
      </c>
      <c r="H28" s="1949">
        <v>27426000</v>
      </c>
      <c r="I28" s="1949">
        <v>27426000</v>
      </c>
      <c r="J28" s="1949">
        <v>27426000</v>
      </c>
      <c r="K28" s="1949">
        <v>27426000</v>
      </c>
      <c r="L28" s="1949">
        <v>27426000</v>
      </c>
      <c r="M28" s="1949">
        <v>27426000</v>
      </c>
      <c r="N28" s="1949">
        <v>27426000</v>
      </c>
      <c r="O28" s="1744">
        <f t="shared" si="0"/>
        <v>27353384.615384616</v>
      </c>
      <c r="P28" s="97"/>
    </row>
    <row r="29" spans="1:16">
      <c r="A29" s="213" t="s">
        <v>502</v>
      </c>
      <c r="B29" s="1949">
        <v>5744000</v>
      </c>
      <c r="C29" s="1949">
        <v>5744000</v>
      </c>
      <c r="D29" s="1949">
        <v>5744000</v>
      </c>
      <c r="E29" s="1949">
        <v>5744000</v>
      </c>
      <c r="F29" s="1949">
        <v>5744000</v>
      </c>
      <c r="G29" s="1949">
        <v>5744000</v>
      </c>
      <c r="H29" s="1949">
        <v>5744000</v>
      </c>
      <c r="I29" s="1949">
        <v>5744000</v>
      </c>
      <c r="J29" s="1949">
        <v>5744000</v>
      </c>
      <c r="K29" s="1949">
        <v>5744000</v>
      </c>
      <c r="L29" s="1949">
        <v>5744000</v>
      </c>
      <c r="M29" s="1949">
        <v>5744000</v>
      </c>
      <c r="N29" s="1949">
        <v>5744000</v>
      </c>
      <c r="O29" s="1744">
        <f t="shared" si="0"/>
        <v>5744000</v>
      </c>
      <c r="P29" s="97"/>
    </row>
    <row r="30" spans="1:16">
      <c r="A30" s="213" t="s">
        <v>503</v>
      </c>
      <c r="B30" s="1949">
        <v>1511000</v>
      </c>
      <c r="C30" s="1949">
        <v>1510000</v>
      </c>
      <c r="D30" s="1949">
        <v>1510000</v>
      </c>
      <c r="E30" s="1949">
        <v>1510000</v>
      </c>
      <c r="F30" s="1949">
        <v>1510000</v>
      </c>
      <c r="G30" s="1949">
        <v>1510000</v>
      </c>
      <c r="H30" s="1949">
        <v>1510000</v>
      </c>
      <c r="I30" s="1949">
        <v>1510000</v>
      </c>
      <c r="J30" s="1949">
        <v>1510000</v>
      </c>
      <c r="K30" s="1949">
        <v>1510000</v>
      </c>
      <c r="L30" s="1949">
        <v>1510000</v>
      </c>
      <c r="M30" s="1949">
        <v>1510000</v>
      </c>
      <c r="N30" s="1949">
        <v>1510000</v>
      </c>
      <c r="O30" s="1744">
        <f t="shared" si="0"/>
        <v>1510076.923076923</v>
      </c>
      <c r="P30" s="97"/>
    </row>
    <row r="31" spans="1:16">
      <c r="A31" s="213" t="s">
        <v>504</v>
      </c>
      <c r="B31" s="1949">
        <v>126938000</v>
      </c>
      <c r="C31" s="1949">
        <v>127268000</v>
      </c>
      <c r="D31" s="1949">
        <v>127289000</v>
      </c>
      <c r="E31" s="1949">
        <v>127242000</v>
      </c>
      <c r="F31" s="1949">
        <v>132436000</v>
      </c>
      <c r="G31" s="1949">
        <v>132010000</v>
      </c>
      <c r="H31" s="1949">
        <v>236614000</v>
      </c>
      <c r="I31" s="1949">
        <v>237323000</v>
      </c>
      <c r="J31" s="1949">
        <v>237777000</v>
      </c>
      <c r="K31" s="1949">
        <v>239181000</v>
      </c>
      <c r="L31" s="1949">
        <v>239776000</v>
      </c>
      <c r="M31" s="1949">
        <v>241062000</v>
      </c>
      <c r="N31" s="1949">
        <v>353810000</v>
      </c>
      <c r="O31" s="1744">
        <f t="shared" si="0"/>
        <v>196825076.92307693</v>
      </c>
      <c r="P31" s="97"/>
    </row>
    <row r="32" spans="1:16">
      <c r="A32" s="213" t="s">
        <v>506</v>
      </c>
      <c r="B32" s="1949">
        <v>3520000</v>
      </c>
      <c r="C32" s="1949">
        <v>3520000</v>
      </c>
      <c r="D32" s="1949">
        <v>3520000</v>
      </c>
      <c r="E32" s="1949">
        <v>3520000</v>
      </c>
      <c r="F32" s="1949">
        <v>3520000</v>
      </c>
      <c r="G32" s="1949">
        <v>3520000</v>
      </c>
      <c r="H32" s="1949">
        <v>3520000</v>
      </c>
      <c r="I32" s="1949">
        <v>3520000</v>
      </c>
      <c r="J32" s="1949">
        <v>3520000</v>
      </c>
      <c r="K32" s="1949">
        <v>3520000</v>
      </c>
      <c r="L32" s="1949">
        <v>3520000</v>
      </c>
      <c r="M32" s="1949">
        <v>3520000</v>
      </c>
      <c r="N32" s="1949">
        <v>3520000</v>
      </c>
      <c r="O32" s="1744">
        <f t="shared" si="0"/>
        <v>3520000</v>
      </c>
      <c r="P32" s="97"/>
    </row>
    <row r="33" spans="1:16">
      <c r="A33" s="213" t="s">
        <v>1114</v>
      </c>
      <c r="B33" s="1949">
        <v>1480000</v>
      </c>
      <c r="C33" s="1949">
        <v>1480000</v>
      </c>
      <c r="D33" s="1949">
        <v>1480000</v>
      </c>
      <c r="E33" s="1949">
        <v>1480000</v>
      </c>
      <c r="F33" s="1949">
        <v>1480000</v>
      </c>
      <c r="G33" s="1949">
        <v>1480000</v>
      </c>
      <c r="H33" s="1949">
        <v>1480000</v>
      </c>
      <c r="I33" s="1949">
        <v>1480000</v>
      </c>
      <c r="J33" s="1949">
        <v>1480000</v>
      </c>
      <c r="K33" s="1949">
        <v>1480000</v>
      </c>
      <c r="L33" s="1949">
        <v>1480000</v>
      </c>
      <c r="M33" s="1949">
        <v>1480000</v>
      </c>
      <c r="N33" s="1949">
        <v>1480000</v>
      </c>
      <c r="O33" s="1744">
        <f t="shared" si="0"/>
        <v>1480000</v>
      </c>
      <c r="P33" s="97"/>
    </row>
    <row r="34" spans="1:16">
      <c r="A34" s="213" t="s">
        <v>507</v>
      </c>
      <c r="B34" s="1949">
        <v>5491000</v>
      </c>
      <c r="C34" s="1949">
        <v>5491000</v>
      </c>
      <c r="D34" s="1949">
        <v>5491000</v>
      </c>
      <c r="E34" s="1949">
        <v>5491000</v>
      </c>
      <c r="F34" s="1949">
        <v>5491000</v>
      </c>
      <c r="G34" s="1949">
        <v>5491000</v>
      </c>
      <c r="H34" s="1949">
        <v>5491000</v>
      </c>
      <c r="I34" s="1949">
        <v>5491000</v>
      </c>
      <c r="J34" s="1949">
        <v>5491000</v>
      </c>
      <c r="K34" s="1949">
        <v>5491000</v>
      </c>
      <c r="L34" s="1949">
        <v>5491000</v>
      </c>
      <c r="M34" s="1949">
        <v>5491000</v>
      </c>
      <c r="N34" s="1949">
        <v>5491000</v>
      </c>
      <c r="O34" s="1744">
        <f t="shared" si="0"/>
        <v>5491000</v>
      </c>
      <c r="P34" s="97"/>
    </row>
    <row r="35" spans="1:16">
      <c r="A35" s="213" t="s">
        <v>1152</v>
      </c>
      <c r="B35" s="1949">
        <v>273473000</v>
      </c>
      <c r="C35" s="1949">
        <v>274077000</v>
      </c>
      <c r="D35" s="1949">
        <v>274176000</v>
      </c>
      <c r="E35" s="1949">
        <v>275311000</v>
      </c>
      <c r="F35" s="1949">
        <v>276816000</v>
      </c>
      <c r="G35" s="1949">
        <v>280523000</v>
      </c>
      <c r="H35" s="1949">
        <v>211842000</v>
      </c>
      <c r="I35" s="1949">
        <v>212918000</v>
      </c>
      <c r="J35" s="1949">
        <v>213564000</v>
      </c>
      <c r="K35" s="1949">
        <v>219975000</v>
      </c>
      <c r="L35" s="1949">
        <v>224080000</v>
      </c>
      <c r="M35" s="1949">
        <v>225304000</v>
      </c>
      <c r="N35" s="1949">
        <v>231895000</v>
      </c>
      <c r="O35" s="1744">
        <f t="shared" si="0"/>
        <v>245688769.23076922</v>
      </c>
      <c r="P35" s="97"/>
    </row>
    <row r="36" spans="1:16">
      <c r="A36" s="213" t="s">
        <v>1153</v>
      </c>
      <c r="B36" s="1949">
        <v>158051000</v>
      </c>
      <c r="C36" s="1949">
        <v>157973000</v>
      </c>
      <c r="D36" s="1949">
        <v>157973000</v>
      </c>
      <c r="E36" s="1949">
        <v>157958000</v>
      </c>
      <c r="F36" s="1949">
        <v>157709000</v>
      </c>
      <c r="G36" s="1949">
        <v>157178000</v>
      </c>
      <c r="H36" s="1949">
        <v>157044000</v>
      </c>
      <c r="I36" s="1949">
        <v>156817000</v>
      </c>
      <c r="J36" s="1949">
        <v>156817000</v>
      </c>
      <c r="K36" s="1949">
        <v>156725000</v>
      </c>
      <c r="L36" s="1949">
        <v>156662000</v>
      </c>
      <c r="M36" s="1949">
        <v>156635000</v>
      </c>
      <c r="N36" s="1949">
        <v>156635000</v>
      </c>
      <c r="O36" s="1744">
        <f t="shared" si="0"/>
        <v>157244384.61538461</v>
      </c>
      <c r="P36" s="97"/>
    </row>
    <row r="37" spans="1:16">
      <c r="A37" s="213" t="s">
        <v>1115</v>
      </c>
      <c r="B37" s="1949">
        <v>7369000</v>
      </c>
      <c r="C37" s="1949">
        <v>7369000</v>
      </c>
      <c r="D37" s="1949">
        <v>7369000</v>
      </c>
      <c r="E37" s="1949">
        <v>7369000</v>
      </c>
      <c r="F37" s="1949">
        <v>7369000</v>
      </c>
      <c r="G37" s="1949">
        <v>7369000</v>
      </c>
      <c r="H37" s="1949">
        <v>7369000</v>
      </c>
      <c r="I37" s="1949">
        <v>7369000</v>
      </c>
      <c r="J37" s="1949">
        <v>7369000</v>
      </c>
      <c r="K37" s="1949">
        <v>7369000</v>
      </c>
      <c r="L37" s="1949">
        <v>7369000</v>
      </c>
      <c r="M37" s="1949">
        <v>7369000</v>
      </c>
      <c r="N37" s="1949">
        <v>7369000</v>
      </c>
      <c r="O37" s="1744">
        <f t="shared" si="0"/>
        <v>7369000</v>
      </c>
      <c r="P37" s="97"/>
    </row>
    <row r="38" spans="1:16">
      <c r="A38" s="213" t="s">
        <v>1116</v>
      </c>
      <c r="B38" s="1949">
        <v>214000</v>
      </c>
      <c r="C38" s="1949">
        <v>214000</v>
      </c>
      <c r="D38" s="1949">
        <v>214000</v>
      </c>
      <c r="E38" s="1949">
        <v>214000</v>
      </c>
      <c r="F38" s="1949">
        <v>214000</v>
      </c>
      <c r="G38" s="1949">
        <v>214000</v>
      </c>
      <c r="H38" s="1949">
        <v>214000</v>
      </c>
      <c r="I38" s="1949">
        <v>214000</v>
      </c>
      <c r="J38" s="1949">
        <v>214000</v>
      </c>
      <c r="K38" s="1949">
        <v>214000</v>
      </c>
      <c r="L38" s="1949">
        <v>214000</v>
      </c>
      <c r="M38" s="1949">
        <v>214000</v>
      </c>
      <c r="N38" s="1949">
        <v>214000</v>
      </c>
      <c r="O38" s="1744">
        <f t="shared" si="0"/>
        <v>214000</v>
      </c>
      <c r="P38" s="97"/>
    </row>
    <row r="39" spans="1:16">
      <c r="A39" s="213" t="s">
        <v>511</v>
      </c>
      <c r="B39" s="1949">
        <v>12701000</v>
      </c>
      <c r="C39" s="1949">
        <v>12701000</v>
      </c>
      <c r="D39" s="1949">
        <v>12701000</v>
      </c>
      <c r="E39" s="1949">
        <v>12701000</v>
      </c>
      <c r="F39" s="1949">
        <v>12701000</v>
      </c>
      <c r="G39" s="1949">
        <v>12701000</v>
      </c>
      <c r="H39" s="1949">
        <v>12701000</v>
      </c>
      <c r="I39" s="1949">
        <v>12701000</v>
      </c>
      <c r="J39" s="1949">
        <v>12701000</v>
      </c>
      <c r="K39" s="1949">
        <v>12701000</v>
      </c>
      <c r="L39" s="1949">
        <v>12701000</v>
      </c>
      <c r="M39" s="1949">
        <v>12701000</v>
      </c>
      <c r="N39" s="1949">
        <v>12701000</v>
      </c>
      <c r="O39" s="1744">
        <f t="shared" si="0"/>
        <v>12701000</v>
      </c>
      <c r="P39" s="97"/>
    </row>
    <row r="40" spans="1:16">
      <c r="A40" s="213" t="s">
        <v>1117</v>
      </c>
      <c r="B40" s="1949">
        <v>536000</v>
      </c>
      <c r="C40" s="1949">
        <v>536000</v>
      </c>
      <c r="D40" s="1949">
        <v>536000</v>
      </c>
      <c r="E40" s="1949">
        <v>536000</v>
      </c>
      <c r="F40" s="1949">
        <v>536000</v>
      </c>
      <c r="G40" s="1949">
        <v>536000</v>
      </c>
      <c r="H40" s="1949">
        <v>536000</v>
      </c>
      <c r="I40" s="1949">
        <v>536000</v>
      </c>
      <c r="J40" s="1949">
        <v>536000</v>
      </c>
      <c r="K40" s="1949">
        <v>536000</v>
      </c>
      <c r="L40" s="1949">
        <v>536000</v>
      </c>
      <c r="M40" s="1949">
        <v>536000</v>
      </c>
      <c r="N40" s="1949">
        <v>536000</v>
      </c>
      <c r="O40" s="1744">
        <f t="shared" si="0"/>
        <v>536000</v>
      </c>
      <c r="P40" s="97"/>
    </row>
    <row r="41" spans="1:16">
      <c r="A41" s="213" t="s">
        <v>512</v>
      </c>
      <c r="B41" s="1949">
        <v>5181000</v>
      </c>
      <c r="C41" s="1949">
        <v>5181000</v>
      </c>
      <c r="D41" s="1949">
        <v>5181000</v>
      </c>
      <c r="E41" s="1949">
        <v>5181000</v>
      </c>
      <c r="F41" s="1949">
        <v>5181000</v>
      </c>
      <c r="G41" s="1949">
        <v>5181000</v>
      </c>
      <c r="H41" s="1949">
        <v>5181000</v>
      </c>
      <c r="I41" s="1949">
        <v>5181000</v>
      </c>
      <c r="J41" s="1949">
        <v>5181000</v>
      </c>
      <c r="K41" s="1949">
        <v>5181000</v>
      </c>
      <c r="L41" s="1949">
        <v>5181000</v>
      </c>
      <c r="M41" s="1949">
        <v>5181000</v>
      </c>
      <c r="N41" s="1949">
        <v>5181000</v>
      </c>
      <c r="O41" s="1744">
        <f t="shared" si="0"/>
        <v>5181000</v>
      </c>
      <c r="P41" s="97"/>
    </row>
    <row r="42" spans="1:16">
      <c r="A42" s="213" t="s">
        <v>513</v>
      </c>
      <c r="B42" s="1949">
        <v>101517000</v>
      </c>
      <c r="C42" s="1949">
        <v>101533000</v>
      </c>
      <c r="D42" s="1949">
        <v>101533000</v>
      </c>
      <c r="E42" s="1949">
        <v>101533000</v>
      </c>
      <c r="F42" s="1949">
        <v>101533000</v>
      </c>
      <c r="G42" s="1949">
        <v>101542000</v>
      </c>
      <c r="H42" s="1949">
        <v>93227000</v>
      </c>
      <c r="I42" s="1949">
        <v>93644000</v>
      </c>
      <c r="J42" s="1949">
        <v>93723000</v>
      </c>
      <c r="K42" s="1949">
        <v>93595000</v>
      </c>
      <c r="L42" s="1949">
        <v>93697000</v>
      </c>
      <c r="M42" s="1949">
        <v>93766000</v>
      </c>
      <c r="N42" s="1949">
        <v>201493000</v>
      </c>
      <c r="O42" s="1744">
        <f t="shared" si="0"/>
        <v>105564307.6923077</v>
      </c>
      <c r="P42" s="97"/>
    </row>
    <row r="43" spans="1:16">
      <c r="A43" s="213" t="s">
        <v>429</v>
      </c>
      <c r="B43" s="1949">
        <v>95577000</v>
      </c>
      <c r="C43" s="1949">
        <v>96534000</v>
      </c>
      <c r="D43" s="1949">
        <v>96762000</v>
      </c>
      <c r="E43" s="1949">
        <v>97203000</v>
      </c>
      <c r="F43" s="1949">
        <v>97470000</v>
      </c>
      <c r="G43" s="1949">
        <v>94287000</v>
      </c>
      <c r="H43" s="1949">
        <v>62681000</v>
      </c>
      <c r="I43" s="1949">
        <v>62911000</v>
      </c>
      <c r="J43" s="1949">
        <v>62921000</v>
      </c>
      <c r="K43" s="1949">
        <v>62773000</v>
      </c>
      <c r="L43" s="1949">
        <v>62813000</v>
      </c>
      <c r="M43" s="1949">
        <v>62795000</v>
      </c>
      <c r="N43" s="1949">
        <v>62978000</v>
      </c>
      <c r="O43" s="1744">
        <f t="shared" si="0"/>
        <v>78285000</v>
      </c>
      <c r="P43" s="97"/>
    </row>
    <row r="44" spans="1:16">
      <c r="A44" s="213" t="s">
        <v>1118</v>
      </c>
      <c r="B44" s="1949">
        <v>6094000</v>
      </c>
      <c r="C44" s="1949">
        <v>6094000</v>
      </c>
      <c r="D44" s="1949">
        <v>6094000</v>
      </c>
      <c r="E44" s="1949">
        <v>6094000</v>
      </c>
      <c r="F44" s="1949">
        <v>6094000</v>
      </c>
      <c r="G44" s="1949">
        <v>6094000</v>
      </c>
      <c r="H44" s="1949">
        <v>6094000</v>
      </c>
      <c r="I44" s="1949">
        <v>6094000</v>
      </c>
      <c r="J44" s="1949">
        <v>6094000</v>
      </c>
      <c r="K44" s="1949">
        <v>6094000</v>
      </c>
      <c r="L44" s="1949">
        <v>6094000</v>
      </c>
      <c r="M44" s="1949">
        <v>6094000</v>
      </c>
      <c r="N44" s="1949">
        <v>6094000</v>
      </c>
      <c r="O44" s="1744">
        <f t="shared" si="0"/>
        <v>6094000</v>
      </c>
      <c r="P44" s="97"/>
    </row>
    <row r="45" spans="1:16">
      <c r="A45" s="213" t="s">
        <v>1119</v>
      </c>
      <c r="B45" s="1949">
        <v>683000</v>
      </c>
      <c r="C45" s="1949">
        <v>683000</v>
      </c>
      <c r="D45" s="1949">
        <v>683000</v>
      </c>
      <c r="E45" s="1949">
        <v>683000</v>
      </c>
      <c r="F45" s="1949">
        <v>683000</v>
      </c>
      <c r="G45" s="1949">
        <v>683000</v>
      </c>
      <c r="H45" s="1949">
        <v>683000</v>
      </c>
      <c r="I45" s="1949">
        <v>683000</v>
      </c>
      <c r="J45" s="1949">
        <v>683000</v>
      </c>
      <c r="K45" s="1949">
        <v>683000</v>
      </c>
      <c r="L45" s="1949">
        <v>683000</v>
      </c>
      <c r="M45" s="1949">
        <v>683000</v>
      </c>
      <c r="N45" s="1949">
        <v>683000</v>
      </c>
      <c r="O45" s="1744">
        <f t="shared" si="0"/>
        <v>683000</v>
      </c>
      <c r="P45" s="97"/>
    </row>
    <row r="46" spans="1:16">
      <c r="A46" s="213" t="s">
        <v>514</v>
      </c>
      <c r="B46" s="1949">
        <v>125606000</v>
      </c>
      <c r="C46" s="1949">
        <v>125502000</v>
      </c>
      <c r="D46" s="1949">
        <v>125502000</v>
      </c>
      <c r="E46" s="1949">
        <v>125502000</v>
      </c>
      <c r="F46" s="1949">
        <v>125502000</v>
      </c>
      <c r="G46" s="1949">
        <v>125611000</v>
      </c>
      <c r="H46" s="1949">
        <v>125611000</v>
      </c>
      <c r="I46" s="1949">
        <v>125579000</v>
      </c>
      <c r="J46" s="1949">
        <v>125579000</v>
      </c>
      <c r="K46" s="1949">
        <v>125567000</v>
      </c>
      <c r="L46" s="1949">
        <v>125566000</v>
      </c>
      <c r="M46" s="1949">
        <v>125566000</v>
      </c>
      <c r="N46" s="1949">
        <v>125566000</v>
      </c>
      <c r="O46" s="1744">
        <f t="shared" si="0"/>
        <v>125558384.61538461</v>
      </c>
      <c r="P46" s="97"/>
    </row>
    <row r="47" spans="1:16">
      <c r="A47" s="213" t="s">
        <v>530</v>
      </c>
      <c r="B47" s="1949">
        <v>701000</v>
      </c>
      <c r="C47" s="1949">
        <v>701000</v>
      </c>
      <c r="D47" s="1949">
        <v>701000</v>
      </c>
      <c r="E47" s="1949">
        <v>701000</v>
      </c>
      <c r="F47" s="1949">
        <v>701000</v>
      </c>
      <c r="G47" s="1949">
        <v>701000</v>
      </c>
      <c r="H47" s="1949">
        <v>701000</v>
      </c>
      <c r="I47" s="1949">
        <v>701000</v>
      </c>
      <c r="J47" s="1949">
        <v>701000</v>
      </c>
      <c r="K47" s="1949">
        <v>701000</v>
      </c>
      <c r="L47" s="1949">
        <v>701000</v>
      </c>
      <c r="M47" s="1949">
        <v>701000</v>
      </c>
      <c r="N47" s="1949">
        <v>701000</v>
      </c>
      <c r="O47" s="1744">
        <f t="shared" si="0"/>
        <v>701000</v>
      </c>
      <c r="P47" s="97"/>
    </row>
    <row r="48" spans="1:16">
      <c r="A48" s="213" t="s">
        <v>531</v>
      </c>
      <c r="B48" s="1949">
        <v>2933000</v>
      </c>
      <c r="C48" s="1949">
        <v>2933000</v>
      </c>
      <c r="D48" s="1949">
        <v>2933000</v>
      </c>
      <c r="E48" s="1949">
        <v>2933000</v>
      </c>
      <c r="F48" s="1949">
        <v>2933000</v>
      </c>
      <c r="G48" s="1949">
        <v>6261000</v>
      </c>
      <c r="H48" s="1949">
        <v>6254000</v>
      </c>
      <c r="I48" s="1949">
        <v>6255000</v>
      </c>
      <c r="J48" s="1949">
        <v>6215000</v>
      </c>
      <c r="K48" s="1949">
        <v>6259000</v>
      </c>
      <c r="L48" s="1949">
        <v>6205000</v>
      </c>
      <c r="M48" s="1949">
        <v>6206000</v>
      </c>
      <c r="N48" s="1949">
        <v>6207000</v>
      </c>
      <c r="O48" s="1744">
        <f t="shared" si="0"/>
        <v>4963615.384615385</v>
      </c>
      <c r="P48" s="97"/>
    </row>
    <row r="49" spans="1:16">
      <c r="A49" s="213" t="s">
        <v>532</v>
      </c>
      <c r="B49" s="1949">
        <v>820000</v>
      </c>
      <c r="C49" s="1949">
        <v>820000</v>
      </c>
      <c r="D49" s="1949">
        <v>820000</v>
      </c>
      <c r="E49" s="1949">
        <v>820000</v>
      </c>
      <c r="F49" s="1949">
        <v>820000</v>
      </c>
      <c r="G49" s="1949">
        <v>820000</v>
      </c>
      <c r="H49" s="1949">
        <v>5697000</v>
      </c>
      <c r="I49" s="1949">
        <v>5697000</v>
      </c>
      <c r="J49" s="1949">
        <v>5697000</v>
      </c>
      <c r="K49" s="1949">
        <v>5697000</v>
      </c>
      <c r="L49" s="1949">
        <v>5697000</v>
      </c>
      <c r="M49" s="1949">
        <v>5697000</v>
      </c>
      <c r="N49" s="1949">
        <v>5697000</v>
      </c>
      <c r="O49" s="1744">
        <f t="shared" si="0"/>
        <v>3446076.923076923</v>
      </c>
      <c r="P49" s="97"/>
    </row>
    <row r="50" spans="1:16">
      <c r="A50" s="213" t="s">
        <v>536</v>
      </c>
      <c r="B50" s="1949">
        <v>568000</v>
      </c>
      <c r="C50" s="1949">
        <v>568000</v>
      </c>
      <c r="D50" s="1949">
        <v>568000</v>
      </c>
      <c r="E50" s="1949">
        <v>568000</v>
      </c>
      <c r="F50" s="1949">
        <v>568000</v>
      </c>
      <c r="G50" s="1949">
        <v>568000</v>
      </c>
      <c r="H50" s="1949">
        <v>568000</v>
      </c>
      <c r="I50" s="1949">
        <v>568000</v>
      </c>
      <c r="J50" s="1949">
        <v>568000</v>
      </c>
      <c r="K50" s="1949">
        <v>568000</v>
      </c>
      <c r="L50" s="1949">
        <v>568000</v>
      </c>
      <c r="M50" s="1949">
        <v>568000</v>
      </c>
      <c r="N50" s="1949">
        <v>568000</v>
      </c>
      <c r="O50" s="1744">
        <f t="shared" si="0"/>
        <v>568000</v>
      </c>
      <c r="P50" s="97"/>
    </row>
    <row r="51" spans="1:16">
      <c r="A51" s="1333" t="s">
        <v>1149</v>
      </c>
      <c r="B51" s="835">
        <f t="shared" ref="B51:O51" si="1">SUM(B6:B50)</f>
        <v>1618606000</v>
      </c>
      <c r="C51" s="835">
        <f t="shared" si="1"/>
        <v>1627616000</v>
      </c>
      <c r="D51" s="835">
        <f t="shared" si="1"/>
        <v>1632713000</v>
      </c>
      <c r="E51" s="835">
        <f t="shared" si="1"/>
        <v>1637392000</v>
      </c>
      <c r="F51" s="835">
        <f t="shared" si="1"/>
        <v>1639167000</v>
      </c>
      <c r="G51" s="835">
        <f t="shared" si="1"/>
        <v>1639781000</v>
      </c>
      <c r="H51" s="835">
        <f t="shared" si="1"/>
        <v>1639771000</v>
      </c>
      <c r="I51" s="835">
        <f t="shared" si="1"/>
        <v>1639599000</v>
      </c>
      <c r="J51" s="835">
        <f t="shared" si="1"/>
        <v>1641264000</v>
      </c>
      <c r="K51" s="835">
        <f t="shared" si="1"/>
        <v>1649046000</v>
      </c>
      <c r="L51" s="835">
        <f t="shared" si="1"/>
        <v>1664658000</v>
      </c>
      <c r="M51" s="835">
        <f t="shared" si="1"/>
        <v>1667293000</v>
      </c>
      <c r="N51" s="835">
        <f t="shared" si="1"/>
        <v>1904015000</v>
      </c>
      <c r="O51" s="835">
        <f t="shared" si="1"/>
        <v>1661609307.6923075</v>
      </c>
      <c r="P51" s="97"/>
    </row>
    <row r="52" spans="1:16">
      <c r="A52" s="631"/>
      <c r="B52" s="374"/>
      <c r="C52" s="374"/>
      <c r="D52" s="374"/>
      <c r="E52" s="374"/>
      <c r="F52" s="374"/>
      <c r="G52" s="374"/>
      <c r="H52" s="374"/>
      <c r="I52" s="374"/>
      <c r="J52" s="374"/>
      <c r="K52" s="374"/>
      <c r="L52" s="374"/>
      <c r="M52" s="374"/>
      <c r="N52" s="374"/>
      <c r="O52" s="374"/>
      <c r="P52" s="97"/>
    </row>
    <row r="53" spans="1:16">
      <c r="A53" s="1809" t="s">
        <v>1170</v>
      </c>
      <c r="B53" s="835">
        <v>1971000</v>
      </c>
      <c r="C53" s="835">
        <v>1971000</v>
      </c>
      <c r="D53" s="835">
        <v>1971000</v>
      </c>
      <c r="E53" s="835">
        <v>1971000</v>
      </c>
      <c r="F53" s="835">
        <v>1971000</v>
      </c>
      <c r="G53" s="835">
        <v>1971000</v>
      </c>
      <c r="H53" s="835">
        <v>1971000</v>
      </c>
      <c r="I53" s="835">
        <v>1971000</v>
      </c>
      <c r="J53" s="835">
        <v>1971000</v>
      </c>
      <c r="K53" s="835">
        <v>1971000</v>
      </c>
      <c r="L53" s="835">
        <v>1971000</v>
      </c>
      <c r="M53" s="835">
        <v>1971000</v>
      </c>
      <c r="N53" s="835">
        <v>1558000</v>
      </c>
      <c r="O53" s="835">
        <f>AVERAGE(B53:N53)</f>
        <v>1939230.7692307692</v>
      </c>
      <c r="P53" s="97"/>
    </row>
    <row r="54" spans="1:16">
      <c r="A54" s="104"/>
      <c r="B54" s="1808"/>
      <c r="C54" s="1808"/>
      <c r="D54" s="1808"/>
      <c r="E54" s="1808"/>
      <c r="F54" s="1808"/>
      <c r="G54" s="1808"/>
      <c r="H54" s="1808"/>
      <c r="I54" s="1808"/>
      <c r="J54" s="1808"/>
      <c r="K54" s="1808"/>
      <c r="L54" s="1808"/>
      <c r="M54" s="1808"/>
      <c r="N54" s="1808"/>
      <c r="O54" s="1744"/>
      <c r="P54" s="97"/>
    </row>
    <row r="55" spans="1:16">
      <c r="A55" t="s">
        <v>1154</v>
      </c>
      <c r="B55" s="184">
        <v>10000</v>
      </c>
      <c r="C55" s="184">
        <v>10000</v>
      </c>
      <c r="D55" s="184">
        <v>10000</v>
      </c>
      <c r="E55" s="184">
        <v>10000</v>
      </c>
      <c r="F55" s="184">
        <v>10000</v>
      </c>
      <c r="G55" s="184">
        <v>10000</v>
      </c>
      <c r="H55" s="184">
        <v>10000</v>
      </c>
      <c r="I55" s="184">
        <v>10000</v>
      </c>
      <c r="J55" s="184">
        <v>10000</v>
      </c>
      <c r="K55" s="184">
        <v>10000</v>
      </c>
      <c r="L55" s="184">
        <v>10000</v>
      </c>
      <c r="M55" s="184">
        <v>10000</v>
      </c>
      <c r="N55" s="184">
        <v>10000</v>
      </c>
      <c r="O55" s="1744">
        <f t="shared" ref="O55:O65" si="2">AVERAGE(B55:N55)</f>
        <v>10000</v>
      </c>
      <c r="P55" s="97"/>
    </row>
    <row r="56" spans="1:16">
      <c r="A56" t="s">
        <v>1174</v>
      </c>
      <c r="B56" s="184">
        <v>682000</v>
      </c>
      <c r="C56" s="184">
        <v>682000</v>
      </c>
      <c r="D56" s="184">
        <v>682000</v>
      </c>
      <c r="E56" s="184">
        <v>682000</v>
      </c>
      <c r="F56" s="184">
        <v>682000</v>
      </c>
      <c r="G56" s="184">
        <v>682000</v>
      </c>
      <c r="H56" s="184">
        <v>682000</v>
      </c>
      <c r="I56" s="184">
        <v>682000</v>
      </c>
      <c r="J56" s="184">
        <v>682000</v>
      </c>
      <c r="K56" s="184">
        <v>682000</v>
      </c>
      <c r="L56" s="184">
        <v>682000</v>
      </c>
      <c r="M56" s="184">
        <v>682000</v>
      </c>
      <c r="N56" s="184">
        <v>682000</v>
      </c>
      <c r="O56" s="1744">
        <f t="shared" si="2"/>
        <v>682000</v>
      </c>
      <c r="P56" s="97"/>
    </row>
    <row r="57" spans="1:16">
      <c r="A57" t="s">
        <v>1175</v>
      </c>
      <c r="B57" s="184">
        <v>1071000</v>
      </c>
      <c r="C57" s="184">
        <v>1071000</v>
      </c>
      <c r="D57" s="184">
        <v>1071000</v>
      </c>
      <c r="E57" s="184">
        <v>1071000</v>
      </c>
      <c r="F57" s="184">
        <v>1071000</v>
      </c>
      <c r="G57" s="184">
        <v>1071000</v>
      </c>
      <c r="H57" s="184">
        <v>1071000</v>
      </c>
      <c r="I57" s="184">
        <v>1071000</v>
      </c>
      <c r="J57" s="184">
        <v>1071000</v>
      </c>
      <c r="K57" s="184">
        <v>1071000</v>
      </c>
      <c r="L57" s="184">
        <v>1071000</v>
      </c>
      <c r="M57" s="184">
        <v>1071000</v>
      </c>
      <c r="N57" s="184">
        <v>1071000</v>
      </c>
      <c r="O57" s="1744">
        <f t="shared" si="2"/>
        <v>1071000</v>
      </c>
      <c r="P57" s="97"/>
    </row>
    <row r="58" spans="1:16">
      <c r="A58" t="s">
        <v>490</v>
      </c>
      <c r="B58" s="184">
        <v>425000</v>
      </c>
      <c r="C58" s="184">
        <v>425000</v>
      </c>
      <c r="D58" s="184">
        <v>425000</v>
      </c>
      <c r="E58" s="184">
        <v>425000</v>
      </c>
      <c r="F58" s="184">
        <v>425000</v>
      </c>
      <c r="G58" s="184">
        <v>425000</v>
      </c>
      <c r="H58" s="184">
        <v>425000</v>
      </c>
      <c r="I58" s="184">
        <v>425000</v>
      </c>
      <c r="J58" s="184">
        <v>425000</v>
      </c>
      <c r="K58" s="184">
        <v>425000</v>
      </c>
      <c r="L58" s="184">
        <v>425000</v>
      </c>
      <c r="M58" s="184">
        <v>425000</v>
      </c>
      <c r="N58" s="184">
        <v>425000</v>
      </c>
      <c r="O58" s="1744">
        <f t="shared" si="2"/>
        <v>425000</v>
      </c>
      <c r="P58" s="97"/>
    </row>
    <row r="59" spans="1:16">
      <c r="A59" t="s">
        <v>1146</v>
      </c>
      <c r="B59" s="184">
        <v>25884000</v>
      </c>
      <c r="C59" s="184">
        <v>25884000</v>
      </c>
      <c r="D59" s="184">
        <v>23729000</v>
      </c>
      <c r="E59" s="184">
        <v>23729000</v>
      </c>
      <c r="F59" s="184">
        <v>23729000</v>
      </c>
      <c r="G59" s="184">
        <v>23729000</v>
      </c>
      <c r="H59" s="184">
        <v>23729000</v>
      </c>
      <c r="I59" s="184">
        <v>23729000</v>
      </c>
      <c r="J59" s="184">
        <v>23729000</v>
      </c>
      <c r="K59" s="184">
        <v>23729000</v>
      </c>
      <c r="L59" s="184">
        <v>23729000</v>
      </c>
      <c r="M59" s="184">
        <v>23729000</v>
      </c>
      <c r="N59" s="184">
        <v>23685000</v>
      </c>
      <c r="O59" s="1744">
        <f t="shared" si="2"/>
        <v>24057153.846153848</v>
      </c>
      <c r="P59" s="97"/>
    </row>
    <row r="60" spans="1:16">
      <c r="A60" t="s">
        <v>500</v>
      </c>
      <c r="B60" s="184">
        <v>14486000</v>
      </c>
      <c r="C60" s="184">
        <v>14486000</v>
      </c>
      <c r="D60" s="184">
        <v>14841000</v>
      </c>
      <c r="E60" s="184">
        <v>14841000</v>
      </c>
      <c r="F60" s="184">
        <v>14841000</v>
      </c>
      <c r="G60" s="184">
        <v>14841000</v>
      </c>
      <c r="H60" s="184">
        <v>14841000</v>
      </c>
      <c r="I60" s="184">
        <v>14841000</v>
      </c>
      <c r="J60" s="184">
        <v>14841000</v>
      </c>
      <c r="K60" s="184">
        <v>14841000</v>
      </c>
      <c r="L60" s="184">
        <v>14841000</v>
      </c>
      <c r="M60" s="184">
        <v>14841000</v>
      </c>
      <c r="N60" s="184">
        <v>14841000</v>
      </c>
      <c r="O60" s="1744">
        <f t="shared" si="2"/>
        <v>14786384.615384616</v>
      </c>
      <c r="P60" s="97"/>
    </row>
    <row r="61" spans="1:16">
      <c r="A61" t="s">
        <v>501</v>
      </c>
      <c r="B61" s="184">
        <v>20565000</v>
      </c>
      <c r="C61" s="184">
        <v>20565000</v>
      </c>
      <c r="D61" s="184">
        <v>20565000</v>
      </c>
      <c r="E61" s="184">
        <v>20565000</v>
      </c>
      <c r="F61" s="184">
        <v>20565000</v>
      </c>
      <c r="G61" s="184">
        <v>20565000</v>
      </c>
      <c r="H61" s="184">
        <v>20565000</v>
      </c>
      <c r="I61" s="184">
        <v>20565000</v>
      </c>
      <c r="J61" s="184">
        <v>20565000</v>
      </c>
      <c r="K61" s="184">
        <v>20565000</v>
      </c>
      <c r="L61" s="184">
        <v>20565000</v>
      </c>
      <c r="M61" s="184">
        <v>20565000</v>
      </c>
      <c r="N61" s="184">
        <v>20565000</v>
      </c>
      <c r="O61" s="1744">
        <f t="shared" si="2"/>
        <v>20565000</v>
      </c>
      <c r="P61" s="97"/>
    </row>
    <row r="62" spans="1:16">
      <c r="A62" t="s">
        <v>509</v>
      </c>
      <c r="B62" s="184">
        <v>12904000</v>
      </c>
      <c r="C62" s="184">
        <v>12904000</v>
      </c>
      <c r="D62" s="184">
        <v>13139000</v>
      </c>
      <c r="E62" s="184">
        <v>13139000</v>
      </c>
      <c r="F62" s="184">
        <v>13139000</v>
      </c>
      <c r="G62" s="184">
        <v>13139000</v>
      </c>
      <c r="H62" s="184">
        <v>13139000</v>
      </c>
      <c r="I62" s="184">
        <v>13139000</v>
      </c>
      <c r="J62" s="184">
        <v>13139000</v>
      </c>
      <c r="K62" s="184">
        <v>13139000</v>
      </c>
      <c r="L62" s="184">
        <v>13139000</v>
      </c>
      <c r="M62" s="184">
        <v>13139000</v>
      </c>
      <c r="N62" s="184">
        <v>13139000</v>
      </c>
      <c r="O62" s="1744">
        <f t="shared" si="2"/>
        <v>13102846.153846154</v>
      </c>
      <c r="P62" s="97"/>
    </row>
    <row r="63" spans="1:16">
      <c r="A63" t="s">
        <v>510</v>
      </c>
      <c r="B63" s="184">
        <v>19732000</v>
      </c>
      <c r="C63" s="184">
        <v>19732000</v>
      </c>
      <c r="D63" s="184">
        <v>19771000</v>
      </c>
      <c r="E63" s="184">
        <v>19771000</v>
      </c>
      <c r="F63" s="184">
        <v>19771000</v>
      </c>
      <c r="G63" s="184">
        <v>19771000</v>
      </c>
      <c r="H63" s="184">
        <v>19771000</v>
      </c>
      <c r="I63" s="184">
        <v>19771000</v>
      </c>
      <c r="J63" s="184">
        <v>19771000</v>
      </c>
      <c r="K63" s="184">
        <v>19771000</v>
      </c>
      <c r="L63" s="184">
        <v>19771000</v>
      </c>
      <c r="M63" s="184">
        <v>19771000</v>
      </c>
      <c r="N63" s="184">
        <v>19771000</v>
      </c>
      <c r="O63" s="1744">
        <f t="shared" si="2"/>
        <v>19765000</v>
      </c>
      <c r="P63" s="97"/>
    </row>
    <row r="64" spans="1:16">
      <c r="A64" t="s">
        <v>534</v>
      </c>
      <c r="B64" s="184">
        <v>114000</v>
      </c>
      <c r="C64" s="184">
        <v>114000</v>
      </c>
      <c r="D64" s="184">
        <v>114000</v>
      </c>
      <c r="E64" s="184">
        <v>114000</v>
      </c>
      <c r="F64" s="184">
        <v>114000</v>
      </c>
      <c r="G64" s="184">
        <v>114000</v>
      </c>
      <c r="H64" s="184">
        <v>114000</v>
      </c>
      <c r="I64" s="184">
        <v>114000</v>
      </c>
      <c r="J64" s="184">
        <v>114000</v>
      </c>
      <c r="K64" s="184">
        <v>114000</v>
      </c>
      <c r="L64" s="184">
        <v>114000</v>
      </c>
      <c r="M64" s="184">
        <v>114000</v>
      </c>
      <c r="N64" s="184">
        <v>114000</v>
      </c>
      <c r="O64" s="1744">
        <f t="shared" si="2"/>
        <v>114000</v>
      </c>
      <c r="P64" s="97"/>
    </row>
    <row r="65" spans="1:16">
      <c r="A65" t="s">
        <v>535</v>
      </c>
      <c r="B65" s="184">
        <v>331000</v>
      </c>
      <c r="C65" s="184">
        <v>331000</v>
      </c>
      <c r="D65" s="184">
        <v>331000</v>
      </c>
      <c r="E65" s="184">
        <v>331000</v>
      </c>
      <c r="F65" s="184">
        <v>331000</v>
      </c>
      <c r="G65" s="184">
        <v>331000</v>
      </c>
      <c r="H65" s="184">
        <v>331000</v>
      </c>
      <c r="I65" s="184">
        <v>331000</v>
      </c>
      <c r="J65" s="184">
        <v>331000</v>
      </c>
      <c r="K65" s="184">
        <v>331000</v>
      </c>
      <c r="L65" s="184">
        <v>331000</v>
      </c>
      <c r="M65" s="184">
        <v>331000</v>
      </c>
      <c r="N65" s="184">
        <v>331000</v>
      </c>
      <c r="O65" s="1744">
        <f t="shared" si="2"/>
        <v>331000</v>
      </c>
      <c r="P65" s="97"/>
    </row>
    <row r="66" spans="1:16">
      <c r="A66" s="1809" t="s">
        <v>1155</v>
      </c>
      <c r="B66" s="835">
        <f>SUM(B55:B65)</f>
        <v>96204000</v>
      </c>
      <c r="C66" s="835">
        <f t="shared" ref="C66:N66" si="3">SUM(C55:C65)</f>
        <v>96204000</v>
      </c>
      <c r="D66" s="835">
        <f t="shared" si="3"/>
        <v>94678000</v>
      </c>
      <c r="E66" s="835">
        <f t="shared" si="3"/>
        <v>94678000</v>
      </c>
      <c r="F66" s="835">
        <f t="shared" si="3"/>
        <v>94678000</v>
      </c>
      <c r="G66" s="835">
        <f t="shared" si="3"/>
        <v>94678000</v>
      </c>
      <c r="H66" s="835">
        <f t="shared" si="3"/>
        <v>94678000</v>
      </c>
      <c r="I66" s="835">
        <f t="shared" si="3"/>
        <v>94678000</v>
      </c>
      <c r="J66" s="835">
        <f t="shared" si="3"/>
        <v>94678000</v>
      </c>
      <c r="K66" s="835">
        <f t="shared" si="3"/>
        <v>94678000</v>
      </c>
      <c r="L66" s="835">
        <f t="shared" si="3"/>
        <v>94678000</v>
      </c>
      <c r="M66" s="835">
        <f t="shared" si="3"/>
        <v>94678000</v>
      </c>
      <c r="N66" s="835">
        <f t="shared" si="3"/>
        <v>94634000</v>
      </c>
      <c r="O66" s="835">
        <f>SUM(O55:O65)</f>
        <v>94909384.615384623</v>
      </c>
      <c r="P66" s="97"/>
    </row>
    <row r="67" spans="1:16">
      <c r="A67" s="97"/>
      <c r="B67" s="1806"/>
      <c r="C67" s="1806"/>
      <c r="D67" s="1806"/>
      <c r="E67" s="1806"/>
      <c r="F67" s="1806"/>
      <c r="G67" s="1806"/>
      <c r="H67" s="1806"/>
      <c r="I67" s="1806"/>
      <c r="J67" s="1806"/>
      <c r="K67" s="1806"/>
      <c r="L67" s="1806"/>
      <c r="M67" s="1806"/>
      <c r="N67" s="1806"/>
      <c r="O67" s="1744"/>
      <c r="P67" s="97"/>
    </row>
    <row r="68" spans="1:16">
      <c r="A68" s="104"/>
      <c r="B68" s="1808"/>
      <c r="C68" s="1808"/>
      <c r="D68" s="1808"/>
      <c r="E68" s="1808"/>
      <c r="F68" s="1808"/>
      <c r="G68" s="1808"/>
      <c r="H68" s="1808"/>
      <c r="I68" s="1808"/>
      <c r="J68" s="1808"/>
      <c r="K68" s="1808"/>
      <c r="L68" s="1808"/>
      <c r="M68" s="1808"/>
      <c r="N68" s="1808"/>
      <c r="O68" s="1744"/>
      <c r="P68" s="97"/>
    </row>
    <row r="69" spans="1:16">
      <c r="A69" t="s">
        <v>1156</v>
      </c>
      <c r="B69" s="184">
        <v>1781000</v>
      </c>
      <c r="C69" s="184">
        <v>1781000</v>
      </c>
      <c r="D69" s="184">
        <v>1781000</v>
      </c>
      <c r="E69" s="184">
        <v>1781000</v>
      </c>
      <c r="F69" s="184">
        <v>1781000</v>
      </c>
      <c r="G69" s="184">
        <v>1781000</v>
      </c>
      <c r="H69" s="184">
        <v>1781000</v>
      </c>
      <c r="I69" s="184">
        <v>1781000</v>
      </c>
      <c r="J69" s="184">
        <v>1781000</v>
      </c>
      <c r="K69" s="184">
        <v>1781000</v>
      </c>
      <c r="L69" s="184">
        <v>1781000</v>
      </c>
      <c r="M69" s="184">
        <v>1781000</v>
      </c>
      <c r="N69" s="184">
        <v>1781000</v>
      </c>
      <c r="O69" s="1744">
        <f t="shared" ref="O69:O75" si="4">AVERAGE(B69:N69)</f>
        <v>1781000</v>
      </c>
      <c r="P69" s="97"/>
    </row>
    <row r="70" spans="1:16">
      <c r="A70" t="s">
        <v>489</v>
      </c>
      <c r="B70" s="184">
        <v>1276000</v>
      </c>
      <c r="C70" s="184">
        <v>1276000</v>
      </c>
      <c r="D70" s="184">
        <v>1276000</v>
      </c>
      <c r="E70" s="184">
        <v>1276000</v>
      </c>
      <c r="F70" s="184">
        <v>1276000</v>
      </c>
      <c r="G70" s="184">
        <v>1276000</v>
      </c>
      <c r="H70" s="184">
        <v>1276000</v>
      </c>
      <c r="I70" s="184">
        <v>1276000</v>
      </c>
      <c r="J70" s="184">
        <v>1276000</v>
      </c>
      <c r="K70" s="184">
        <v>1276000</v>
      </c>
      <c r="L70" s="184">
        <v>1276000</v>
      </c>
      <c r="M70" s="184">
        <v>1276000</v>
      </c>
      <c r="N70" s="184">
        <v>1276000</v>
      </c>
      <c r="O70" s="1744">
        <f t="shared" si="4"/>
        <v>1276000</v>
      </c>
      <c r="P70" s="97"/>
    </row>
    <row r="71" spans="1:16">
      <c r="A71" t="s">
        <v>493</v>
      </c>
      <c r="B71" s="184">
        <v>43219000</v>
      </c>
      <c r="C71" s="184">
        <v>43224000</v>
      </c>
      <c r="D71" s="184">
        <v>43224000</v>
      </c>
      <c r="E71" s="184">
        <v>43224000</v>
      </c>
      <c r="F71" s="184">
        <v>43224000</v>
      </c>
      <c r="G71" s="184">
        <v>43224000</v>
      </c>
      <c r="H71" s="184">
        <v>43224000</v>
      </c>
      <c r="I71" s="184">
        <v>43224000</v>
      </c>
      <c r="J71" s="184">
        <v>43224000</v>
      </c>
      <c r="K71" s="184">
        <v>43224000</v>
      </c>
      <c r="L71" s="184">
        <v>43224000</v>
      </c>
      <c r="M71" s="184">
        <v>43224000</v>
      </c>
      <c r="N71" s="184">
        <v>43224000</v>
      </c>
      <c r="O71" s="1744">
        <f t="shared" si="4"/>
        <v>43223615.384615384</v>
      </c>
      <c r="P71" s="97"/>
    </row>
    <row r="72" spans="1:16">
      <c r="A72" t="s">
        <v>499</v>
      </c>
      <c r="B72" s="184">
        <v>22956000</v>
      </c>
      <c r="C72" s="184">
        <v>22956000</v>
      </c>
      <c r="D72" s="184">
        <v>22956000</v>
      </c>
      <c r="E72" s="184">
        <v>22956000</v>
      </c>
      <c r="F72" s="184">
        <v>22956000</v>
      </c>
      <c r="G72" s="184">
        <v>22956000</v>
      </c>
      <c r="H72" s="184">
        <v>22956000</v>
      </c>
      <c r="I72" s="184">
        <v>22956000</v>
      </c>
      <c r="J72" s="184">
        <v>22956000</v>
      </c>
      <c r="K72" s="184">
        <v>22956000</v>
      </c>
      <c r="L72" s="184">
        <v>22956000</v>
      </c>
      <c r="M72" s="184">
        <v>22956000</v>
      </c>
      <c r="N72" s="184">
        <v>22956000</v>
      </c>
      <c r="O72" s="1744">
        <f t="shared" si="4"/>
        <v>22956000</v>
      </c>
      <c r="P72" s="97"/>
    </row>
    <row r="73" spans="1:16">
      <c r="A73" t="s">
        <v>505</v>
      </c>
      <c r="B73" s="184">
        <v>204000</v>
      </c>
      <c r="C73" s="184">
        <v>204000</v>
      </c>
      <c r="D73" s="184">
        <v>204000</v>
      </c>
      <c r="E73" s="184">
        <v>204000</v>
      </c>
      <c r="F73" s="184">
        <v>204000</v>
      </c>
      <c r="G73" s="184">
        <v>204000</v>
      </c>
      <c r="H73" s="184">
        <v>204000</v>
      </c>
      <c r="I73" s="184">
        <v>204000</v>
      </c>
      <c r="J73" s="184">
        <v>204000</v>
      </c>
      <c r="K73" s="184">
        <v>204000</v>
      </c>
      <c r="L73" s="184">
        <v>204000</v>
      </c>
      <c r="M73" s="184">
        <v>204000</v>
      </c>
      <c r="N73" s="184">
        <v>204000</v>
      </c>
      <c r="O73" s="1744">
        <f t="shared" si="4"/>
        <v>204000</v>
      </c>
      <c r="P73" s="97"/>
    </row>
    <row r="74" spans="1:16">
      <c r="A74" t="s">
        <v>508</v>
      </c>
      <c r="B74" s="184">
        <v>24709000</v>
      </c>
      <c r="C74" s="184">
        <v>24709000</v>
      </c>
      <c r="D74" s="184">
        <v>24709000</v>
      </c>
      <c r="E74" s="184">
        <v>24709000</v>
      </c>
      <c r="F74" s="184">
        <v>24709000</v>
      </c>
      <c r="G74" s="184">
        <v>24709000</v>
      </c>
      <c r="H74" s="184">
        <v>24709000</v>
      </c>
      <c r="I74" s="184">
        <v>24709000</v>
      </c>
      <c r="J74" s="184">
        <v>24709000</v>
      </c>
      <c r="K74" s="184">
        <v>24709000</v>
      </c>
      <c r="L74" s="184">
        <v>24709000</v>
      </c>
      <c r="M74" s="184">
        <v>24709000</v>
      </c>
      <c r="N74" s="184">
        <v>24709000</v>
      </c>
      <c r="O74" s="1744">
        <f t="shared" si="4"/>
        <v>24709000</v>
      </c>
      <c r="P74" s="97"/>
    </row>
    <row r="75" spans="1:16">
      <c r="A75" t="s">
        <v>533</v>
      </c>
      <c r="B75" s="184">
        <v>653000</v>
      </c>
      <c r="C75" s="184">
        <v>653000</v>
      </c>
      <c r="D75" s="184">
        <v>653000</v>
      </c>
      <c r="E75" s="184">
        <v>653000</v>
      </c>
      <c r="F75" s="184">
        <v>653000</v>
      </c>
      <c r="G75" s="184">
        <v>653000</v>
      </c>
      <c r="H75" s="184">
        <v>653000</v>
      </c>
      <c r="I75" s="184">
        <v>653000</v>
      </c>
      <c r="J75" s="184">
        <v>653000</v>
      </c>
      <c r="K75" s="184">
        <v>653000</v>
      </c>
      <c r="L75" s="184">
        <v>653000</v>
      </c>
      <c r="M75" s="184">
        <v>653000</v>
      </c>
      <c r="N75" s="184">
        <v>653000</v>
      </c>
      <c r="O75" s="1744">
        <f t="shared" si="4"/>
        <v>653000</v>
      </c>
      <c r="P75" s="97"/>
    </row>
    <row r="76" spans="1:16">
      <c r="A76" s="1333" t="s">
        <v>1137</v>
      </c>
      <c r="B76" s="1810">
        <f>SUM(B69:B75)</f>
        <v>94798000</v>
      </c>
      <c r="C76" s="1810">
        <f t="shared" ref="C76:O76" si="5">SUM(C69:C75)</f>
        <v>94803000</v>
      </c>
      <c r="D76" s="1810">
        <f t="shared" si="5"/>
        <v>94803000</v>
      </c>
      <c r="E76" s="1810">
        <f t="shared" si="5"/>
        <v>94803000</v>
      </c>
      <c r="F76" s="1810">
        <f t="shared" si="5"/>
        <v>94803000</v>
      </c>
      <c r="G76" s="1810">
        <f t="shared" si="5"/>
        <v>94803000</v>
      </c>
      <c r="H76" s="1810">
        <f t="shared" si="5"/>
        <v>94803000</v>
      </c>
      <c r="I76" s="1810">
        <f t="shared" si="5"/>
        <v>94803000</v>
      </c>
      <c r="J76" s="1810">
        <f t="shared" si="5"/>
        <v>94803000</v>
      </c>
      <c r="K76" s="1810">
        <f t="shared" si="5"/>
        <v>94803000</v>
      </c>
      <c r="L76" s="1810">
        <f t="shared" si="5"/>
        <v>94803000</v>
      </c>
      <c r="M76" s="1810">
        <f t="shared" si="5"/>
        <v>94803000</v>
      </c>
      <c r="N76" s="1810">
        <f>SUM(N69:N75)</f>
        <v>94803000</v>
      </c>
      <c r="O76" s="1810">
        <f t="shared" si="5"/>
        <v>94802615.384615391</v>
      </c>
      <c r="P76" s="97"/>
    </row>
    <row r="77" spans="1:16">
      <c r="A77" s="631"/>
      <c r="B77" s="637"/>
      <c r="C77" s="637"/>
      <c r="D77" s="637"/>
      <c r="E77" s="637"/>
      <c r="F77" s="637"/>
      <c r="G77" s="637"/>
      <c r="H77" s="637"/>
      <c r="I77" s="637"/>
      <c r="J77" s="637"/>
      <c r="K77" s="637"/>
      <c r="L77" s="637"/>
      <c r="M77" s="637"/>
      <c r="N77" s="637"/>
      <c r="O77" s="637"/>
      <c r="P77" s="97"/>
    </row>
    <row r="78" spans="1:16">
      <c r="A78" t="s">
        <v>1033</v>
      </c>
      <c r="B78" s="184">
        <v>2000</v>
      </c>
      <c r="C78" s="184">
        <v>2000</v>
      </c>
      <c r="D78" s="184">
        <v>2000</v>
      </c>
      <c r="E78" s="184">
        <v>2000</v>
      </c>
      <c r="F78" s="184">
        <v>2000</v>
      </c>
      <c r="G78" s="184">
        <v>2000</v>
      </c>
      <c r="H78" s="184">
        <v>2000</v>
      </c>
      <c r="I78" s="184">
        <v>2000</v>
      </c>
      <c r="J78" s="184">
        <v>2000</v>
      </c>
      <c r="K78" s="184">
        <v>2000</v>
      </c>
      <c r="L78" s="184">
        <v>2000</v>
      </c>
      <c r="M78" s="184">
        <v>2000</v>
      </c>
      <c r="N78" s="184">
        <v>2000</v>
      </c>
      <c r="O78" s="1744">
        <f t="shared" ref="O78:O108" si="6">AVERAGE(B78:N78)</f>
        <v>2000</v>
      </c>
      <c r="P78" s="97"/>
    </row>
    <row r="79" spans="1:16">
      <c r="A79" t="s">
        <v>1034</v>
      </c>
      <c r="B79" s="184">
        <v>29000</v>
      </c>
      <c r="C79" s="184">
        <v>29000</v>
      </c>
      <c r="D79" s="184">
        <v>29000</v>
      </c>
      <c r="E79" s="184">
        <v>29000</v>
      </c>
      <c r="F79" s="184">
        <v>29000</v>
      </c>
      <c r="G79" s="184">
        <v>29000</v>
      </c>
      <c r="H79" s="184">
        <v>29000</v>
      </c>
      <c r="I79" s="184">
        <v>29000</v>
      </c>
      <c r="J79" s="184">
        <v>29000</v>
      </c>
      <c r="K79" s="184">
        <v>29000</v>
      </c>
      <c r="L79" s="184">
        <v>29000</v>
      </c>
      <c r="M79" s="184">
        <v>29000</v>
      </c>
      <c r="N79" s="184">
        <v>29000</v>
      </c>
      <c r="O79" s="1744">
        <f t="shared" si="6"/>
        <v>29000</v>
      </c>
      <c r="P79" s="97"/>
    </row>
    <row r="80" spans="1:16">
      <c r="A80" t="s">
        <v>1035</v>
      </c>
      <c r="B80" s="184">
        <v>132000</v>
      </c>
      <c r="C80" s="184">
        <v>132000</v>
      </c>
      <c r="D80" s="184">
        <v>132000</v>
      </c>
      <c r="E80" s="184">
        <v>132000</v>
      </c>
      <c r="F80" s="184">
        <v>132000</v>
      </c>
      <c r="G80" s="184">
        <v>132000</v>
      </c>
      <c r="H80" s="184">
        <v>132000</v>
      </c>
      <c r="I80" s="184">
        <v>132000</v>
      </c>
      <c r="J80" s="184">
        <v>132000</v>
      </c>
      <c r="K80" s="184">
        <v>132000</v>
      </c>
      <c r="L80" s="184">
        <v>132000</v>
      </c>
      <c r="M80" s="184">
        <v>132000</v>
      </c>
      <c r="N80" s="184">
        <v>132000</v>
      </c>
      <c r="O80" s="1744">
        <f t="shared" si="6"/>
        <v>132000</v>
      </c>
      <c r="P80" s="97"/>
    </row>
    <row r="81" spans="1:16">
      <c r="A81" t="s">
        <v>1036</v>
      </c>
      <c r="B81" s="184">
        <v>1000</v>
      </c>
      <c r="C81" s="184">
        <v>1000</v>
      </c>
      <c r="D81" s="184">
        <v>1000</v>
      </c>
      <c r="E81" s="184">
        <v>1000</v>
      </c>
      <c r="F81" s="184">
        <v>1000</v>
      </c>
      <c r="G81" s="184">
        <v>1000</v>
      </c>
      <c r="H81" s="184">
        <v>1000</v>
      </c>
      <c r="I81" s="184">
        <v>1000</v>
      </c>
      <c r="J81" s="184">
        <v>1000</v>
      </c>
      <c r="K81" s="184">
        <v>1000</v>
      </c>
      <c r="L81" s="184">
        <v>1000</v>
      </c>
      <c r="M81" s="184">
        <v>1000</v>
      </c>
      <c r="N81" s="184">
        <v>1000</v>
      </c>
      <c r="O81" s="1744">
        <f t="shared" si="6"/>
        <v>1000</v>
      </c>
      <c r="P81" s="97"/>
    </row>
    <row r="82" spans="1:16">
      <c r="A82" t="s">
        <v>1037</v>
      </c>
      <c r="B82" s="184">
        <v>7000</v>
      </c>
      <c r="C82" s="184">
        <v>7000</v>
      </c>
      <c r="D82" s="184">
        <v>7000</v>
      </c>
      <c r="E82" s="184">
        <v>7000</v>
      </c>
      <c r="F82" s="184">
        <v>7000</v>
      </c>
      <c r="G82" s="184">
        <v>7000</v>
      </c>
      <c r="H82" s="184">
        <v>7000</v>
      </c>
      <c r="I82" s="184">
        <v>7000</v>
      </c>
      <c r="J82" s="184">
        <v>7000</v>
      </c>
      <c r="K82" s="184">
        <v>7000</v>
      </c>
      <c r="L82" s="184">
        <v>7000</v>
      </c>
      <c r="M82" s="184">
        <v>7000</v>
      </c>
      <c r="N82" s="184">
        <v>7000</v>
      </c>
      <c r="O82" s="1744">
        <f t="shared" si="6"/>
        <v>7000</v>
      </c>
      <c r="P82" s="97"/>
    </row>
    <row r="83" spans="1:16">
      <c r="A83" t="s">
        <v>1122</v>
      </c>
      <c r="B83" s="184">
        <v>40000</v>
      </c>
      <c r="C83" s="184">
        <v>40000</v>
      </c>
      <c r="D83" s="184">
        <v>40000</v>
      </c>
      <c r="E83" s="184">
        <v>40000</v>
      </c>
      <c r="F83" s="184">
        <v>40000</v>
      </c>
      <c r="G83" s="184">
        <v>40000</v>
      </c>
      <c r="H83" s="184">
        <v>40000</v>
      </c>
      <c r="I83" s="184">
        <v>40000</v>
      </c>
      <c r="J83" s="184">
        <v>40000</v>
      </c>
      <c r="K83" s="184">
        <v>40000</v>
      </c>
      <c r="L83" s="184">
        <v>40000</v>
      </c>
      <c r="M83" s="184">
        <v>40000</v>
      </c>
      <c r="N83" s="184">
        <v>40000</v>
      </c>
      <c r="O83" s="1744">
        <f t="shared" si="6"/>
        <v>40000</v>
      </c>
      <c r="P83" s="97"/>
    </row>
    <row r="84" spans="1:16">
      <c r="A84" t="s">
        <v>1075</v>
      </c>
      <c r="B84" s="184">
        <v>1684000</v>
      </c>
      <c r="C84" s="184">
        <v>1684000</v>
      </c>
      <c r="D84" s="184">
        <v>1684000</v>
      </c>
      <c r="E84" s="184">
        <v>1684000</v>
      </c>
      <c r="F84" s="184">
        <v>1684000</v>
      </c>
      <c r="G84" s="184">
        <v>1684000</v>
      </c>
      <c r="H84" s="184">
        <v>1684000</v>
      </c>
      <c r="I84" s="184">
        <v>1684000</v>
      </c>
      <c r="J84" s="184">
        <v>1684000</v>
      </c>
      <c r="K84" s="184">
        <v>1684000</v>
      </c>
      <c r="L84" s="184">
        <v>1684000</v>
      </c>
      <c r="M84" s="184">
        <v>1684000</v>
      </c>
      <c r="N84" s="184">
        <v>1684000</v>
      </c>
      <c r="O84" s="1744">
        <f t="shared" si="6"/>
        <v>1684000</v>
      </c>
      <c r="P84" s="97"/>
    </row>
    <row r="85" spans="1:16">
      <c r="A85" t="s">
        <v>1038</v>
      </c>
      <c r="B85" s="184">
        <v>153000</v>
      </c>
      <c r="C85" s="184">
        <v>153000</v>
      </c>
      <c r="D85" s="184">
        <v>153000</v>
      </c>
      <c r="E85" s="184">
        <v>153000</v>
      </c>
      <c r="F85" s="184">
        <v>153000</v>
      </c>
      <c r="G85" s="184">
        <v>153000</v>
      </c>
      <c r="H85" s="184">
        <v>153000</v>
      </c>
      <c r="I85" s="184">
        <v>153000</v>
      </c>
      <c r="J85" s="184">
        <v>153000</v>
      </c>
      <c r="K85" s="184">
        <v>153000</v>
      </c>
      <c r="L85" s="184">
        <v>153000</v>
      </c>
      <c r="M85" s="184">
        <v>153000</v>
      </c>
      <c r="N85" s="184">
        <v>153000</v>
      </c>
      <c r="O85" s="1744">
        <f t="shared" si="6"/>
        <v>153000</v>
      </c>
      <c r="P85" s="97"/>
    </row>
    <row r="86" spans="1:16">
      <c r="A86" t="s">
        <v>1039</v>
      </c>
      <c r="B86" s="184">
        <v>79000</v>
      </c>
      <c r="C86" s="184">
        <v>79000</v>
      </c>
      <c r="D86" s="184">
        <v>79000</v>
      </c>
      <c r="E86" s="184">
        <v>79000</v>
      </c>
      <c r="F86" s="184">
        <v>79000</v>
      </c>
      <c r="G86" s="184">
        <v>79000</v>
      </c>
      <c r="H86" s="184">
        <v>79000</v>
      </c>
      <c r="I86" s="184">
        <v>79000</v>
      </c>
      <c r="J86" s="184">
        <v>79000</v>
      </c>
      <c r="K86" s="184">
        <v>79000</v>
      </c>
      <c r="L86" s="184">
        <v>79000</v>
      </c>
      <c r="M86" s="184">
        <v>79000</v>
      </c>
      <c r="N86" s="184">
        <v>79000</v>
      </c>
      <c r="O86" s="1744">
        <f t="shared" si="6"/>
        <v>79000</v>
      </c>
      <c r="P86" s="97"/>
    </row>
    <row r="87" spans="1:16">
      <c r="A87" t="s">
        <v>1040</v>
      </c>
      <c r="B87" s="184">
        <v>405000</v>
      </c>
      <c r="C87" s="184">
        <v>405000</v>
      </c>
      <c r="D87" s="184">
        <v>405000</v>
      </c>
      <c r="E87" s="184">
        <v>405000</v>
      </c>
      <c r="F87" s="184">
        <v>405000</v>
      </c>
      <c r="G87" s="184">
        <v>405000</v>
      </c>
      <c r="H87" s="184">
        <v>405000</v>
      </c>
      <c r="I87" s="184">
        <v>405000</v>
      </c>
      <c r="J87" s="184">
        <v>405000</v>
      </c>
      <c r="K87" s="184">
        <v>405000</v>
      </c>
      <c r="L87" s="184">
        <v>405000</v>
      </c>
      <c r="M87" s="184">
        <v>405000</v>
      </c>
      <c r="N87" s="184">
        <v>405000</v>
      </c>
      <c r="O87" s="1744">
        <f t="shared" si="6"/>
        <v>405000</v>
      </c>
      <c r="P87" s="97"/>
    </row>
    <row r="88" spans="1:16">
      <c r="A88" t="s">
        <v>1041</v>
      </c>
      <c r="B88" s="184">
        <v>144000</v>
      </c>
      <c r="C88" s="184">
        <v>144000</v>
      </c>
      <c r="D88" s="184">
        <v>144000</v>
      </c>
      <c r="E88" s="184">
        <v>144000</v>
      </c>
      <c r="F88" s="184">
        <v>144000</v>
      </c>
      <c r="G88" s="184">
        <v>144000</v>
      </c>
      <c r="H88" s="184">
        <v>144000</v>
      </c>
      <c r="I88" s="184">
        <v>144000</v>
      </c>
      <c r="J88" s="184">
        <v>144000</v>
      </c>
      <c r="K88" s="184">
        <v>144000</v>
      </c>
      <c r="L88" s="184">
        <v>144000</v>
      </c>
      <c r="M88" s="184">
        <v>144000</v>
      </c>
      <c r="N88" s="184">
        <v>144000</v>
      </c>
      <c r="O88" s="1744">
        <f t="shared" si="6"/>
        <v>144000</v>
      </c>
      <c r="P88" s="97"/>
    </row>
    <row r="89" spans="1:16">
      <c r="A89" t="s">
        <v>1042</v>
      </c>
      <c r="B89" s="184">
        <v>134000</v>
      </c>
      <c r="C89" s="184">
        <v>134000</v>
      </c>
      <c r="D89" s="184">
        <v>134000</v>
      </c>
      <c r="E89" s="184">
        <v>134000</v>
      </c>
      <c r="F89" s="184">
        <v>134000</v>
      </c>
      <c r="G89" s="184">
        <v>134000</v>
      </c>
      <c r="H89" s="184">
        <v>134000</v>
      </c>
      <c r="I89" s="184">
        <v>134000</v>
      </c>
      <c r="J89" s="184">
        <v>134000</v>
      </c>
      <c r="K89" s="184">
        <v>134000</v>
      </c>
      <c r="L89" s="184">
        <v>374000</v>
      </c>
      <c r="M89" s="184">
        <v>376000</v>
      </c>
      <c r="N89" s="184">
        <v>377000</v>
      </c>
      <c r="O89" s="1744">
        <f t="shared" si="6"/>
        <v>189769.23076923078</v>
      </c>
      <c r="P89" s="97"/>
    </row>
    <row r="90" spans="1:16">
      <c r="A90" t="s">
        <v>1043</v>
      </c>
      <c r="B90" s="184">
        <v>112000</v>
      </c>
      <c r="C90" s="184">
        <v>112000</v>
      </c>
      <c r="D90" s="184">
        <v>112000</v>
      </c>
      <c r="E90" s="184">
        <v>112000</v>
      </c>
      <c r="F90" s="184">
        <v>112000</v>
      </c>
      <c r="G90" s="184">
        <v>112000</v>
      </c>
      <c r="H90" s="184">
        <v>112000</v>
      </c>
      <c r="I90" s="184">
        <v>112000</v>
      </c>
      <c r="J90" s="184">
        <v>112000</v>
      </c>
      <c r="K90" s="184">
        <v>112000</v>
      </c>
      <c r="L90" s="184">
        <v>112000</v>
      </c>
      <c r="M90" s="184">
        <v>112000</v>
      </c>
      <c r="N90" s="184">
        <v>112000</v>
      </c>
      <c r="O90" s="1744">
        <f t="shared" si="6"/>
        <v>112000</v>
      </c>
      <c r="P90" s="97"/>
    </row>
    <row r="91" spans="1:16">
      <c r="A91" t="s">
        <v>1044</v>
      </c>
      <c r="B91" s="184">
        <v>5413000</v>
      </c>
      <c r="C91" s="184">
        <v>5413000</v>
      </c>
      <c r="D91" s="184">
        <v>5413000</v>
      </c>
      <c r="E91" s="184">
        <v>5413000</v>
      </c>
      <c r="F91" s="184">
        <v>5413000</v>
      </c>
      <c r="G91" s="184">
        <v>5413000</v>
      </c>
      <c r="H91" s="184">
        <v>5413000</v>
      </c>
      <c r="I91" s="184">
        <v>5413000</v>
      </c>
      <c r="J91" s="184">
        <v>5413000</v>
      </c>
      <c r="K91" s="184">
        <v>5413000</v>
      </c>
      <c r="L91" s="184">
        <v>5413000</v>
      </c>
      <c r="M91" s="184">
        <v>5413000</v>
      </c>
      <c r="N91" s="184">
        <v>5413000</v>
      </c>
      <c r="O91" s="1744">
        <f t="shared" si="6"/>
        <v>5413000</v>
      </c>
      <c r="P91" s="97"/>
    </row>
    <row r="92" spans="1:16">
      <c r="A92" t="s">
        <v>1062</v>
      </c>
      <c r="B92" s="184">
        <v>5619000</v>
      </c>
      <c r="C92" s="184">
        <v>5619000</v>
      </c>
      <c r="D92" s="184">
        <v>5619000</v>
      </c>
      <c r="E92" s="184">
        <v>5619000</v>
      </c>
      <c r="F92" s="184">
        <v>5619000</v>
      </c>
      <c r="G92" s="184">
        <v>5619000</v>
      </c>
      <c r="H92" s="184">
        <v>5619000</v>
      </c>
      <c r="I92" s="184">
        <v>5619000</v>
      </c>
      <c r="J92" s="184">
        <v>5619000</v>
      </c>
      <c r="K92" s="184">
        <v>5619000</v>
      </c>
      <c r="L92" s="184">
        <v>5619000</v>
      </c>
      <c r="M92" s="184">
        <v>5619000</v>
      </c>
      <c r="N92" s="184">
        <v>5619000</v>
      </c>
      <c r="O92" s="1744">
        <f t="shared" si="6"/>
        <v>5619000</v>
      </c>
      <c r="P92" s="97"/>
    </row>
    <row r="93" spans="1:16">
      <c r="A93" t="s">
        <v>1163</v>
      </c>
      <c r="B93" s="184">
        <v>5035000</v>
      </c>
      <c r="C93" s="184">
        <v>5035000</v>
      </c>
      <c r="D93" s="184">
        <v>5035000</v>
      </c>
      <c r="E93" s="184">
        <v>5035000</v>
      </c>
      <c r="F93" s="184">
        <v>5035000</v>
      </c>
      <c r="G93" s="184">
        <v>5035000</v>
      </c>
      <c r="H93" s="184">
        <v>5035000</v>
      </c>
      <c r="I93" s="184">
        <v>5035000</v>
      </c>
      <c r="J93" s="184">
        <v>5035000</v>
      </c>
      <c r="K93" s="184">
        <v>5035000</v>
      </c>
      <c r="L93" s="184">
        <v>5035000</v>
      </c>
      <c r="M93" s="184">
        <v>5035000</v>
      </c>
      <c r="N93" s="184">
        <v>5035000</v>
      </c>
      <c r="O93" s="1744">
        <f t="shared" si="6"/>
        <v>5035000</v>
      </c>
      <c r="P93" s="97"/>
    </row>
    <row r="94" spans="1:16">
      <c r="A94" t="s">
        <v>1045</v>
      </c>
      <c r="B94" s="184">
        <v>3189000</v>
      </c>
      <c r="C94" s="184">
        <v>3189000</v>
      </c>
      <c r="D94" s="184">
        <v>3189000</v>
      </c>
      <c r="E94" s="184">
        <v>3189000</v>
      </c>
      <c r="F94" s="184">
        <v>3189000</v>
      </c>
      <c r="G94" s="184">
        <v>3189000</v>
      </c>
      <c r="H94" s="184">
        <v>3189000</v>
      </c>
      <c r="I94" s="184">
        <v>3189000</v>
      </c>
      <c r="J94" s="184">
        <v>3189000</v>
      </c>
      <c r="K94" s="184">
        <v>3189000</v>
      </c>
      <c r="L94" s="184">
        <v>3189000</v>
      </c>
      <c r="M94" s="184">
        <v>3189000</v>
      </c>
      <c r="N94" s="184">
        <v>3189000</v>
      </c>
      <c r="O94" s="1744">
        <f t="shared" si="6"/>
        <v>3189000</v>
      </c>
      <c r="P94" s="97"/>
    </row>
    <row r="95" spans="1:16">
      <c r="A95" t="s">
        <v>1046</v>
      </c>
      <c r="B95" s="184">
        <v>3815000</v>
      </c>
      <c r="C95" s="184">
        <v>3815000</v>
      </c>
      <c r="D95" s="184">
        <v>3815000</v>
      </c>
      <c r="E95" s="184">
        <v>3815000</v>
      </c>
      <c r="F95" s="184">
        <v>3815000</v>
      </c>
      <c r="G95" s="184">
        <v>3815000</v>
      </c>
      <c r="H95" s="184">
        <v>3815000</v>
      </c>
      <c r="I95" s="184">
        <v>3815000</v>
      </c>
      <c r="J95" s="184">
        <v>3815000</v>
      </c>
      <c r="K95" s="184">
        <v>3815000</v>
      </c>
      <c r="L95" s="184">
        <v>3815000</v>
      </c>
      <c r="M95" s="184">
        <v>3815000</v>
      </c>
      <c r="N95" s="184">
        <v>3815000</v>
      </c>
      <c r="O95" s="1744">
        <f t="shared" si="6"/>
        <v>3815000</v>
      </c>
      <c r="P95" s="97"/>
    </row>
    <row r="96" spans="1:16">
      <c r="A96" t="s">
        <v>1047</v>
      </c>
      <c r="B96" s="184">
        <v>1732000</v>
      </c>
      <c r="C96" s="184">
        <v>1732000</v>
      </c>
      <c r="D96" s="184">
        <v>1732000</v>
      </c>
      <c r="E96" s="184">
        <v>1732000</v>
      </c>
      <c r="F96" s="184">
        <v>1732000</v>
      </c>
      <c r="G96" s="184">
        <v>1732000</v>
      </c>
      <c r="H96" s="184">
        <v>1732000</v>
      </c>
      <c r="I96" s="184">
        <v>1732000</v>
      </c>
      <c r="J96" s="184">
        <v>1732000</v>
      </c>
      <c r="K96" s="184">
        <v>1732000</v>
      </c>
      <c r="L96" s="184">
        <v>1732000</v>
      </c>
      <c r="M96" s="184">
        <v>1732000</v>
      </c>
      <c r="N96" s="184">
        <v>1732000</v>
      </c>
      <c r="O96" s="1744">
        <f t="shared" si="6"/>
        <v>1732000</v>
      </c>
      <c r="P96" s="97"/>
    </row>
    <row r="97" spans="1:16">
      <c r="A97" t="s">
        <v>1048</v>
      </c>
      <c r="B97" s="184">
        <v>411000</v>
      </c>
      <c r="C97" s="184">
        <v>411000</v>
      </c>
      <c r="D97" s="184">
        <v>411000</v>
      </c>
      <c r="E97" s="184">
        <v>411000</v>
      </c>
      <c r="F97" s="184">
        <v>411000</v>
      </c>
      <c r="G97" s="184">
        <v>411000</v>
      </c>
      <c r="H97" s="184">
        <v>411000</v>
      </c>
      <c r="I97" s="184">
        <v>411000</v>
      </c>
      <c r="J97" s="184">
        <v>411000</v>
      </c>
      <c r="K97" s="184">
        <v>411000</v>
      </c>
      <c r="L97" s="184">
        <v>411000</v>
      </c>
      <c r="M97" s="184">
        <v>411000</v>
      </c>
      <c r="N97" s="184">
        <v>411000</v>
      </c>
      <c r="O97" s="1744">
        <f t="shared" si="6"/>
        <v>411000</v>
      </c>
      <c r="P97" s="97"/>
    </row>
    <row r="98" spans="1:16">
      <c r="A98" t="s">
        <v>1049</v>
      </c>
      <c r="B98" s="184">
        <v>8919000</v>
      </c>
      <c r="C98" s="184">
        <v>8919000</v>
      </c>
      <c r="D98" s="184">
        <v>8919000</v>
      </c>
      <c r="E98" s="184">
        <v>8919000</v>
      </c>
      <c r="F98" s="184">
        <v>8919000</v>
      </c>
      <c r="G98" s="184">
        <v>8919000</v>
      </c>
      <c r="H98" s="184">
        <v>8919000</v>
      </c>
      <c r="I98" s="184">
        <v>8919000</v>
      </c>
      <c r="J98" s="184">
        <v>8919000</v>
      </c>
      <c r="K98" s="184">
        <v>8919000</v>
      </c>
      <c r="L98" s="184">
        <v>8919000</v>
      </c>
      <c r="M98" s="184">
        <v>8919000</v>
      </c>
      <c r="N98" s="184">
        <v>8919000</v>
      </c>
      <c r="O98" s="1744">
        <f t="shared" si="6"/>
        <v>8919000</v>
      </c>
      <c r="P98" s="97"/>
    </row>
    <row r="99" spans="1:16">
      <c r="A99" t="s">
        <v>1050</v>
      </c>
      <c r="B99" s="184">
        <v>9381000</v>
      </c>
      <c r="C99" s="184">
        <v>9381000</v>
      </c>
      <c r="D99" s="184">
        <v>9381000</v>
      </c>
      <c r="E99" s="184">
        <v>9381000</v>
      </c>
      <c r="F99" s="184">
        <v>9381000</v>
      </c>
      <c r="G99" s="184">
        <v>9381000</v>
      </c>
      <c r="H99" s="184">
        <v>9381000</v>
      </c>
      <c r="I99" s="184">
        <v>9381000</v>
      </c>
      <c r="J99" s="184">
        <v>9381000</v>
      </c>
      <c r="K99" s="184">
        <v>9381000</v>
      </c>
      <c r="L99" s="184">
        <v>9381000</v>
      </c>
      <c r="M99" s="184">
        <v>9381000</v>
      </c>
      <c r="N99" s="184">
        <v>9381000</v>
      </c>
      <c r="O99" s="1744">
        <f t="shared" si="6"/>
        <v>9381000</v>
      </c>
      <c r="P99" s="97"/>
    </row>
    <row r="100" spans="1:16">
      <c r="A100" t="s">
        <v>1051</v>
      </c>
      <c r="B100" s="184">
        <v>2700000</v>
      </c>
      <c r="C100" s="184">
        <v>2700000</v>
      </c>
      <c r="D100" s="184">
        <v>2700000</v>
      </c>
      <c r="E100" s="184">
        <v>2700000</v>
      </c>
      <c r="F100" s="184">
        <v>2700000</v>
      </c>
      <c r="G100" s="184">
        <v>2700000</v>
      </c>
      <c r="H100" s="184">
        <v>2700000</v>
      </c>
      <c r="I100" s="184">
        <v>2700000</v>
      </c>
      <c r="J100" s="184">
        <v>2700000</v>
      </c>
      <c r="K100" s="184">
        <v>2700000</v>
      </c>
      <c r="L100" s="184">
        <v>2700000</v>
      </c>
      <c r="M100" s="184">
        <v>2700000</v>
      </c>
      <c r="N100" s="184">
        <v>2700000</v>
      </c>
      <c r="O100" s="1744">
        <f t="shared" si="6"/>
        <v>2700000</v>
      </c>
      <c r="P100" s="97"/>
    </row>
    <row r="101" spans="1:16">
      <c r="A101" t="s">
        <v>1076</v>
      </c>
      <c r="B101" s="184">
        <v>24186000</v>
      </c>
      <c r="C101" s="184">
        <v>24186000</v>
      </c>
      <c r="D101" s="184">
        <v>24186000</v>
      </c>
      <c r="E101" s="184">
        <v>24186000</v>
      </c>
      <c r="F101" s="184">
        <v>24186000</v>
      </c>
      <c r="G101" s="184">
        <v>24186000</v>
      </c>
      <c r="H101" s="184">
        <v>24186000</v>
      </c>
      <c r="I101" s="184">
        <v>24186000</v>
      </c>
      <c r="J101" s="184">
        <v>24186000</v>
      </c>
      <c r="K101" s="184">
        <v>24186000</v>
      </c>
      <c r="L101" s="184">
        <v>24186000</v>
      </c>
      <c r="M101" s="184">
        <v>24186000</v>
      </c>
      <c r="N101" s="184">
        <v>24186000</v>
      </c>
      <c r="O101" s="1744">
        <f t="shared" si="6"/>
        <v>24186000</v>
      </c>
      <c r="P101" s="97"/>
    </row>
    <row r="102" spans="1:16">
      <c r="A102" t="s">
        <v>1052</v>
      </c>
      <c r="B102" s="184">
        <v>1780000</v>
      </c>
      <c r="C102" s="184">
        <v>1780000</v>
      </c>
      <c r="D102" s="184">
        <v>1780000</v>
      </c>
      <c r="E102" s="184">
        <v>1780000</v>
      </c>
      <c r="F102" s="184">
        <v>1780000</v>
      </c>
      <c r="G102" s="184">
        <v>1780000</v>
      </c>
      <c r="H102" s="184">
        <v>1780000</v>
      </c>
      <c r="I102" s="184">
        <v>1780000</v>
      </c>
      <c r="J102" s="184">
        <v>1780000</v>
      </c>
      <c r="K102" s="184">
        <v>1780000</v>
      </c>
      <c r="L102" s="184">
        <v>1780000</v>
      </c>
      <c r="M102" s="184">
        <v>1780000</v>
      </c>
      <c r="N102" s="184">
        <v>1780000</v>
      </c>
      <c r="O102" s="1744">
        <f t="shared" si="6"/>
        <v>1780000</v>
      </c>
      <c r="P102" s="97"/>
    </row>
    <row r="103" spans="1:16">
      <c r="A103" t="s">
        <v>1053</v>
      </c>
      <c r="B103" s="184">
        <v>31000</v>
      </c>
      <c r="C103" s="184">
        <v>31000</v>
      </c>
      <c r="D103" s="184">
        <v>31000</v>
      </c>
      <c r="E103" s="184">
        <v>31000</v>
      </c>
      <c r="F103" s="184">
        <v>31000</v>
      </c>
      <c r="G103" s="184">
        <v>31000</v>
      </c>
      <c r="H103" s="184">
        <v>31000</v>
      </c>
      <c r="I103" s="184">
        <v>31000</v>
      </c>
      <c r="J103" s="184">
        <v>31000</v>
      </c>
      <c r="K103" s="184">
        <v>31000</v>
      </c>
      <c r="L103" s="184">
        <v>31000</v>
      </c>
      <c r="M103" s="184">
        <v>31000</v>
      </c>
      <c r="N103" s="184">
        <v>31000</v>
      </c>
      <c r="O103" s="1744">
        <f t="shared" si="6"/>
        <v>31000</v>
      </c>
      <c r="P103" s="97"/>
    </row>
    <row r="104" spans="1:16">
      <c r="A104" t="s">
        <v>1054</v>
      </c>
      <c r="B104" s="184">
        <v>206000</v>
      </c>
      <c r="C104" s="184">
        <v>206000</v>
      </c>
      <c r="D104" s="184">
        <v>206000</v>
      </c>
      <c r="E104" s="184">
        <v>206000</v>
      </c>
      <c r="F104" s="184">
        <v>206000</v>
      </c>
      <c r="G104" s="184">
        <v>206000</v>
      </c>
      <c r="H104" s="184">
        <v>206000</v>
      </c>
      <c r="I104" s="184">
        <v>206000</v>
      </c>
      <c r="J104" s="184">
        <v>206000</v>
      </c>
      <c r="K104" s="184">
        <v>206000</v>
      </c>
      <c r="L104" s="184">
        <v>206000</v>
      </c>
      <c r="M104" s="184">
        <v>206000</v>
      </c>
      <c r="N104" s="184">
        <v>206000</v>
      </c>
      <c r="O104" s="1744">
        <f t="shared" si="6"/>
        <v>206000</v>
      </c>
      <c r="P104" s="97"/>
    </row>
    <row r="105" spans="1:16">
      <c r="A105" t="s">
        <v>1055</v>
      </c>
      <c r="B105" s="184">
        <v>127000</v>
      </c>
      <c r="C105" s="184">
        <v>127000</v>
      </c>
      <c r="D105" s="184">
        <v>127000</v>
      </c>
      <c r="E105" s="184">
        <v>127000</v>
      </c>
      <c r="F105" s="184">
        <v>127000</v>
      </c>
      <c r="G105" s="184">
        <v>127000</v>
      </c>
      <c r="H105" s="184">
        <v>127000</v>
      </c>
      <c r="I105" s="184">
        <v>127000</v>
      </c>
      <c r="J105" s="184">
        <v>127000</v>
      </c>
      <c r="K105" s="184">
        <v>127000</v>
      </c>
      <c r="L105" s="184">
        <v>127000</v>
      </c>
      <c r="M105" s="184">
        <v>127000</v>
      </c>
      <c r="N105" s="184">
        <v>127000</v>
      </c>
      <c r="O105" s="1744">
        <f t="shared" si="6"/>
        <v>127000</v>
      </c>
      <c r="P105" s="97"/>
    </row>
    <row r="106" spans="1:16">
      <c r="A106" t="s">
        <v>1063</v>
      </c>
      <c r="B106" s="184">
        <v>4059000</v>
      </c>
      <c r="C106" s="184">
        <v>4059000</v>
      </c>
      <c r="D106" s="184">
        <v>4059000</v>
      </c>
      <c r="E106" s="184">
        <v>4059000</v>
      </c>
      <c r="F106" s="184">
        <v>4059000</v>
      </c>
      <c r="G106" s="184">
        <v>4059000</v>
      </c>
      <c r="H106" s="184">
        <v>4059000</v>
      </c>
      <c r="I106" s="184">
        <v>4059000</v>
      </c>
      <c r="J106" s="184">
        <v>4059000</v>
      </c>
      <c r="K106" s="184">
        <v>4059000</v>
      </c>
      <c r="L106" s="184">
        <v>4059000</v>
      </c>
      <c r="M106" s="184">
        <v>4059000</v>
      </c>
      <c r="N106" s="184">
        <v>4059000</v>
      </c>
      <c r="O106" s="1744">
        <f t="shared" si="6"/>
        <v>4059000</v>
      </c>
      <c r="P106" s="97"/>
    </row>
    <row r="107" spans="1:16">
      <c r="A107" t="s">
        <v>1064</v>
      </c>
      <c r="B107" s="184">
        <v>4730000</v>
      </c>
      <c r="C107" s="184">
        <v>4730000</v>
      </c>
      <c r="D107" s="184">
        <v>4730000</v>
      </c>
      <c r="E107" s="184">
        <v>4730000</v>
      </c>
      <c r="F107" s="184">
        <v>4730000</v>
      </c>
      <c r="G107" s="184">
        <v>4730000</v>
      </c>
      <c r="H107" s="184">
        <v>4730000</v>
      </c>
      <c r="I107" s="184">
        <v>4730000</v>
      </c>
      <c r="J107" s="184">
        <v>4730000</v>
      </c>
      <c r="K107" s="184">
        <v>4730000</v>
      </c>
      <c r="L107" s="184">
        <v>4730000</v>
      </c>
      <c r="M107" s="184">
        <v>4730000</v>
      </c>
      <c r="N107" s="184">
        <v>4730000</v>
      </c>
      <c r="O107" s="1744">
        <f t="shared" si="6"/>
        <v>4730000</v>
      </c>
      <c r="P107" s="97"/>
    </row>
    <row r="108" spans="1:16">
      <c r="A108" t="s">
        <v>1056</v>
      </c>
      <c r="B108" s="184">
        <v>209000</v>
      </c>
      <c r="C108" s="184">
        <v>209000</v>
      </c>
      <c r="D108" s="184">
        <v>209000</v>
      </c>
      <c r="E108" s="184">
        <v>209000</v>
      </c>
      <c r="F108" s="184">
        <v>209000</v>
      </c>
      <c r="G108" s="184">
        <v>209000</v>
      </c>
      <c r="H108" s="184">
        <v>209000</v>
      </c>
      <c r="I108" s="184">
        <v>209000</v>
      </c>
      <c r="J108" s="184">
        <v>209000</v>
      </c>
      <c r="K108" s="184">
        <v>209000</v>
      </c>
      <c r="L108" s="184">
        <v>209000</v>
      </c>
      <c r="M108" s="184">
        <v>209000</v>
      </c>
      <c r="N108" s="184">
        <v>209000</v>
      </c>
      <c r="O108" s="1744">
        <f t="shared" si="6"/>
        <v>209000</v>
      </c>
      <c r="P108" s="97"/>
    </row>
    <row r="109" spans="1:16">
      <c r="A109" t="s">
        <v>1057</v>
      </c>
      <c r="B109" s="184">
        <v>92000</v>
      </c>
      <c r="C109" s="184">
        <v>92000</v>
      </c>
      <c r="D109" s="184">
        <v>92000</v>
      </c>
      <c r="E109" s="184">
        <v>92000</v>
      </c>
      <c r="F109" s="184">
        <v>92000</v>
      </c>
      <c r="G109" s="184">
        <v>92000</v>
      </c>
      <c r="H109" s="184">
        <v>92000</v>
      </c>
      <c r="I109" s="184">
        <v>92000</v>
      </c>
      <c r="J109" s="184">
        <v>92000</v>
      </c>
      <c r="K109" s="184">
        <v>92000</v>
      </c>
      <c r="L109" s="184">
        <v>92000</v>
      </c>
      <c r="M109" s="184">
        <v>92000</v>
      </c>
      <c r="N109" s="184">
        <v>92000</v>
      </c>
      <c r="O109" s="1744">
        <f t="shared" ref="O109:O150" si="7">AVERAGE(B109:N109)</f>
        <v>92000</v>
      </c>
      <c r="P109" s="97"/>
    </row>
    <row r="110" spans="1:16">
      <c r="A110" t="s">
        <v>1058</v>
      </c>
      <c r="B110" s="184">
        <v>26000</v>
      </c>
      <c r="C110" s="184">
        <v>26000</v>
      </c>
      <c r="D110" s="184">
        <v>26000</v>
      </c>
      <c r="E110" s="184">
        <v>26000</v>
      </c>
      <c r="F110" s="184">
        <v>26000</v>
      </c>
      <c r="G110" s="184">
        <v>26000</v>
      </c>
      <c r="H110" s="184">
        <v>26000</v>
      </c>
      <c r="I110" s="184">
        <v>26000</v>
      </c>
      <c r="J110" s="184">
        <v>26000</v>
      </c>
      <c r="K110" s="184">
        <v>26000</v>
      </c>
      <c r="L110" s="184">
        <v>26000</v>
      </c>
      <c r="M110" s="184">
        <v>26000</v>
      </c>
      <c r="N110" s="184">
        <v>26000</v>
      </c>
      <c r="O110" s="1744">
        <f t="shared" si="7"/>
        <v>26000</v>
      </c>
      <c r="P110" s="97"/>
    </row>
    <row r="111" spans="1:16">
      <c r="A111" t="s">
        <v>1077</v>
      </c>
      <c r="B111" s="184">
        <v>2835000</v>
      </c>
      <c r="C111" s="184">
        <v>2835000</v>
      </c>
      <c r="D111" s="184">
        <v>2835000</v>
      </c>
      <c r="E111" s="184">
        <v>2835000</v>
      </c>
      <c r="F111" s="184">
        <v>2835000</v>
      </c>
      <c r="G111" s="184">
        <v>2835000</v>
      </c>
      <c r="H111" s="184">
        <v>2835000</v>
      </c>
      <c r="I111" s="184">
        <v>2835000</v>
      </c>
      <c r="J111" s="184">
        <v>2835000</v>
      </c>
      <c r="K111" s="184">
        <v>2835000</v>
      </c>
      <c r="L111" s="184">
        <v>2835000</v>
      </c>
      <c r="M111" s="184">
        <v>2835000</v>
      </c>
      <c r="N111" s="184">
        <v>2835000</v>
      </c>
      <c r="O111" s="1744">
        <f t="shared" si="7"/>
        <v>2835000</v>
      </c>
      <c r="P111" s="97"/>
    </row>
    <row r="112" spans="1:16">
      <c r="A112" t="s">
        <v>1059</v>
      </c>
      <c r="B112" s="184">
        <v>3525000</v>
      </c>
      <c r="C112" s="184">
        <v>3525000</v>
      </c>
      <c r="D112" s="184">
        <v>3525000</v>
      </c>
      <c r="E112" s="184">
        <v>3525000</v>
      </c>
      <c r="F112" s="184">
        <v>3525000</v>
      </c>
      <c r="G112" s="184">
        <v>3525000</v>
      </c>
      <c r="H112" s="184">
        <v>3525000</v>
      </c>
      <c r="I112" s="184">
        <v>3525000</v>
      </c>
      <c r="J112" s="184">
        <v>3525000</v>
      </c>
      <c r="K112" s="184">
        <v>3525000</v>
      </c>
      <c r="L112" s="184">
        <v>3525000</v>
      </c>
      <c r="M112" s="184">
        <v>3525000</v>
      </c>
      <c r="N112" s="184">
        <v>3525000</v>
      </c>
      <c r="O112" s="1744">
        <f t="shared" si="7"/>
        <v>3525000</v>
      </c>
      <c r="P112" s="97"/>
    </row>
    <row r="113" spans="1:16">
      <c r="A113" t="s">
        <v>1060</v>
      </c>
      <c r="B113" s="184">
        <v>137000</v>
      </c>
      <c r="C113" s="184">
        <v>137000</v>
      </c>
      <c r="D113" s="184">
        <v>137000</v>
      </c>
      <c r="E113" s="184">
        <v>137000</v>
      </c>
      <c r="F113" s="184">
        <v>137000</v>
      </c>
      <c r="G113" s="184">
        <v>137000</v>
      </c>
      <c r="H113" s="184">
        <v>137000</v>
      </c>
      <c r="I113" s="184">
        <v>137000</v>
      </c>
      <c r="J113" s="184">
        <v>137000</v>
      </c>
      <c r="K113" s="184">
        <v>137000</v>
      </c>
      <c r="L113" s="184">
        <v>137000</v>
      </c>
      <c r="M113" s="184">
        <v>137000</v>
      </c>
      <c r="N113" s="184">
        <v>137000</v>
      </c>
      <c r="O113" s="1744">
        <f t="shared" si="7"/>
        <v>137000</v>
      </c>
      <c r="P113" s="97"/>
    </row>
    <row r="114" spans="1:16">
      <c r="A114" t="s">
        <v>1061</v>
      </c>
      <c r="B114" s="184">
        <v>13000</v>
      </c>
      <c r="C114" s="184">
        <v>13000</v>
      </c>
      <c r="D114" s="184">
        <v>13000</v>
      </c>
      <c r="E114" s="184">
        <v>13000</v>
      </c>
      <c r="F114" s="184">
        <v>13000</v>
      </c>
      <c r="G114" s="184">
        <v>13000</v>
      </c>
      <c r="H114" s="184">
        <v>13000</v>
      </c>
      <c r="I114" s="184">
        <v>13000</v>
      </c>
      <c r="J114" s="184">
        <v>13000</v>
      </c>
      <c r="K114" s="184">
        <v>13000</v>
      </c>
      <c r="L114" s="184">
        <v>13000</v>
      </c>
      <c r="M114" s="184">
        <v>13000</v>
      </c>
      <c r="N114" s="184">
        <v>13000</v>
      </c>
      <c r="O114" s="1744">
        <f t="shared" si="7"/>
        <v>13000</v>
      </c>
      <c r="P114" s="97"/>
    </row>
    <row r="115" spans="1:16">
      <c r="A115" t="s">
        <v>0</v>
      </c>
      <c r="B115" s="184">
        <v>2706000</v>
      </c>
      <c r="C115" s="184">
        <v>2706000</v>
      </c>
      <c r="D115" s="184">
        <v>2706000</v>
      </c>
      <c r="E115" s="184">
        <v>2706000</v>
      </c>
      <c r="F115" s="184">
        <v>2706000</v>
      </c>
      <c r="G115" s="184">
        <v>2706000</v>
      </c>
      <c r="H115" s="184">
        <v>2706000</v>
      </c>
      <c r="I115" s="184">
        <v>2706000</v>
      </c>
      <c r="J115" s="184">
        <v>2706000</v>
      </c>
      <c r="K115" s="184">
        <v>2706000</v>
      </c>
      <c r="L115" s="184">
        <v>2706000</v>
      </c>
      <c r="M115" s="184">
        <v>2706000</v>
      </c>
      <c r="N115" s="184">
        <v>2706000</v>
      </c>
      <c r="O115" s="1744">
        <f t="shared" si="7"/>
        <v>2706000</v>
      </c>
      <c r="P115" s="97"/>
    </row>
    <row r="116" spans="1:16">
      <c r="A116" t="s">
        <v>1</v>
      </c>
      <c r="B116" s="184">
        <v>2885000</v>
      </c>
      <c r="C116" s="184">
        <v>2885000</v>
      </c>
      <c r="D116" s="184">
        <v>2885000</v>
      </c>
      <c r="E116" s="184">
        <v>2885000</v>
      </c>
      <c r="F116" s="184">
        <v>2885000</v>
      </c>
      <c r="G116" s="184">
        <v>2885000</v>
      </c>
      <c r="H116" s="184">
        <v>2885000</v>
      </c>
      <c r="I116" s="184">
        <v>2885000</v>
      </c>
      <c r="J116" s="184">
        <v>2885000</v>
      </c>
      <c r="K116" s="184">
        <v>2885000</v>
      </c>
      <c r="L116" s="184">
        <v>2885000</v>
      </c>
      <c r="M116" s="184">
        <v>2885000</v>
      </c>
      <c r="N116" s="184">
        <v>2885000</v>
      </c>
      <c r="O116" s="1744">
        <f t="shared" si="7"/>
        <v>2885000</v>
      </c>
      <c r="P116" s="97"/>
    </row>
    <row r="117" spans="1:16">
      <c r="A117" t="s">
        <v>2</v>
      </c>
      <c r="B117" s="184">
        <v>2050000</v>
      </c>
      <c r="C117" s="184">
        <v>2050000</v>
      </c>
      <c r="D117" s="184">
        <v>2050000</v>
      </c>
      <c r="E117" s="184">
        <v>2050000</v>
      </c>
      <c r="F117" s="184">
        <v>2050000</v>
      </c>
      <c r="G117" s="184">
        <v>2560000</v>
      </c>
      <c r="H117" s="184">
        <v>2566000</v>
      </c>
      <c r="I117" s="184">
        <v>2566000</v>
      </c>
      <c r="J117" s="184">
        <v>2566000</v>
      </c>
      <c r="K117" s="184">
        <v>2566000</v>
      </c>
      <c r="L117" s="184">
        <v>2566000</v>
      </c>
      <c r="M117" s="184">
        <v>2566000</v>
      </c>
      <c r="N117" s="184">
        <v>2566000</v>
      </c>
      <c r="O117" s="1744">
        <f t="shared" si="7"/>
        <v>2367076.923076923</v>
      </c>
      <c r="P117" s="97"/>
    </row>
    <row r="118" spans="1:16">
      <c r="A118" t="s">
        <v>3</v>
      </c>
      <c r="B118" s="184">
        <v>10815000</v>
      </c>
      <c r="C118" s="184">
        <v>10815000</v>
      </c>
      <c r="D118" s="184">
        <v>10815000</v>
      </c>
      <c r="E118" s="184">
        <v>10815000</v>
      </c>
      <c r="F118" s="184">
        <v>10815000</v>
      </c>
      <c r="G118" s="184">
        <v>10815000</v>
      </c>
      <c r="H118" s="184">
        <v>10815000</v>
      </c>
      <c r="I118" s="184">
        <v>10815000</v>
      </c>
      <c r="J118" s="184">
        <v>10815000</v>
      </c>
      <c r="K118" s="184">
        <v>10815000</v>
      </c>
      <c r="L118" s="184">
        <v>10815000</v>
      </c>
      <c r="M118" s="184">
        <v>10815000</v>
      </c>
      <c r="N118" s="184">
        <v>10815000</v>
      </c>
      <c r="O118" s="1744">
        <f t="shared" si="7"/>
        <v>10815000</v>
      </c>
      <c r="P118" s="97"/>
    </row>
    <row r="119" spans="1:16">
      <c r="A119" t="s">
        <v>1157</v>
      </c>
      <c r="B119" s="184">
        <v>9688000</v>
      </c>
      <c r="C119" s="184">
        <v>9688000</v>
      </c>
      <c r="D119" s="184">
        <v>9688000</v>
      </c>
      <c r="E119" s="184">
        <v>9688000</v>
      </c>
      <c r="F119" s="184">
        <v>9688000</v>
      </c>
      <c r="G119" s="184">
        <v>9688000</v>
      </c>
      <c r="H119" s="184">
        <v>9688000</v>
      </c>
      <c r="I119" s="184">
        <v>9688000</v>
      </c>
      <c r="J119" s="184">
        <v>9688000</v>
      </c>
      <c r="K119" s="184">
        <v>9688000</v>
      </c>
      <c r="L119" s="184">
        <v>9688000</v>
      </c>
      <c r="M119" s="184">
        <v>9688000</v>
      </c>
      <c r="N119" s="184">
        <v>9688000</v>
      </c>
      <c r="O119" s="1744">
        <f t="shared" si="7"/>
        <v>9688000</v>
      </c>
      <c r="P119" s="97"/>
    </row>
    <row r="120" spans="1:16">
      <c r="A120" t="s">
        <v>4</v>
      </c>
      <c r="B120" s="184">
        <v>8292000</v>
      </c>
      <c r="C120" s="184">
        <v>8292000</v>
      </c>
      <c r="D120" s="184">
        <v>8292000</v>
      </c>
      <c r="E120" s="184">
        <v>8292000</v>
      </c>
      <c r="F120" s="184">
        <v>8292000</v>
      </c>
      <c r="G120" s="184">
        <v>8292000</v>
      </c>
      <c r="H120" s="184">
        <v>8292000</v>
      </c>
      <c r="I120" s="184">
        <v>8292000</v>
      </c>
      <c r="J120" s="184">
        <v>8292000</v>
      </c>
      <c r="K120" s="184">
        <v>8292000</v>
      </c>
      <c r="L120" s="184">
        <v>8292000</v>
      </c>
      <c r="M120" s="184">
        <v>8292000</v>
      </c>
      <c r="N120" s="184">
        <v>8292000</v>
      </c>
      <c r="O120" s="1744">
        <f t="shared" si="7"/>
        <v>8292000</v>
      </c>
      <c r="P120" s="97"/>
    </row>
    <row r="121" spans="1:16">
      <c r="A121" t="s">
        <v>5</v>
      </c>
      <c r="B121" s="184">
        <v>152000</v>
      </c>
      <c r="C121" s="184">
        <v>152000</v>
      </c>
      <c r="D121" s="184">
        <v>152000</v>
      </c>
      <c r="E121" s="184">
        <v>152000</v>
      </c>
      <c r="F121" s="184">
        <v>152000</v>
      </c>
      <c r="G121" s="184">
        <v>152000</v>
      </c>
      <c r="H121" s="184">
        <v>152000</v>
      </c>
      <c r="I121" s="184">
        <v>152000</v>
      </c>
      <c r="J121" s="184">
        <v>152000</v>
      </c>
      <c r="K121" s="184">
        <v>152000</v>
      </c>
      <c r="L121" s="184">
        <v>152000</v>
      </c>
      <c r="M121" s="184">
        <v>152000</v>
      </c>
      <c r="N121" s="184">
        <v>152000</v>
      </c>
      <c r="O121" s="1744">
        <f t="shared" si="7"/>
        <v>152000</v>
      </c>
      <c r="P121" s="97"/>
    </row>
    <row r="122" spans="1:16">
      <c r="A122" t="s">
        <v>6</v>
      </c>
      <c r="B122" s="184">
        <v>159000</v>
      </c>
      <c r="C122" s="184">
        <v>159000</v>
      </c>
      <c r="D122" s="184">
        <v>159000</v>
      </c>
      <c r="E122" s="184">
        <v>159000</v>
      </c>
      <c r="F122" s="184">
        <v>159000</v>
      </c>
      <c r="G122" s="184">
        <v>159000</v>
      </c>
      <c r="H122" s="184">
        <v>159000</v>
      </c>
      <c r="I122" s="184">
        <v>159000</v>
      </c>
      <c r="J122" s="184">
        <v>159000</v>
      </c>
      <c r="K122" s="184">
        <v>159000</v>
      </c>
      <c r="L122" s="184">
        <v>159000</v>
      </c>
      <c r="M122" s="184">
        <v>159000</v>
      </c>
      <c r="N122" s="184">
        <v>159000</v>
      </c>
      <c r="O122" s="1744">
        <f t="shared" si="7"/>
        <v>159000</v>
      </c>
      <c r="P122" s="97"/>
    </row>
    <row r="123" spans="1:16">
      <c r="A123" t="s">
        <v>1065</v>
      </c>
      <c r="B123" s="184">
        <v>45000</v>
      </c>
      <c r="C123" s="184">
        <v>45000</v>
      </c>
      <c r="D123" s="184">
        <v>45000</v>
      </c>
      <c r="E123" s="184">
        <v>45000</v>
      </c>
      <c r="F123" s="184">
        <v>45000</v>
      </c>
      <c r="G123" s="184">
        <v>45000</v>
      </c>
      <c r="H123" s="184">
        <v>45000</v>
      </c>
      <c r="I123" s="184">
        <v>45000</v>
      </c>
      <c r="J123" s="184">
        <v>45000</v>
      </c>
      <c r="K123" s="184">
        <v>45000</v>
      </c>
      <c r="L123" s="184">
        <v>45000</v>
      </c>
      <c r="M123" s="184">
        <v>45000</v>
      </c>
      <c r="N123" s="184">
        <v>45000</v>
      </c>
      <c r="O123" s="1744">
        <f t="shared" si="7"/>
        <v>45000</v>
      </c>
      <c r="P123" s="97"/>
    </row>
    <row r="124" spans="1:16">
      <c r="A124" t="s">
        <v>7</v>
      </c>
      <c r="B124" s="184">
        <v>1545000</v>
      </c>
      <c r="C124" s="184">
        <v>1545000</v>
      </c>
      <c r="D124" s="184">
        <v>1545000</v>
      </c>
      <c r="E124" s="184">
        <v>1545000</v>
      </c>
      <c r="F124" s="184">
        <v>1545000</v>
      </c>
      <c r="G124" s="184">
        <v>1545000</v>
      </c>
      <c r="H124" s="184">
        <v>1545000</v>
      </c>
      <c r="I124" s="184">
        <v>1545000</v>
      </c>
      <c r="J124" s="184">
        <v>1545000</v>
      </c>
      <c r="K124" s="184">
        <v>1545000</v>
      </c>
      <c r="L124" s="184">
        <v>1545000</v>
      </c>
      <c r="M124" s="184">
        <v>1545000</v>
      </c>
      <c r="N124" s="184">
        <v>1545000</v>
      </c>
      <c r="O124" s="1744">
        <f t="shared" si="7"/>
        <v>1545000</v>
      </c>
      <c r="P124" s="97"/>
    </row>
    <row r="125" spans="1:16">
      <c r="A125" t="s">
        <v>8</v>
      </c>
      <c r="B125" s="184">
        <v>11000</v>
      </c>
      <c r="C125" s="184">
        <v>11000</v>
      </c>
      <c r="D125" s="184">
        <v>11000</v>
      </c>
      <c r="E125" s="184">
        <v>11000</v>
      </c>
      <c r="F125" s="184">
        <v>11000</v>
      </c>
      <c r="G125" s="184">
        <v>11000</v>
      </c>
      <c r="H125" s="184">
        <v>11000</v>
      </c>
      <c r="I125" s="184">
        <v>11000</v>
      </c>
      <c r="J125" s="184">
        <v>11000</v>
      </c>
      <c r="K125" s="184">
        <v>11000</v>
      </c>
      <c r="L125" s="184">
        <v>11000</v>
      </c>
      <c r="M125" s="184">
        <v>11000</v>
      </c>
      <c r="N125" s="184">
        <v>11000</v>
      </c>
      <c r="O125" s="1744">
        <f t="shared" si="7"/>
        <v>11000</v>
      </c>
      <c r="P125" s="97"/>
    </row>
    <row r="126" spans="1:16">
      <c r="A126" t="s">
        <v>9</v>
      </c>
      <c r="B126" s="184">
        <v>935000</v>
      </c>
      <c r="C126" s="184">
        <v>935000</v>
      </c>
      <c r="D126" s="184">
        <v>935000</v>
      </c>
      <c r="E126" s="184">
        <v>935000</v>
      </c>
      <c r="F126" s="184">
        <v>935000</v>
      </c>
      <c r="G126" s="184">
        <v>935000</v>
      </c>
      <c r="H126" s="184">
        <v>935000</v>
      </c>
      <c r="I126" s="184">
        <v>935000</v>
      </c>
      <c r="J126" s="184">
        <v>935000</v>
      </c>
      <c r="K126" s="184">
        <v>935000</v>
      </c>
      <c r="L126" s="184">
        <v>935000</v>
      </c>
      <c r="M126" s="184">
        <v>935000</v>
      </c>
      <c r="N126" s="184">
        <v>935000</v>
      </c>
      <c r="O126" s="1744">
        <f t="shared" si="7"/>
        <v>935000</v>
      </c>
      <c r="P126" s="97"/>
    </row>
    <row r="127" spans="1:16">
      <c r="A127" t="s">
        <v>10</v>
      </c>
      <c r="B127" s="184">
        <v>19000</v>
      </c>
      <c r="C127" s="184">
        <v>19000</v>
      </c>
      <c r="D127" s="184">
        <v>19000</v>
      </c>
      <c r="E127" s="184">
        <v>19000</v>
      </c>
      <c r="F127" s="184">
        <v>19000</v>
      </c>
      <c r="G127" s="184">
        <v>19000</v>
      </c>
      <c r="H127" s="184">
        <v>19000</v>
      </c>
      <c r="I127" s="184">
        <v>19000</v>
      </c>
      <c r="J127" s="184">
        <v>19000</v>
      </c>
      <c r="K127" s="184">
        <v>19000</v>
      </c>
      <c r="L127" s="184">
        <v>19000</v>
      </c>
      <c r="M127" s="184">
        <v>19000</v>
      </c>
      <c r="N127" s="184">
        <v>19000</v>
      </c>
      <c r="O127" s="1744">
        <f t="shared" si="7"/>
        <v>19000</v>
      </c>
      <c r="P127" s="97"/>
    </row>
    <row r="128" spans="1:16">
      <c r="A128" t="s">
        <v>11</v>
      </c>
      <c r="B128" s="184">
        <v>194000</v>
      </c>
      <c r="C128" s="184">
        <v>194000</v>
      </c>
      <c r="D128" s="184">
        <v>194000</v>
      </c>
      <c r="E128" s="184">
        <v>194000</v>
      </c>
      <c r="F128" s="184">
        <v>194000</v>
      </c>
      <c r="G128" s="184">
        <v>194000</v>
      </c>
      <c r="H128" s="184">
        <v>194000</v>
      </c>
      <c r="I128" s="184">
        <v>194000</v>
      </c>
      <c r="J128" s="184">
        <v>194000</v>
      </c>
      <c r="K128" s="184">
        <v>194000</v>
      </c>
      <c r="L128" s="184">
        <v>194000</v>
      </c>
      <c r="M128" s="184">
        <v>194000</v>
      </c>
      <c r="N128" s="184">
        <v>194000</v>
      </c>
      <c r="O128" s="1744">
        <f>AVERAGE(B128:N128)</f>
        <v>194000</v>
      </c>
      <c r="P128" s="97"/>
    </row>
    <row r="129" spans="1:16">
      <c r="A129" t="s">
        <v>12</v>
      </c>
      <c r="B129" s="184">
        <v>63000</v>
      </c>
      <c r="C129" s="184">
        <v>85000</v>
      </c>
      <c r="D129" s="184">
        <v>85000</v>
      </c>
      <c r="E129" s="184">
        <v>85000</v>
      </c>
      <c r="F129" s="184">
        <v>85000</v>
      </c>
      <c r="G129" s="184">
        <v>85000</v>
      </c>
      <c r="H129" s="184">
        <v>85000</v>
      </c>
      <c r="I129" s="184">
        <v>85000</v>
      </c>
      <c r="J129" s="184">
        <v>85000</v>
      </c>
      <c r="K129" s="184">
        <v>85000</v>
      </c>
      <c r="L129" s="184">
        <v>85000</v>
      </c>
      <c r="M129" s="184">
        <v>85000</v>
      </c>
      <c r="N129" s="184">
        <v>85000</v>
      </c>
      <c r="O129" s="1744">
        <f t="shared" si="7"/>
        <v>83307.692307692312</v>
      </c>
      <c r="P129" s="97"/>
    </row>
    <row r="130" spans="1:16">
      <c r="A130" t="s">
        <v>1123</v>
      </c>
      <c r="B130" s="184">
        <v>89000</v>
      </c>
      <c r="C130" s="184">
        <v>89000</v>
      </c>
      <c r="D130" s="184">
        <v>89000</v>
      </c>
      <c r="E130" s="184">
        <v>89000</v>
      </c>
      <c r="F130" s="184">
        <v>89000</v>
      </c>
      <c r="G130" s="184">
        <v>89000</v>
      </c>
      <c r="H130" s="184">
        <v>89000</v>
      </c>
      <c r="I130" s="184">
        <v>89000</v>
      </c>
      <c r="J130" s="184">
        <v>89000</v>
      </c>
      <c r="K130" s="184">
        <v>89000</v>
      </c>
      <c r="L130" s="184">
        <v>89000</v>
      </c>
      <c r="M130" s="184">
        <v>89000</v>
      </c>
      <c r="N130" s="184">
        <v>89000</v>
      </c>
      <c r="O130" s="1744">
        <f t="shared" si="7"/>
        <v>89000</v>
      </c>
      <c r="P130" s="97"/>
    </row>
    <row r="131" spans="1:16">
      <c r="A131" t="s">
        <v>13</v>
      </c>
      <c r="B131" s="184">
        <v>152000</v>
      </c>
      <c r="C131" s="184">
        <v>152000</v>
      </c>
      <c r="D131" s="184">
        <v>152000</v>
      </c>
      <c r="E131" s="184">
        <v>152000</v>
      </c>
      <c r="F131" s="184">
        <v>152000</v>
      </c>
      <c r="G131" s="184">
        <v>152000</v>
      </c>
      <c r="H131" s="184">
        <v>152000</v>
      </c>
      <c r="I131" s="184">
        <v>152000</v>
      </c>
      <c r="J131" s="184">
        <v>152000</v>
      </c>
      <c r="K131" s="184">
        <v>152000</v>
      </c>
      <c r="L131" s="184">
        <v>152000</v>
      </c>
      <c r="M131" s="184">
        <v>152000</v>
      </c>
      <c r="N131" s="184">
        <v>152000</v>
      </c>
      <c r="O131" s="1744">
        <f t="shared" si="7"/>
        <v>152000</v>
      </c>
      <c r="P131" s="97"/>
    </row>
    <row r="132" spans="1:16">
      <c r="A132" t="s">
        <v>14</v>
      </c>
      <c r="B132" s="184">
        <v>1175000</v>
      </c>
      <c r="C132" s="184">
        <v>1175000</v>
      </c>
      <c r="D132" s="184">
        <v>1175000</v>
      </c>
      <c r="E132" s="184">
        <v>1175000</v>
      </c>
      <c r="F132" s="184">
        <v>1175000</v>
      </c>
      <c r="G132" s="184">
        <v>1175000</v>
      </c>
      <c r="H132" s="184">
        <v>1175000</v>
      </c>
      <c r="I132" s="184">
        <v>1175000</v>
      </c>
      <c r="J132" s="184">
        <v>1175000</v>
      </c>
      <c r="K132" s="184">
        <v>1175000</v>
      </c>
      <c r="L132" s="184">
        <v>1175000</v>
      </c>
      <c r="M132" s="184">
        <v>1175000</v>
      </c>
      <c r="N132" s="184">
        <v>1175000</v>
      </c>
      <c r="O132" s="1744">
        <f t="shared" si="7"/>
        <v>1175000</v>
      </c>
      <c r="P132" s="97"/>
    </row>
    <row r="133" spans="1:16">
      <c r="A133" t="s">
        <v>1078</v>
      </c>
      <c r="B133" s="184">
        <v>4534000</v>
      </c>
      <c r="C133" s="184">
        <v>4534000</v>
      </c>
      <c r="D133" s="184">
        <v>4534000</v>
      </c>
      <c r="E133" s="184">
        <v>4534000</v>
      </c>
      <c r="F133" s="184">
        <v>4534000</v>
      </c>
      <c r="G133" s="184">
        <v>4534000</v>
      </c>
      <c r="H133" s="184">
        <v>4534000</v>
      </c>
      <c r="I133" s="184">
        <v>4534000</v>
      </c>
      <c r="J133" s="184">
        <v>4534000</v>
      </c>
      <c r="K133" s="184">
        <v>4534000</v>
      </c>
      <c r="L133" s="184">
        <v>4534000</v>
      </c>
      <c r="M133" s="184">
        <v>4534000</v>
      </c>
      <c r="N133" s="184">
        <v>4534000</v>
      </c>
      <c r="O133" s="1744">
        <f t="shared" si="7"/>
        <v>4534000</v>
      </c>
      <c r="P133" s="97"/>
    </row>
    <row r="134" spans="1:16">
      <c r="A134" t="s">
        <v>15</v>
      </c>
      <c r="B134" s="184">
        <v>1665000</v>
      </c>
      <c r="C134" s="184">
        <v>1665000</v>
      </c>
      <c r="D134" s="184">
        <v>1665000</v>
      </c>
      <c r="E134" s="184">
        <v>1665000</v>
      </c>
      <c r="F134" s="184">
        <v>1665000</v>
      </c>
      <c r="G134" s="184">
        <v>1665000</v>
      </c>
      <c r="H134" s="184">
        <v>1665000</v>
      </c>
      <c r="I134" s="184">
        <v>1665000</v>
      </c>
      <c r="J134" s="184">
        <v>1665000</v>
      </c>
      <c r="K134" s="184">
        <v>1665000</v>
      </c>
      <c r="L134" s="184">
        <v>1665000</v>
      </c>
      <c r="M134" s="184">
        <v>1665000</v>
      </c>
      <c r="N134" s="184">
        <v>1665000</v>
      </c>
      <c r="O134" s="1744">
        <f t="shared" si="7"/>
        <v>1665000</v>
      </c>
      <c r="P134" s="97"/>
    </row>
    <row r="135" spans="1:16">
      <c r="A135" t="s">
        <v>1164</v>
      </c>
      <c r="B135" s="184">
        <v>3000</v>
      </c>
      <c r="C135" s="184">
        <v>3000</v>
      </c>
      <c r="D135" s="184">
        <v>3000</v>
      </c>
      <c r="E135" s="184">
        <v>3000</v>
      </c>
      <c r="F135" s="184">
        <v>3000</v>
      </c>
      <c r="G135" s="184">
        <v>3000</v>
      </c>
      <c r="H135" s="184">
        <v>3000</v>
      </c>
      <c r="I135" s="184">
        <v>3000</v>
      </c>
      <c r="J135" s="184">
        <v>3000</v>
      </c>
      <c r="K135" s="184">
        <v>3000</v>
      </c>
      <c r="L135" s="184">
        <v>3000</v>
      </c>
      <c r="M135" s="184">
        <v>3000</v>
      </c>
      <c r="N135" s="184">
        <v>3000</v>
      </c>
      <c r="O135" s="1744">
        <f t="shared" si="7"/>
        <v>3000</v>
      </c>
      <c r="P135" s="97"/>
    </row>
    <row r="136" spans="1:16">
      <c r="A136" t="s">
        <v>16</v>
      </c>
      <c r="B136" s="184">
        <v>252000</v>
      </c>
      <c r="C136" s="184">
        <v>252000</v>
      </c>
      <c r="D136" s="184">
        <v>252000</v>
      </c>
      <c r="E136" s="184">
        <v>252000</v>
      </c>
      <c r="F136" s="184">
        <v>252000</v>
      </c>
      <c r="G136" s="184">
        <v>252000</v>
      </c>
      <c r="H136" s="184">
        <v>252000</v>
      </c>
      <c r="I136" s="184">
        <v>252000</v>
      </c>
      <c r="J136" s="184">
        <v>252000</v>
      </c>
      <c r="K136" s="184">
        <v>252000</v>
      </c>
      <c r="L136" s="184">
        <v>252000</v>
      </c>
      <c r="M136" s="184">
        <v>252000</v>
      </c>
      <c r="N136" s="184">
        <v>252000</v>
      </c>
      <c r="O136" s="1744">
        <f t="shared" si="7"/>
        <v>252000</v>
      </c>
      <c r="P136" s="97"/>
    </row>
    <row r="137" spans="1:16">
      <c r="A137" t="s">
        <v>17</v>
      </c>
      <c r="B137" s="184">
        <v>9000</v>
      </c>
      <c r="C137" s="184">
        <v>9000</v>
      </c>
      <c r="D137" s="184">
        <v>9000</v>
      </c>
      <c r="E137" s="184">
        <v>9000</v>
      </c>
      <c r="F137" s="184">
        <v>9000</v>
      </c>
      <c r="G137" s="184">
        <v>9000</v>
      </c>
      <c r="H137" s="184">
        <v>9000</v>
      </c>
      <c r="I137" s="184">
        <v>9000</v>
      </c>
      <c r="J137" s="184">
        <v>9000</v>
      </c>
      <c r="K137" s="184">
        <v>9000</v>
      </c>
      <c r="L137" s="184">
        <v>9000</v>
      </c>
      <c r="M137" s="184">
        <v>9000</v>
      </c>
      <c r="N137" s="184">
        <v>9000</v>
      </c>
      <c r="O137" s="1744">
        <f t="shared" si="7"/>
        <v>9000</v>
      </c>
      <c r="P137" s="97"/>
    </row>
    <row r="138" spans="1:16">
      <c r="A138" t="s">
        <v>18</v>
      </c>
      <c r="B138" s="184">
        <v>164000</v>
      </c>
      <c r="C138" s="184">
        <v>164000</v>
      </c>
      <c r="D138" s="184">
        <v>164000</v>
      </c>
      <c r="E138" s="184">
        <v>164000</v>
      </c>
      <c r="F138" s="184">
        <v>164000</v>
      </c>
      <c r="G138" s="184">
        <v>164000</v>
      </c>
      <c r="H138" s="184">
        <v>164000</v>
      </c>
      <c r="I138" s="184">
        <v>164000</v>
      </c>
      <c r="J138" s="184">
        <v>164000</v>
      </c>
      <c r="K138" s="184">
        <v>164000</v>
      </c>
      <c r="L138" s="184">
        <v>164000</v>
      </c>
      <c r="M138" s="184">
        <v>164000</v>
      </c>
      <c r="N138" s="184">
        <v>164000</v>
      </c>
      <c r="O138" s="1744">
        <f t="shared" si="7"/>
        <v>164000</v>
      </c>
      <c r="P138" s="97"/>
    </row>
    <row r="139" spans="1:16">
      <c r="A139" t="s">
        <v>19</v>
      </c>
      <c r="B139" s="184">
        <v>103000</v>
      </c>
      <c r="C139" s="184">
        <v>103000</v>
      </c>
      <c r="D139" s="184">
        <v>103000</v>
      </c>
      <c r="E139" s="184">
        <v>103000</v>
      </c>
      <c r="F139" s="184">
        <v>103000</v>
      </c>
      <c r="G139" s="184">
        <v>103000</v>
      </c>
      <c r="H139" s="184">
        <v>103000</v>
      </c>
      <c r="I139" s="184">
        <v>103000</v>
      </c>
      <c r="J139" s="184">
        <v>103000</v>
      </c>
      <c r="K139" s="184">
        <v>103000</v>
      </c>
      <c r="L139" s="184">
        <v>103000</v>
      </c>
      <c r="M139" s="184">
        <v>103000</v>
      </c>
      <c r="N139" s="184">
        <v>103000</v>
      </c>
      <c r="O139" s="1744">
        <f t="shared" si="7"/>
        <v>103000</v>
      </c>
      <c r="P139" s="97"/>
    </row>
    <row r="140" spans="1:16">
      <c r="A140" t="s">
        <v>20</v>
      </c>
      <c r="B140" s="184">
        <v>63000</v>
      </c>
      <c r="C140" s="184">
        <v>63000</v>
      </c>
      <c r="D140" s="184">
        <v>63000</v>
      </c>
      <c r="E140" s="184">
        <v>63000</v>
      </c>
      <c r="F140" s="184">
        <v>63000</v>
      </c>
      <c r="G140" s="184">
        <v>63000</v>
      </c>
      <c r="H140" s="184">
        <v>63000</v>
      </c>
      <c r="I140" s="184">
        <v>63000</v>
      </c>
      <c r="J140" s="184">
        <v>63000</v>
      </c>
      <c r="K140" s="184">
        <v>63000</v>
      </c>
      <c r="L140" s="184">
        <v>63000</v>
      </c>
      <c r="M140" s="184">
        <v>63000</v>
      </c>
      <c r="N140" s="184">
        <v>63000</v>
      </c>
      <c r="O140" s="1744">
        <f t="shared" si="7"/>
        <v>63000</v>
      </c>
      <c r="P140" s="97"/>
    </row>
    <row r="141" spans="1:16">
      <c r="A141" t="s">
        <v>1124</v>
      </c>
      <c r="B141" s="184">
        <v>68000</v>
      </c>
      <c r="C141" s="184">
        <v>68000</v>
      </c>
      <c r="D141" s="184">
        <v>68000</v>
      </c>
      <c r="E141" s="184">
        <v>68000</v>
      </c>
      <c r="F141" s="184">
        <v>68000</v>
      </c>
      <c r="G141" s="184">
        <v>68000</v>
      </c>
      <c r="H141" s="184">
        <v>68000</v>
      </c>
      <c r="I141" s="184">
        <v>68000</v>
      </c>
      <c r="J141" s="184">
        <v>68000</v>
      </c>
      <c r="K141" s="184">
        <v>68000</v>
      </c>
      <c r="L141" s="184">
        <v>68000</v>
      </c>
      <c r="M141" s="184">
        <v>68000</v>
      </c>
      <c r="N141" s="184">
        <v>68000</v>
      </c>
      <c r="O141" s="1744">
        <f t="shared" si="7"/>
        <v>68000</v>
      </c>
      <c r="P141" s="97"/>
    </row>
    <row r="142" spans="1:16">
      <c r="A142" t="s">
        <v>21</v>
      </c>
      <c r="B142" s="184">
        <v>59000</v>
      </c>
      <c r="C142" s="184">
        <v>59000</v>
      </c>
      <c r="D142" s="184">
        <v>59000</v>
      </c>
      <c r="E142" s="184">
        <v>59000</v>
      </c>
      <c r="F142" s="184">
        <v>59000</v>
      </c>
      <c r="G142" s="184">
        <v>59000</v>
      </c>
      <c r="H142" s="184">
        <v>59000</v>
      </c>
      <c r="I142" s="184">
        <v>59000</v>
      </c>
      <c r="J142" s="184">
        <v>59000</v>
      </c>
      <c r="K142" s="184">
        <v>59000</v>
      </c>
      <c r="L142" s="184">
        <v>59000</v>
      </c>
      <c r="M142" s="184">
        <v>59000</v>
      </c>
      <c r="N142" s="184">
        <v>59000</v>
      </c>
      <c r="O142" s="1744">
        <f t="shared" si="7"/>
        <v>59000</v>
      </c>
      <c r="P142" s="97"/>
    </row>
    <row r="143" spans="1:16">
      <c r="A143" t="s">
        <v>22</v>
      </c>
      <c r="B143" s="184">
        <v>378000</v>
      </c>
      <c r="C143" s="184">
        <v>378000</v>
      </c>
      <c r="D143" s="184">
        <v>378000</v>
      </c>
      <c r="E143" s="184">
        <v>378000</v>
      </c>
      <c r="F143" s="184">
        <v>378000</v>
      </c>
      <c r="G143" s="184">
        <v>378000</v>
      </c>
      <c r="H143" s="184">
        <v>378000</v>
      </c>
      <c r="I143" s="184">
        <v>378000</v>
      </c>
      <c r="J143" s="184">
        <v>378000</v>
      </c>
      <c r="K143" s="184">
        <v>378000</v>
      </c>
      <c r="L143" s="184">
        <v>378000</v>
      </c>
      <c r="M143" s="184">
        <v>378000</v>
      </c>
      <c r="N143" s="184">
        <v>378000</v>
      </c>
      <c r="O143" s="1744">
        <f t="shared" si="7"/>
        <v>378000</v>
      </c>
      <c r="P143" s="97"/>
    </row>
    <row r="144" spans="1:16">
      <c r="A144" t="s">
        <v>1079</v>
      </c>
      <c r="B144" s="184">
        <v>3023000</v>
      </c>
      <c r="C144" s="184">
        <v>3023000</v>
      </c>
      <c r="D144" s="184">
        <v>3023000</v>
      </c>
      <c r="E144" s="184">
        <v>3023000</v>
      </c>
      <c r="F144" s="184">
        <v>3023000</v>
      </c>
      <c r="G144" s="184">
        <v>3023000</v>
      </c>
      <c r="H144" s="184">
        <v>3023000</v>
      </c>
      <c r="I144" s="184">
        <v>3023000</v>
      </c>
      <c r="J144" s="184">
        <v>3023000</v>
      </c>
      <c r="K144" s="184">
        <v>3023000</v>
      </c>
      <c r="L144" s="184">
        <v>3023000</v>
      </c>
      <c r="M144" s="184">
        <v>3023000</v>
      </c>
      <c r="N144" s="184">
        <v>3023000</v>
      </c>
      <c r="O144" s="1744">
        <f t="shared" si="7"/>
        <v>3023000</v>
      </c>
      <c r="P144" s="97"/>
    </row>
    <row r="145" spans="1:16">
      <c r="A145" t="s">
        <v>1125</v>
      </c>
      <c r="B145" s="184">
        <v>510000</v>
      </c>
      <c r="C145" s="184">
        <v>510000</v>
      </c>
      <c r="D145" s="184">
        <v>510000</v>
      </c>
      <c r="E145" s="184">
        <v>510000</v>
      </c>
      <c r="F145" s="184">
        <v>510000</v>
      </c>
      <c r="G145" s="184">
        <v>510000</v>
      </c>
      <c r="H145" s="184">
        <v>510000</v>
      </c>
      <c r="I145" s="184">
        <v>510000</v>
      </c>
      <c r="J145" s="184">
        <v>510000</v>
      </c>
      <c r="K145" s="184">
        <v>510000</v>
      </c>
      <c r="L145" s="184">
        <v>510000</v>
      </c>
      <c r="M145" s="184">
        <v>510000</v>
      </c>
      <c r="N145" s="184">
        <v>510000</v>
      </c>
      <c r="O145" s="1744">
        <f t="shared" si="7"/>
        <v>510000</v>
      </c>
      <c r="P145" s="97"/>
    </row>
    <row r="146" spans="1:16">
      <c r="A146" t="s">
        <v>1165</v>
      </c>
      <c r="B146" s="184">
        <v>3475000</v>
      </c>
      <c r="C146" s="184">
        <v>3475000</v>
      </c>
      <c r="D146" s="184">
        <v>3475000</v>
      </c>
      <c r="E146" s="184">
        <v>3475000</v>
      </c>
      <c r="F146" s="184">
        <v>3475000</v>
      </c>
      <c r="G146" s="184">
        <v>3475000</v>
      </c>
      <c r="H146" s="184">
        <v>3475000</v>
      </c>
      <c r="I146" s="184">
        <v>3475000</v>
      </c>
      <c r="J146" s="184">
        <v>3475000</v>
      </c>
      <c r="K146" s="184">
        <v>3475000</v>
      </c>
      <c r="L146" s="184">
        <v>3475000</v>
      </c>
      <c r="M146" s="184">
        <v>3475000</v>
      </c>
      <c r="N146" s="184">
        <v>3475000</v>
      </c>
      <c r="O146" s="1744">
        <f>AVERAGE(B146:N146)</f>
        <v>3475000</v>
      </c>
      <c r="P146" s="97"/>
    </row>
    <row r="147" spans="1:16">
      <c r="A147" t="s">
        <v>1080</v>
      </c>
      <c r="B147" s="184">
        <v>22546000</v>
      </c>
      <c r="C147" s="184">
        <v>22546000</v>
      </c>
      <c r="D147" s="184">
        <v>22546000</v>
      </c>
      <c r="E147" s="184">
        <v>22546000</v>
      </c>
      <c r="F147" s="184">
        <v>22546000</v>
      </c>
      <c r="G147" s="184">
        <v>22546000</v>
      </c>
      <c r="H147" s="184">
        <v>22546000</v>
      </c>
      <c r="I147" s="184">
        <v>22546000</v>
      </c>
      <c r="J147" s="184">
        <v>22546000</v>
      </c>
      <c r="K147" s="184">
        <v>22546000</v>
      </c>
      <c r="L147" s="184">
        <v>22546000</v>
      </c>
      <c r="M147" s="184">
        <v>22546000</v>
      </c>
      <c r="N147" s="184">
        <v>22546000</v>
      </c>
      <c r="O147" s="1744">
        <f t="shared" si="7"/>
        <v>22546000</v>
      </c>
      <c r="P147" s="97"/>
    </row>
    <row r="148" spans="1:16">
      <c r="A148" t="s">
        <v>1126</v>
      </c>
      <c r="B148" s="184">
        <v>3837000</v>
      </c>
      <c r="C148" s="184">
        <v>3837000</v>
      </c>
      <c r="D148" s="184">
        <v>3837000</v>
      </c>
      <c r="E148" s="184">
        <v>3837000</v>
      </c>
      <c r="F148" s="184">
        <v>3837000</v>
      </c>
      <c r="G148" s="184">
        <v>3837000</v>
      </c>
      <c r="H148" s="184">
        <v>3837000</v>
      </c>
      <c r="I148" s="184">
        <v>3837000</v>
      </c>
      <c r="J148" s="184">
        <v>3837000</v>
      </c>
      <c r="K148" s="184">
        <v>3837000</v>
      </c>
      <c r="L148" s="184">
        <v>3837000</v>
      </c>
      <c r="M148" s="184">
        <v>3837000</v>
      </c>
      <c r="N148" s="184">
        <v>3837000</v>
      </c>
      <c r="O148" s="1744">
        <f t="shared" si="7"/>
        <v>3837000</v>
      </c>
      <c r="P148" s="97"/>
    </row>
    <row r="149" spans="1:16">
      <c r="A149" t="s">
        <v>1127</v>
      </c>
      <c r="B149" s="184">
        <v>1080000</v>
      </c>
      <c r="C149" s="184">
        <v>1080000</v>
      </c>
      <c r="D149" s="184">
        <v>1080000</v>
      </c>
      <c r="E149" s="184">
        <v>1080000</v>
      </c>
      <c r="F149" s="184">
        <v>1080000</v>
      </c>
      <c r="G149" s="184">
        <v>1080000</v>
      </c>
      <c r="H149" s="184">
        <v>1080000</v>
      </c>
      <c r="I149" s="184">
        <v>1080000</v>
      </c>
      <c r="J149" s="184">
        <v>1080000</v>
      </c>
      <c r="K149" s="184">
        <v>1080000</v>
      </c>
      <c r="L149" s="184">
        <v>1080000</v>
      </c>
      <c r="M149" s="184">
        <v>1080000</v>
      </c>
      <c r="N149" s="184">
        <v>1080000</v>
      </c>
      <c r="O149" s="1744">
        <f t="shared" si="7"/>
        <v>1080000</v>
      </c>
      <c r="P149" s="97"/>
    </row>
    <row r="150" spans="1:16">
      <c r="A150" t="s">
        <v>1128</v>
      </c>
      <c r="B150" s="184">
        <v>3086000</v>
      </c>
      <c r="C150" s="184">
        <v>3086000</v>
      </c>
      <c r="D150" s="184">
        <v>3086000</v>
      </c>
      <c r="E150" s="184">
        <v>3086000</v>
      </c>
      <c r="F150" s="184">
        <v>3086000</v>
      </c>
      <c r="G150" s="184">
        <v>3086000</v>
      </c>
      <c r="H150" s="184">
        <v>3086000</v>
      </c>
      <c r="I150" s="184">
        <v>3086000</v>
      </c>
      <c r="J150" s="184">
        <v>3086000</v>
      </c>
      <c r="K150" s="184">
        <v>3086000</v>
      </c>
      <c r="L150" s="184">
        <v>3086000</v>
      </c>
      <c r="M150" s="184">
        <v>3086000</v>
      </c>
      <c r="N150" s="184">
        <v>3086000</v>
      </c>
      <c r="O150" s="1744">
        <f t="shared" si="7"/>
        <v>3086000</v>
      </c>
      <c r="P150" s="97"/>
    </row>
    <row r="151" spans="1:16">
      <c r="A151" t="s">
        <v>23</v>
      </c>
      <c r="B151" s="428">
        <v>8000</v>
      </c>
      <c r="C151" s="184">
        <v>8000</v>
      </c>
      <c r="D151" s="184">
        <v>8000</v>
      </c>
      <c r="E151" s="184">
        <v>8000</v>
      </c>
      <c r="F151" s="184">
        <v>8000</v>
      </c>
      <c r="G151" s="184">
        <v>8000</v>
      </c>
      <c r="H151" s="184">
        <v>8000</v>
      </c>
      <c r="I151" s="184">
        <v>8000</v>
      </c>
      <c r="J151" s="184">
        <v>8000</v>
      </c>
      <c r="K151" s="184">
        <v>8000</v>
      </c>
      <c r="L151" s="184">
        <v>8000</v>
      </c>
      <c r="M151" s="184">
        <v>8000</v>
      </c>
      <c r="N151" s="184">
        <v>8000</v>
      </c>
      <c r="O151" s="1744">
        <f>AVERAGE(B151:N151)</f>
        <v>8000</v>
      </c>
      <c r="P151" s="97"/>
    </row>
    <row r="152" spans="1:16">
      <c r="A152" s="1333" t="s">
        <v>1147</v>
      </c>
      <c r="B152" s="1807">
        <f>SUM(B78:B151)</f>
        <v>176930000</v>
      </c>
      <c r="C152" s="1807">
        <f t="shared" ref="C152:M152" si="8">SUM(C78:C150)</f>
        <v>176944000</v>
      </c>
      <c r="D152" s="1807">
        <f t="shared" si="8"/>
        <v>176944000</v>
      </c>
      <c r="E152" s="1807">
        <f t="shared" si="8"/>
        <v>176944000</v>
      </c>
      <c r="F152" s="1807">
        <f t="shared" si="8"/>
        <v>176944000</v>
      </c>
      <c r="G152" s="1807">
        <f t="shared" si="8"/>
        <v>177454000</v>
      </c>
      <c r="H152" s="1807">
        <f t="shared" si="8"/>
        <v>177460000</v>
      </c>
      <c r="I152" s="1807">
        <f t="shared" si="8"/>
        <v>177460000</v>
      </c>
      <c r="J152" s="1807">
        <f t="shared" si="8"/>
        <v>177460000</v>
      </c>
      <c r="K152" s="1807">
        <f t="shared" si="8"/>
        <v>177460000</v>
      </c>
      <c r="L152" s="1807">
        <f t="shared" si="8"/>
        <v>177700000</v>
      </c>
      <c r="M152" s="1807">
        <f t="shared" si="8"/>
        <v>177702000</v>
      </c>
      <c r="N152" s="1807">
        <f>SUM(N78:N151)</f>
        <v>177711000</v>
      </c>
      <c r="O152" s="1807">
        <f>SUM(O78:O151)</f>
        <v>177323153.84615386</v>
      </c>
      <c r="P152" s="97"/>
    </row>
    <row r="153" spans="1:16">
      <c r="A153" s="97"/>
      <c r="B153" s="445"/>
      <c r="D153" s="125"/>
      <c r="O153" s="637"/>
      <c r="P153" s="97"/>
    </row>
    <row r="154" spans="1:16">
      <c r="A154" t="s">
        <v>1167</v>
      </c>
      <c r="B154" s="184">
        <v>3515000</v>
      </c>
      <c r="C154" s="184">
        <v>3515000</v>
      </c>
      <c r="D154" s="184">
        <v>4082000</v>
      </c>
      <c r="E154" s="184">
        <v>4082000</v>
      </c>
      <c r="F154" s="184">
        <v>4082000</v>
      </c>
      <c r="G154" s="184">
        <v>4082000</v>
      </c>
      <c r="H154" s="184">
        <v>4082000</v>
      </c>
      <c r="I154" s="184">
        <v>4082000</v>
      </c>
      <c r="J154" s="184">
        <v>4082000</v>
      </c>
      <c r="K154" s="184">
        <v>4082000</v>
      </c>
      <c r="L154" s="184">
        <v>4082000</v>
      </c>
      <c r="M154" s="184">
        <v>4082000</v>
      </c>
      <c r="N154" s="184">
        <v>4082000</v>
      </c>
      <c r="O154" s="1744">
        <f t="shared" ref="O154:O156" si="9">AVERAGE(B154:N154)</f>
        <v>3994769.230769231</v>
      </c>
      <c r="P154" s="97"/>
    </row>
    <row r="155" spans="1:16">
      <c r="A155" t="s">
        <v>1168</v>
      </c>
      <c r="B155" s="184">
        <v>89000</v>
      </c>
      <c r="C155" s="184">
        <v>89000</v>
      </c>
      <c r="D155" s="184">
        <v>89000</v>
      </c>
      <c r="E155" s="184">
        <v>89000</v>
      </c>
      <c r="F155" s="184">
        <v>89000</v>
      </c>
      <c r="G155" s="184">
        <v>89000</v>
      </c>
      <c r="H155" s="184">
        <v>89000</v>
      </c>
      <c r="I155" s="184">
        <v>89000</v>
      </c>
      <c r="J155" s="184">
        <v>89000</v>
      </c>
      <c r="K155" s="184">
        <v>89000</v>
      </c>
      <c r="L155" s="184">
        <v>89000</v>
      </c>
      <c r="M155" s="184">
        <v>89000</v>
      </c>
      <c r="N155" s="184">
        <v>89000</v>
      </c>
      <c r="O155" s="1744">
        <f t="shared" si="9"/>
        <v>89000</v>
      </c>
      <c r="P155" s="97"/>
    </row>
    <row r="156" spans="1:16">
      <c r="A156" t="s">
        <v>1166</v>
      </c>
      <c r="B156" s="184">
        <v>269000</v>
      </c>
      <c r="C156" s="184">
        <v>269000</v>
      </c>
      <c r="D156" s="184">
        <v>269000</v>
      </c>
      <c r="E156" s="184">
        <v>269000</v>
      </c>
      <c r="F156" s="184">
        <v>269000</v>
      </c>
      <c r="G156" s="184">
        <v>269000</v>
      </c>
      <c r="H156" s="184">
        <v>269000</v>
      </c>
      <c r="I156" s="184">
        <v>269000</v>
      </c>
      <c r="J156" s="184">
        <v>269000</v>
      </c>
      <c r="K156" s="184">
        <v>269000</v>
      </c>
      <c r="L156" s="184">
        <v>269000</v>
      </c>
      <c r="M156" s="184">
        <v>269000</v>
      </c>
      <c r="N156" s="184">
        <v>269000</v>
      </c>
      <c r="O156" s="1744">
        <f t="shared" si="9"/>
        <v>269000</v>
      </c>
      <c r="P156" s="97"/>
    </row>
    <row r="157" spans="1:16">
      <c r="A157" s="1333" t="s">
        <v>1148</v>
      </c>
      <c r="B157" s="1811">
        <f t="shared" ref="B157:O157" si="10">SUM(B154:B156)</f>
        <v>3873000</v>
      </c>
      <c r="C157" s="1811">
        <f t="shared" si="10"/>
        <v>3873000</v>
      </c>
      <c r="D157" s="1811">
        <f t="shared" si="10"/>
        <v>4440000</v>
      </c>
      <c r="E157" s="1811">
        <f t="shared" si="10"/>
        <v>4440000</v>
      </c>
      <c r="F157" s="1811">
        <f t="shared" si="10"/>
        <v>4440000</v>
      </c>
      <c r="G157" s="1811">
        <f t="shared" si="10"/>
        <v>4440000</v>
      </c>
      <c r="H157" s="1811">
        <f t="shared" si="10"/>
        <v>4440000</v>
      </c>
      <c r="I157" s="1811">
        <f t="shared" si="10"/>
        <v>4440000</v>
      </c>
      <c r="J157" s="1811">
        <f t="shared" si="10"/>
        <v>4440000</v>
      </c>
      <c r="K157" s="1811">
        <f t="shared" si="10"/>
        <v>4440000</v>
      </c>
      <c r="L157" s="1811">
        <f t="shared" si="10"/>
        <v>4440000</v>
      </c>
      <c r="M157" s="1811">
        <f t="shared" si="10"/>
        <v>4440000</v>
      </c>
      <c r="N157" s="1811">
        <f t="shared" si="10"/>
        <v>4440000</v>
      </c>
      <c r="O157" s="1811">
        <f t="shared" si="10"/>
        <v>4352769.230769231</v>
      </c>
      <c r="P157" s="97"/>
    </row>
    <row r="158" spans="1:16">
      <c r="A158" s="183"/>
      <c r="B158" s="1804"/>
      <c r="C158" s="1804"/>
      <c r="D158" s="1804"/>
      <c r="E158" s="1804"/>
      <c r="F158" s="1804"/>
      <c r="G158" s="1804"/>
      <c r="H158" s="1804"/>
      <c r="I158" s="1804"/>
      <c r="J158" s="1804"/>
      <c r="K158" s="1804"/>
      <c r="L158" s="1804"/>
      <c r="M158" s="1804"/>
      <c r="N158" s="1804"/>
      <c r="O158" s="1744"/>
      <c r="P158" s="97"/>
    </row>
    <row r="159" spans="1:16">
      <c r="A159" s="818"/>
      <c r="B159" s="818"/>
      <c r="C159" s="818"/>
      <c r="D159" s="818"/>
      <c r="E159" s="818"/>
      <c r="F159" s="818"/>
      <c r="G159" s="818"/>
      <c r="H159" s="818"/>
      <c r="I159" s="818"/>
      <c r="J159" s="818"/>
      <c r="K159" s="818"/>
      <c r="L159" s="818"/>
      <c r="M159" s="818"/>
      <c r="N159" s="1528"/>
      <c r="O159" s="1334"/>
      <c r="P159" s="97"/>
    </row>
    <row r="160" spans="1:16" ht="15.75">
      <c r="A160" s="773" t="s">
        <v>1129</v>
      </c>
      <c r="B160" s="1792">
        <f t="shared" ref="B160:N160" si="11">B152+B51</f>
        <v>1795536000</v>
      </c>
      <c r="C160" s="1792">
        <f t="shared" si="11"/>
        <v>1804560000</v>
      </c>
      <c r="D160" s="1792">
        <f t="shared" si="11"/>
        <v>1809657000</v>
      </c>
      <c r="E160" s="1792">
        <f t="shared" si="11"/>
        <v>1814336000</v>
      </c>
      <c r="F160" s="1792">
        <f t="shared" si="11"/>
        <v>1816111000</v>
      </c>
      <c r="G160" s="1792">
        <f t="shared" si="11"/>
        <v>1817235000</v>
      </c>
      <c r="H160" s="1792">
        <f t="shared" si="11"/>
        <v>1817231000</v>
      </c>
      <c r="I160" s="1792">
        <f t="shared" si="11"/>
        <v>1817059000</v>
      </c>
      <c r="J160" s="1792">
        <f t="shared" si="11"/>
        <v>1818724000</v>
      </c>
      <c r="K160" s="1792">
        <f t="shared" si="11"/>
        <v>1826506000</v>
      </c>
      <c r="L160" s="1792">
        <f t="shared" si="11"/>
        <v>1842358000</v>
      </c>
      <c r="M160" s="1792">
        <f t="shared" si="11"/>
        <v>1844995000</v>
      </c>
      <c r="N160" s="1792">
        <f t="shared" si="11"/>
        <v>2081726000</v>
      </c>
      <c r="O160" s="1792">
        <f>AVERAGE(B160:N160)</f>
        <v>1838925692.3076923</v>
      </c>
      <c r="P160" s="97"/>
    </row>
    <row r="161" spans="1:16" ht="15.75">
      <c r="A161" s="773" t="s">
        <v>1130</v>
      </c>
      <c r="B161" s="1792">
        <f t="shared" ref="B161:N161" si="12">B157+B66</f>
        <v>100077000</v>
      </c>
      <c r="C161" s="1792">
        <f t="shared" si="12"/>
        <v>100077000</v>
      </c>
      <c r="D161" s="1792">
        <f t="shared" si="12"/>
        <v>99118000</v>
      </c>
      <c r="E161" s="1792">
        <f t="shared" si="12"/>
        <v>99118000</v>
      </c>
      <c r="F161" s="1792">
        <f t="shared" si="12"/>
        <v>99118000</v>
      </c>
      <c r="G161" s="1792">
        <f t="shared" si="12"/>
        <v>99118000</v>
      </c>
      <c r="H161" s="1792">
        <f t="shared" si="12"/>
        <v>99118000</v>
      </c>
      <c r="I161" s="1792">
        <f t="shared" si="12"/>
        <v>99118000</v>
      </c>
      <c r="J161" s="1792">
        <f t="shared" si="12"/>
        <v>99118000</v>
      </c>
      <c r="K161" s="1792">
        <f t="shared" si="12"/>
        <v>99118000</v>
      </c>
      <c r="L161" s="1792">
        <f t="shared" si="12"/>
        <v>99118000</v>
      </c>
      <c r="M161" s="1792">
        <f t="shared" si="12"/>
        <v>99118000</v>
      </c>
      <c r="N161" s="1792">
        <f t="shared" si="12"/>
        <v>99074000</v>
      </c>
      <c r="O161" s="1792">
        <f>AVERAGE(B161:N161)</f>
        <v>99262153.84615384</v>
      </c>
      <c r="P161" s="97"/>
    </row>
    <row r="162" spans="1:16" ht="15.75">
      <c r="A162" s="773" t="s">
        <v>1131</v>
      </c>
      <c r="B162" s="1792">
        <f t="shared" ref="B162:N162" si="13">B76</f>
        <v>94798000</v>
      </c>
      <c r="C162" s="1792">
        <f t="shared" si="13"/>
        <v>94803000</v>
      </c>
      <c r="D162" s="1792">
        <f t="shared" si="13"/>
        <v>94803000</v>
      </c>
      <c r="E162" s="1792">
        <f t="shared" si="13"/>
        <v>94803000</v>
      </c>
      <c r="F162" s="1792">
        <f t="shared" si="13"/>
        <v>94803000</v>
      </c>
      <c r="G162" s="1792">
        <f t="shared" si="13"/>
        <v>94803000</v>
      </c>
      <c r="H162" s="1792">
        <f t="shared" si="13"/>
        <v>94803000</v>
      </c>
      <c r="I162" s="1792">
        <f t="shared" si="13"/>
        <v>94803000</v>
      </c>
      <c r="J162" s="1792">
        <f t="shared" si="13"/>
        <v>94803000</v>
      </c>
      <c r="K162" s="1792">
        <f t="shared" si="13"/>
        <v>94803000</v>
      </c>
      <c r="L162" s="1792">
        <f t="shared" si="13"/>
        <v>94803000</v>
      </c>
      <c r="M162" s="1792">
        <f t="shared" si="13"/>
        <v>94803000</v>
      </c>
      <c r="N162" s="1792">
        <f t="shared" si="13"/>
        <v>94803000</v>
      </c>
      <c r="O162" s="1792">
        <f>AVERAGE(B162:N162)</f>
        <v>94802615.384615391</v>
      </c>
      <c r="P162" s="97"/>
    </row>
    <row r="163" spans="1:16" ht="15.75">
      <c r="A163" s="180" t="s">
        <v>1169</v>
      </c>
      <c r="B163" s="1825">
        <f t="shared" ref="B163:N163" si="14">B53</f>
        <v>1971000</v>
      </c>
      <c r="C163" s="1825">
        <f t="shared" si="14"/>
        <v>1971000</v>
      </c>
      <c r="D163" s="1825">
        <f t="shared" si="14"/>
        <v>1971000</v>
      </c>
      <c r="E163" s="1825">
        <f t="shared" si="14"/>
        <v>1971000</v>
      </c>
      <c r="F163" s="1825">
        <f t="shared" si="14"/>
        <v>1971000</v>
      </c>
      <c r="G163" s="1825">
        <f t="shared" si="14"/>
        <v>1971000</v>
      </c>
      <c r="H163" s="1825">
        <f t="shared" si="14"/>
        <v>1971000</v>
      </c>
      <c r="I163" s="1825">
        <f t="shared" si="14"/>
        <v>1971000</v>
      </c>
      <c r="J163" s="1825">
        <f t="shared" si="14"/>
        <v>1971000</v>
      </c>
      <c r="K163" s="1825">
        <f t="shared" si="14"/>
        <v>1971000</v>
      </c>
      <c r="L163" s="1825">
        <f t="shared" si="14"/>
        <v>1971000</v>
      </c>
      <c r="M163" s="1825">
        <f t="shared" si="14"/>
        <v>1971000</v>
      </c>
      <c r="N163" s="1825">
        <f t="shared" si="14"/>
        <v>1558000</v>
      </c>
      <c r="O163" s="1792">
        <f>AVERAGE(B163:N163)</f>
        <v>1939230.7692307692</v>
      </c>
      <c r="P163" s="97"/>
    </row>
    <row r="164" spans="1:16">
      <c r="A164" s="773" t="s">
        <v>1132</v>
      </c>
      <c r="B164" s="835">
        <f>SUM(B160:B163)</f>
        <v>1992382000</v>
      </c>
      <c r="C164" s="835">
        <f t="shared" ref="C164:M164" si="15">SUM(C160:C163)</f>
        <v>2001411000</v>
      </c>
      <c r="D164" s="835">
        <f t="shared" si="15"/>
        <v>2005549000</v>
      </c>
      <c r="E164" s="835">
        <f t="shared" si="15"/>
        <v>2010228000</v>
      </c>
      <c r="F164" s="835">
        <f t="shared" si="15"/>
        <v>2012003000</v>
      </c>
      <c r="G164" s="835">
        <f t="shared" si="15"/>
        <v>2013127000</v>
      </c>
      <c r="H164" s="835">
        <f t="shared" si="15"/>
        <v>2013123000</v>
      </c>
      <c r="I164" s="835">
        <f t="shared" si="15"/>
        <v>2012951000</v>
      </c>
      <c r="J164" s="835">
        <f t="shared" si="15"/>
        <v>2014616000</v>
      </c>
      <c r="K164" s="835">
        <f t="shared" si="15"/>
        <v>2022398000</v>
      </c>
      <c r="L164" s="835">
        <f t="shared" si="15"/>
        <v>2038250000</v>
      </c>
      <c r="M164" s="835">
        <f t="shared" si="15"/>
        <v>2040887000</v>
      </c>
      <c r="N164" s="835">
        <f>SUM(N160:N163)</f>
        <v>2277161000</v>
      </c>
      <c r="O164" s="835">
        <f>SUM(O160:O163)</f>
        <v>2034929692.3076923</v>
      </c>
      <c r="P164" s="97"/>
    </row>
    <row r="165" spans="1:16">
      <c r="A165" s="818"/>
      <c r="B165" s="818"/>
      <c r="C165" s="818"/>
      <c r="D165" s="818"/>
      <c r="E165" s="818"/>
      <c r="F165" s="818"/>
      <c r="G165" s="818"/>
      <c r="H165" s="818"/>
      <c r="I165" s="818"/>
      <c r="J165" s="818"/>
      <c r="K165" s="818"/>
      <c r="L165" s="818"/>
      <c r="M165" s="818"/>
      <c r="N165" s="97"/>
      <c r="O165" s="97"/>
      <c r="P165" s="97"/>
    </row>
    <row r="166" spans="1:16">
      <c r="A166" s="1790" t="s">
        <v>1133</v>
      </c>
      <c r="B166" s="818"/>
      <c r="C166" s="818"/>
      <c r="D166" s="818"/>
      <c r="E166" s="818"/>
      <c r="F166" s="818"/>
      <c r="G166" s="818"/>
      <c r="H166" s="818"/>
      <c r="I166" s="818"/>
      <c r="J166" s="818"/>
      <c r="K166" s="818"/>
      <c r="L166" s="818"/>
      <c r="M166" s="818"/>
      <c r="N166" s="97"/>
      <c r="O166" s="1791" t="s">
        <v>1134</v>
      </c>
      <c r="P166" s="97"/>
    </row>
    <row r="167" spans="1:16">
      <c r="A167" s="1790"/>
      <c r="B167" s="818"/>
      <c r="C167" s="818"/>
      <c r="D167" s="818"/>
      <c r="E167" s="818"/>
      <c r="F167" s="818"/>
      <c r="G167" s="818"/>
      <c r="H167" s="818"/>
      <c r="I167" s="818"/>
      <c r="J167" s="818"/>
      <c r="K167" s="818"/>
      <c r="L167" s="818"/>
      <c r="M167" s="818"/>
      <c r="N167" s="97"/>
      <c r="O167" s="1791"/>
      <c r="P167" s="97"/>
    </row>
    <row r="168" spans="1:16">
      <c r="A168" s="818"/>
      <c r="B168" s="818"/>
      <c r="C168" s="818"/>
      <c r="D168" s="818"/>
      <c r="E168" s="818"/>
      <c r="F168" s="818"/>
      <c r="G168" s="818"/>
      <c r="H168" s="818"/>
      <c r="I168" s="818"/>
      <c r="J168" s="818"/>
      <c r="K168" s="818"/>
      <c r="L168" s="818"/>
      <c r="M168" s="818"/>
      <c r="N168" s="794"/>
      <c r="O168" s="97"/>
      <c r="P168" s="97"/>
    </row>
    <row r="169" spans="1:16">
      <c r="A169" s="816" t="s">
        <v>1136</v>
      </c>
      <c r="O169" s="819"/>
      <c r="P169" s="97"/>
    </row>
    <row r="170" spans="1:16" ht="15">
      <c r="A170" s="773" t="s">
        <v>537</v>
      </c>
      <c r="B170" s="1432">
        <f t="shared" ref="B170:N170" si="16">B5</f>
        <v>45261</v>
      </c>
      <c r="C170" s="1432">
        <f t="shared" si="16"/>
        <v>45292</v>
      </c>
      <c r="D170" s="1432">
        <f t="shared" si="16"/>
        <v>45323</v>
      </c>
      <c r="E170" s="1432">
        <f t="shared" si="16"/>
        <v>45352</v>
      </c>
      <c r="F170" s="1432">
        <f t="shared" si="16"/>
        <v>45383</v>
      </c>
      <c r="G170" s="1432">
        <f t="shared" si="16"/>
        <v>45413</v>
      </c>
      <c r="H170" s="1432">
        <f t="shared" si="16"/>
        <v>45444</v>
      </c>
      <c r="I170" s="1432">
        <f t="shared" si="16"/>
        <v>45474</v>
      </c>
      <c r="J170" s="1432">
        <f t="shared" si="16"/>
        <v>45505</v>
      </c>
      <c r="K170" s="1432">
        <f t="shared" si="16"/>
        <v>45536</v>
      </c>
      <c r="L170" s="1432">
        <f t="shared" si="16"/>
        <v>45566</v>
      </c>
      <c r="M170" s="1432">
        <f t="shared" si="16"/>
        <v>45597</v>
      </c>
      <c r="N170" s="1432">
        <f t="shared" si="16"/>
        <v>45627</v>
      </c>
      <c r="O170" s="817" t="s">
        <v>79</v>
      </c>
      <c r="P170" s="97"/>
    </row>
    <row r="171" spans="1:16">
      <c r="A171" s="1839" t="s">
        <v>1162</v>
      </c>
      <c r="B171" s="428">
        <v>4022000</v>
      </c>
      <c r="C171" s="428">
        <v>4043000</v>
      </c>
      <c r="D171" s="428">
        <v>4067000</v>
      </c>
      <c r="E171" s="428">
        <v>4091000</v>
      </c>
      <c r="F171" s="428">
        <v>4115000</v>
      </c>
      <c r="G171" s="428">
        <v>4140000</v>
      </c>
      <c r="H171" s="428">
        <v>4164000</v>
      </c>
      <c r="I171" s="428">
        <v>4188000</v>
      </c>
      <c r="J171" s="428">
        <v>4212000</v>
      </c>
      <c r="K171" s="428">
        <v>4236000</v>
      </c>
      <c r="L171" s="428">
        <v>4261000</v>
      </c>
      <c r="M171" s="428">
        <v>4285000</v>
      </c>
      <c r="N171" s="428">
        <v>4309000</v>
      </c>
      <c r="O171" s="184">
        <f t="shared" ref="O171:O215" si="17">AVERAGE(B171:N171)</f>
        <v>4164076.923076923</v>
      </c>
      <c r="P171" s="97"/>
    </row>
    <row r="172" spans="1:16">
      <c r="A172" s="1839" t="s">
        <v>427</v>
      </c>
      <c r="B172" s="428">
        <v>871000</v>
      </c>
      <c r="C172" s="428">
        <v>881000</v>
      </c>
      <c r="D172" s="428">
        <v>891000</v>
      </c>
      <c r="E172" s="428">
        <v>901000</v>
      </c>
      <c r="F172" s="428">
        <v>912000</v>
      </c>
      <c r="G172" s="428">
        <v>922000</v>
      </c>
      <c r="H172" s="428">
        <v>932000</v>
      </c>
      <c r="I172" s="428">
        <v>942000</v>
      </c>
      <c r="J172" s="428">
        <v>952000</v>
      </c>
      <c r="K172" s="428">
        <v>962000</v>
      </c>
      <c r="L172" s="428">
        <v>972000</v>
      </c>
      <c r="M172" s="428">
        <v>982000</v>
      </c>
      <c r="N172" s="428">
        <v>993000</v>
      </c>
      <c r="O172" s="184">
        <f t="shared" si="17"/>
        <v>931769.23076923075</v>
      </c>
      <c r="P172" s="97"/>
    </row>
    <row r="173" spans="1:16">
      <c r="A173" s="1839" t="s">
        <v>487</v>
      </c>
      <c r="B173" s="428">
        <v>10266000</v>
      </c>
      <c r="C173" s="428">
        <v>10285000</v>
      </c>
      <c r="D173" s="428">
        <v>10304000</v>
      </c>
      <c r="E173" s="428">
        <v>10323000</v>
      </c>
      <c r="F173" s="428">
        <v>10342000</v>
      </c>
      <c r="G173" s="428">
        <v>10360000</v>
      </c>
      <c r="H173" s="428">
        <v>10379000</v>
      </c>
      <c r="I173" s="428">
        <v>10398000</v>
      </c>
      <c r="J173" s="428">
        <v>10417000</v>
      </c>
      <c r="K173" s="428">
        <v>11260000</v>
      </c>
      <c r="L173" s="428">
        <v>11278000</v>
      </c>
      <c r="M173" s="428">
        <v>11297000</v>
      </c>
      <c r="N173" s="428">
        <v>11316000</v>
      </c>
      <c r="O173" s="184">
        <f t="shared" si="17"/>
        <v>10632692.307692308</v>
      </c>
      <c r="P173" s="97"/>
    </row>
    <row r="174" spans="1:16">
      <c r="A174" s="1839" t="s">
        <v>1111</v>
      </c>
      <c r="B174" s="428">
        <v>70000</v>
      </c>
      <c r="C174" s="428">
        <v>70000</v>
      </c>
      <c r="D174" s="428">
        <v>70000</v>
      </c>
      <c r="E174" s="428">
        <v>70000</v>
      </c>
      <c r="F174" s="428">
        <v>70000</v>
      </c>
      <c r="G174" s="428">
        <v>70000</v>
      </c>
      <c r="H174" s="428">
        <v>70000</v>
      </c>
      <c r="I174" s="428">
        <v>70000</v>
      </c>
      <c r="J174" s="428">
        <v>70000</v>
      </c>
      <c r="K174" s="428">
        <v>70000</v>
      </c>
      <c r="L174" s="428">
        <v>70000</v>
      </c>
      <c r="M174" s="428">
        <v>70000</v>
      </c>
      <c r="N174" s="428">
        <v>71000</v>
      </c>
      <c r="O174" s="184">
        <f t="shared" si="17"/>
        <v>70076.923076923078</v>
      </c>
      <c r="P174" s="97"/>
    </row>
    <row r="175" spans="1:16">
      <c r="A175" s="1839" t="s">
        <v>1112</v>
      </c>
      <c r="B175" s="428">
        <v>51000</v>
      </c>
      <c r="C175" s="428">
        <v>51000</v>
      </c>
      <c r="D175" s="428">
        <v>51000</v>
      </c>
      <c r="E175" s="428">
        <v>51000</v>
      </c>
      <c r="F175" s="428">
        <v>51000</v>
      </c>
      <c r="G175" s="428">
        <v>51000</v>
      </c>
      <c r="H175" s="428">
        <v>51000</v>
      </c>
      <c r="I175" s="428">
        <v>51000</v>
      </c>
      <c r="J175" s="428">
        <v>51000</v>
      </c>
      <c r="K175" s="428">
        <v>51000</v>
      </c>
      <c r="L175" s="428">
        <v>51000</v>
      </c>
      <c r="M175" s="428">
        <v>51000</v>
      </c>
      <c r="N175" s="428">
        <v>51000</v>
      </c>
      <c r="O175" s="184">
        <f t="shared" si="17"/>
        <v>51000</v>
      </c>
      <c r="P175" s="97"/>
    </row>
    <row r="176" spans="1:16">
      <c r="A176" s="1839" t="s">
        <v>491</v>
      </c>
      <c r="B176" s="428">
        <v>808000</v>
      </c>
      <c r="C176" s="428">
        <v>814000</v>
      </c>
      <c r="D176" s="428">
        <v>820000</v>
      </c>
      <c r="E176" s="428">
        <v>826000</v>
      </c>
      <c r="F176" s="428">
        <v>832000</v>
      </c>
      <c r="G176" s="428">
        <v>837000</v>
      </c>
      <c r="H176" s="428">
        <v>843000</v>
      </c>
      <c r="I176" s="428">
        <v>849000</v>
      </c>
      <c r="J176" s="428">
        <v>855000</v>
      </c>
      <c r="K176" s="428">
        <v>861000</v>
      </c>
      <c r="L176" s="428">
        <v>867000</v>
      </c>
      <c r="M176" s="428">
        <v>873000</v>
      </c>
      <c r="N176" s="428">
        <v>879000</v>
      </c>
      <c r="O176" s="184">
        <f t="shared" si="17"/>
        <v>843384.61538461538</v>
      </c>
      <c r="P176" s="97"/>
    </row>
    <row r="177" spans="1:16">
      <c r="A177" s="1839" t="s">
        <v>428</v>
      </c>
      <c r="B177" s="428">
        <v>419000</v>
      </c>
      <c r="C177" s="428">
        <v>421000</v>
      </c>
      <c r="D177" s="428">
        <v>423000</v>
      </c>
      <c r="E177" s="428">
        <v>425000</v>
      </c>
      <c r="F177" s="428">
        <v>427000</v>
      </c>
      <c r="G177" s="428">
        <v>429000</v>
      </c>
      <c r="H177" s="428">
        <v>432000</v>
      </c>
      <c r="I177" s="428">
        <v>434000</v>
      </c>
      <c r="J177" s="428">
        <v>436000</v>
      </c>
      <c r="K177" s="428">
        <v>438000</v>
      </c>
      <c r="L177" s="428">
        <v>440000</v>
      </c>
      <c r="M177" s="428">
        <v>442000</v>
      </c>
      <c r="N177" s="428">
        <v>444000</v>
      </c>
      <c r="O177" s="184">
        <f t="shared" si="17"/>
        <v>431538.46153846156</v>
      </c>
      <c r="P177" s="97"/>
    </row>
    <row r="178" spans="1:16">
      <c r="A178" s="1839" t="s">
        <v>492</v>
      </c>
      <c r="B178" s="428">
        <v>1024000</v>
      </c>
      <c r="C178" s="428">
        <v>1026000</v>
      </c>
      <c r="D178" s="428">
        <v>1029000</v>
      </c>
      <c r="E178" s="428">
        <v>1032000</v>
      </c>
      <c r="F178" s="428">
        <v>1034000</v>
      </c>
      <c r="G178" s="428">
        <v>1037000</v>
      </c>
      <c r="H178" s="428">
        <v>1040000</v>
      </c>
      <c r="I178" s="428">
        <v>1042000</v>
      </c>
      <c r="J178" s="428">
        <v>1045000</v>
      </c>
      <c r="K178" s="428">
        <v>1048000</v>
      </c>
      <c r="L178" s="428">
        <v>1050000</v>
      </c>
      <c r="M178" s="428">
        <v>1053000</v>
      </c>
      <c r="N178" s="428">
        <v>1056000</v>
      </c>
      <c r="O178" s="184">
        <f>AVERAGE(B178:N178)</f>
        <v>1039692.3076923077</v>
      </c>
      <c r="P178" s="97"/>
    </row>
    <row r="179" spans="1:16">
      <c r="A179" s="1839" t="s">
        <v>1171</v>
      </c>
      <c r="B179" s="428">
        <v>220000</v>
      </c>
      <c r="C179" s="428">
        <v>220000</v>
      </c>
      <c r="D179" s="428">
        <v>220000</v>
      </c>
      <c r="E179" s="428">
        <v>220000</v>
      </c>
      <c r="F179" s="428">
        <v>220000</v>
      </c>
      <c r="G179" s="428">
        <v>220000</v>
      </c>
      <c r="H179" s="428">
        <v>220000</v>
      </c>
      <c r="I179" s="428">
        <v>220000</v>
      </c>
      <c r="J179" s="428">
        <v>220000</v>
      </c>
      <c r="K179" s="428">
        <v>220000</v>
      </c>
      <c r="L179" s="428">
        <v>220000</v>
      </c>
      <c r="M179" s="428">
        <v>220000</v>
      </c>
      <c r="N179" s="428">
        <v>220000</v>
      </c>
      <c r="O179" s="184">
        <v>22334713.636923078</v>
      </c>
      <c r="P179" s="97"/>
    </row>
    <row r="180" spans="1:16">
      <c r="A180" s="126" t="s">
        <v>1113</v>
      </c>
      <c r="B180" s="428">
        <v>1274000</v>
      </c>
      <c r="C180" s="428">
        <v>1281000</v>
      </c>
      <c r="D180" s="428">
        <v>1287000</v>
      </c>
      <c r="E180" s="428">
        <v>1294000</v>
      </c>
      <c r="F180" s="428">
        <v>1301000</v>
      </c>
      <c r="G180" s="428">
        <v>1308000</v>
      </c>
      <c r="H180" s="428">
        <v>1315000</v>
      </c>
      <c r="I180" s="428">
        <v>1322000</v>
      </c>
      <c r="J180" s="428">
        <v>1329000</v>
      </c>
      <c r="K180" s="428">
        <v>1335000</v>
      </c>
      <c r="L180" s="428">
        <v>1342000</v>
      </c>
      <c r="M180" s="428">
        <v>1349000</v>
      </c>
      <c r="N180" s="428">
        <v>1356000</v>
      </c>
      <c r="O180" s="184">
        <f t="shared" si="17"/>
        <v>1314846.1538461538</v>
      </c>
      <c r="P180" s="97"/>
    </row>
    <row r="181" spans="1:16">
      <c r="A181" s="126" t="s">
        <v>494</v>
      </c>
      <c r="B181" s="428">
        <v>341000</v>
      </c>
      <c r="C181" s="428">
        <v>349000</v>
      </c>
      <c r="D181" s="428">
        <v>358000</v>
      </c>
      <c r="E181" s="428">
        <v>366000</v>
      </c>
      <c r="F181" s="428">
        <v>375000</v>
      </c>
      <c r="G181" s="428">
        <v>384000</v>
      </c>
      <c r="H181" s="428">
        <v>392000</v>
      </c>
      <c r="I181" s="428">
        <v>401000</v>
      </c>
      <c r="J181" s="428">
        <v>409000</v>
      </c>
      <c r="K181" s="428">
        <v>418000</v>
      </c>
      <c r="L181" s="428">
        <v>426000</v>
      </c>
      <c r="M181" s="428">
        <v>435000</v>
      </c>
      <c r="N181" s="428">
        <v>443000</v>
      </c>
      <c r="O181" s="184">
        <f t="shared" si="17"/>
        <v>392076.92307692306</v>
      </c>
      <c r="P181" s="97"/>
    </row>
    <row r="182" spans="1:16">
      <c r="A182" s="126" t="s">
        <v>495</v>
      </c>
      <c r="B182" s="428">
        <v>30591000</v>
      </c>
      <c r="C182" s="428">
        <v>30862000</v>
      </c>
      <c r="D182" s="428">
        <v>31132000</v>
      </c>
      <c r="E182" s="428">
        <v>31403000</v>
      </c>
      <c r="F182" s="428">
        <v>31688000</v>
      </c>
      <c r="G182" s="428">
        <v>31987000</v>
      </c>
      <c r="H182" s="428">
        <v>32286000</v>
      </c>
      <c r="I182" s="428">
        <v>32585000</v>
      </c>
      <c r="J182" s="428">
        <v>32884000</v>
      </c>
      <c r="K182" s="428">
        <v>33183000</v>
      </c>
      <c r="L182" s="428">
        <v>33482000</v>
      </c>
      <c r="M182" s="428">
        <v>33781000</v>
      </c>
      <c r="N182" s="428">
        <v>34083000</v>
      </c>
      <c r="O182" s="184">
        <f t="shared" si="17"/>
        <v>32303615.384615384</v>
      </c>
      <c r="P182" s="97"/>
    </row>
    <row r="183" spans="1:16">
      <c r="A183" s="126" t="s">
        <v>1071</v>
      </c>
      <c r="B183" s="428">
        <v>158000</v>
      </c>
      <c r="C183" s="428">
        <v>161000</v>
      </c>
      <c r="D183" s="428">
        <v>164000</v>
      </c>
      <c r="E183" s="428">
        <v>167000</v>
      </c>
      <c r="F183" s="428">
        <v>170000</v>
      </c>
      <c r="G183" s="428">
        <v>173000</v>
      </c>
      <c r="H183" s="428">
        <v>176000</v>
      </c>
      <c r="I183" s="428">
        <v>179000</v>
      </c>
      <c r="J183" s="428">
        <v>182000</v>
      </c>
      <c r="K183" s="428">
        <v>184000</v>
      </c>
      <c r="L183" s="428">
        <v>187000</v>
      </c>
      <c r="M183" s="428">
        <v>190000</v>
      </c>
      <c r="N183" s="428">
        <v>193000</v>
      </c>
      <c r="O183" s="184">
        <f t="shared" si="17"/>
        <v>175692.30769230769</v>
      </c>
      <c r="P183" s="97"/>
    </row>
    <row r="184" spans="1:16">
      <c r="A184" s="126" t="s">
        <v>1179</v>
      </c>
      <c r="B184" s="428">
        <v>34893000</v>
      </c>
      <c r="C184" s="428">
        <v>35441000</v>
      </c>
      <c r="D184" s="428">
        <v>35994000</v>
      </c>
      <c r="E184" s="428">
        <v>36555000</v>
      </c>
      <c r="F184" s="428">
        <v>37090000</v>
      </c>
      <c r="G184" s="428">
        <v>37614000</v>
      </c>
      <c r="H184" s="428">
        <v>37837000</v>
      </c>
      <c r="I184" s="428">
        <v>38360000</v>
      </c>
      <c r="J184" s="428">
        <v>38882000</v>
      </c>
      <c r="K184" s="428">
        <v>39399000</v>
      </c>
      <c r="L184" s="428">
        <v>39934000</v>
      </c>
      <c r="M184" s="428">
        <v>40480000</v>
      </c>
      <c r="N184" s="428">
        <v>41026000</v>
      </c>
      <c r="O184" s="184">
        <f t="shared" si="17"/>
        <v>37961923.07692308</v>
      </c>
      <c r="P184" s="97"/>
    </row>
    <row r="185" spans="1:16">
      <c r="A185" s="126" t="s">
        <v>496</v>
      </c>
      <c r="B185" s="428">
        <v>2749000</v>
      </c>
      <c r="C185" s="428">
        <v>2758000</v>
      </c>
      <c r="D185" s="428">
        <v>2768000</v>
      </c>
      <c r="E185" s="428">
        <v>2777000</v>
      </c>
      <c r="F185" s="428">
        <v>2787000</v>
      </c>
      <c r="G185" s="428">
        <v>2797000</v>
      </c>
      <c r="H185" s="428">
        <v>2806000</v>
      </c>
      <c r="I185" s="428">
        <v>2816000</v>
      </c>
      <c r="J185" s="428">
        <v>2826000</v>
      </c>
      <c r="K185" s="428">
        <v>2835000</v>
      </c>
      <c r="L185" s="428">
        <v>2845000</v>
      </c>
      <c r="M185" s="428">
        <v>2854000</v>
      </c>
      <c r="N185" s="428">
        <v>2864000</v>
      </c>
      <c r="O185" s="184">
        <f t="shared" si="17"/>
        <v>2806307.6923076925</v>
      </c>
      <c r="P185" s="97"/>
    </row>
    <row r="186" spans="1:16">
      <c r="A186" s="126" t="s">
        <v>1172</v>
      </c>
      <c r="B186" s="428">
        <v>126000</v>
      </c>
      <c r="C186" s="428">
        <v>127000</v>
      </c>
      <c r="D186" s="428">
        <v>129000</v>
      </c>
      <c r="E186" s="428">
        <v>130000</v>
      </c>
      <c r="F186" s="428">
        <v>132000</v>
      </c>
      <c r="G186" s="428">
        <v>133000</v>
      </c>
      <c r="H186" s="428">
        <v>135000</v>
      </c>
      <c r="I186" s="428">
        <v>136000</v>
      </c>
      <c r="J186" s="428">
        <v>138000</v>
      </c>
      <c r="K186" s="428">
        <v>139000</v>
      </c>
      <c r="L186" s="428">
        <v>141000</v>
      </c>
      <c r="M186" s="428">
        <v>142000</v>
      </c>
      <c r="N186" s="428">
        <v>144000</v>
      </c>
      <c r="O186" s="184">
        <f t="shared" si="17"/>
        <v>134769.23076923078</v>
      </c>
      <c r="P186" s="97"/>
    </row>
    <row r="187" spans="1:16">
      <c r="A187" s="126" t="s">
        <v>1334</v>
      </c>
      <c r="B187" s="428">
        <v>-44000</v>
      </c>
      <c r="C187" s="428">
        <v>-44000</v>
      </c>
      <c r="D187" s="428">
        <v>-44000</v>
      </c>
      <c r="E187" s="428">
        <v>-44000</v>
      </c>
      <c r="F187" s="428">
        <v>-44000</v>
      </c>
      <c r="G187" s="428">
        <v>-44000</v>
      </c>
      <c r="H187" s="428">
        <v>-44000</v>
      </c>
      <c r="I187" s="428">
        <v>-44000</v>
      </c>
      <c r="J187" s="428">
        <v>-44000</v>
      </c>
      <c r="K187" s="428">
        <v>-44000</v>
      </c>
      <c r="L187" s="428">
        <v>-44000</v>
      </c>
      <c r="M187" s="428">
        <v>-44000</v>
      </c>
      <c r="N187" s="428">
        <v>-44000</v>
      </c>
      <c r="O187" s="184">
        <f t="shared" si="17"/>
        <v>-44000</v>
      </c>
      <c r="P187" s="97"/>
    </row>
    <row r="188" spans="1:16">
      <c r="A188" s="126" t="s">
        <v>497</v>
      </c>
      <c r="B188" s="428">
        <v>71030000</v>
      </c>
      <c r="C188" s="428">
        <v>75312000</v>
      </c>
      <c r="D188" s="428">
        <v>75702000</v>
      </c>
      <c r="E188" s="428">
        <v>76087000</v>
      </c>
      <c r="F188" s="428">
        <v>76464000</v>
      </c>
      <c r="G188" s="428">
        <v>75001000</v>
      </c>
      <c r="H188" s="428">
        <v>74441000</v>
      </c>
      <c r="I188" s="428">
        <v>73511000</v>
      </c>
      <c r="J188" s="428">
        <v>73816000</v>
      </c>
      <c r="K188" s="428">
        <v>74085000</v>
      </c>
      <c r="L188" s="428">
        <v>74084000</v>
      </c>
      <c r="M188" s="428">
        <v>74464000</v>
      </c>
      <c r="N188" s="428">
        <v>69635187</v>
      </c>
      <c r="O188" s="184">
        <f t="shared" si="17"/>
        <v>74125552.84615384</v>
      </c>
      <c r="P188" s="97"/>
    </row>
    <row r="189" spans="1:16">
      <c r="A189" s="126" t="s">
        <v>498</v>
      </c>
      <c r="B189" s="428">
        <v>9377000</v>
      </c>
      <c r="C189" s="428">
        <v>9402000</v>
      </c>
      <c r="D189" s="428">
        <v>9428000</v>
      </c>
      <c r="E189" s="428">
        <v>9454000</v>
      </c>
      <c r="F189" s="428">
        <v>9480000</v>
      </c>
      <c r="G189" s="428">
        <v>9506000</v>
      </c>
      <c r="H189" s="428">
        <v>9531000</v>
      </c>
      <c r="I189" s="428">
        <v>9557000</v>
      </c>
      <c r="J189" s="428">
        <v>9583000</v>
      </c>
      <c r="K189" s="428">
        <v>9609000</v>
      </c>
      <c r="L189" s="428">
        <v>9635000</v>
      </c>
      <c r="M189" s="428">
        <v>9661000</v>
      </c>
      <c r="N189" s="428">
        <v>9686000</v>
      </c>
      <c r="O189" s="184">
        <f t="shared" si="17"/>
        <v>9531461.538461538</v>
      </c>
      <c r="P189" s="97"/>
    </row>
    <row r="190" spans="1:16">
      <c r="A190" s="126" t="s">
        <v>502</v>
      </c>
      <c r="B190" s="428">
        <v>2468000</v>
      </c>
      <c r="C190" s="428">
        <v>2473000</v>
      </c>
      <c r="D190" s="428">
        <v>2479000</v>
      </c>
      <c r="E190" s="428">
        <v>2484000</v>
      </c>
      <c r="F190" s="428">
        <v>2490000</v>
      </c>
      <c r="G190" s="428">
        <v>2495000</v>
      </c>
      <c r="H190" s="428">
        <v>2500000</v>
      </c>
      <c r="I190" s="428">
        <v>2506000</v>
      </c>
      <c r="J190" s="428">
        <v>2511000</v>
      </c>
      <c r="K190" s="428">
        <v>2517000</v>
      </c>
      <c r="L190" s="428">
        <v>2522000</v>
      </c>
      <c r="M190" s="428">
        <v>2527000</v>
      </c>
      <c r="N190" s="428">
        <v>2533000</v>
      </c>
      <c r="O190" s="184">
        <f t="shared" si="17"/>
        <v>2500384.6153846155</v>
      </c>
      <c r="P190" s="97"/>
    </row>
    <row r="191" spans="1:16">
      <c r="A191" s="126" t="s">
        <v>503</v>
      </c>
      <c r="B191" s="428">
        <v>1040000</v>
      </c>
      <c r="C191" s="428">
        <v>1073000</v>
      </c>
      <c r="D191" s="428">
        <v>1075000</v>
      </c>
      <c r="E191" s="428">
        <v>1076000</v>
      </c>
      <c r="F191" s="428">
        <v>1077000</v>
      </c>
      <c r="G191" s="428">
        <v>1078000</v>
      </c>
      <c r="H191" s="428">
        <v>1079000</v>
      </c>
      <c r="I191" s="428">
        <v>1080000</v>
      </c>
      <c r="J191" s="428">
        <v>1081000</v>
      </c>
      <c r="K191" s="428">
        <v>1082000</v>
      </c>
      <c r="L191" s="428">
        <v>1084000</v>
      </c>
      <c r="M191" s="428">
        <v>1085000</v>
      </c>
      <c r="N191" s="428">
        <v>1086000</v>
      </c>
      <c r="O191" s="184">
        <f t="shared" si="17"/>
        <v>1076615.3846153845</v>
      </c>
      <c r="P191" s="97"/>
    </row>
    <row r="192" spans="1:16">
      <c r="A192" s="126" t="s">
        <v>504</v>
      </c>
      <c r="B192" s="428">
        <v>42226000</v>
      </c>
      <c r="C192" s="428">
        <v>42463000</v>
      </c>
      <c r="D192" s="428">
        <v>42711000</v>
      </c>
      <c r="E192" s="428">
        <v>42959000</v>
      </c>
      <c r="F192" s="428">
        <v>42956000</v>
      </c>
      <c r="G192" s="428">
        <v>43214000</v>
      </c>
      <c r="H192" s="428">
        <v>43435000</v>
      </c>
      <c r="I192" s="428">
        <v>43858000</v>
      </c>
      <c r="J192" s="428">
        <v>44326000</v>
      </c>
      <c r="K192" s="428">
        <v>44790000</v>
      </c>
      <c r="L192" s="428">
        <v>45263000</v>
      </c>
      <c r="M192" s="428">
        <v>45737000</v>
      </c>
      <c r="N192" s="428">
        <v>46326000</v>
      </c>
      <c r="O192" s="184">
        <f t="shared" si="17"/>
        <v>43866461.538461536</v>
      </c>
      <c r="P192" s="97"/>
    </row>
    <row r="193" spans="1:16">
      <c r="A193" s="126" t="s">
        <v>1173</v>
      </c>
      <c r="B193" s="428">
        <v>323000</v>
      </c>
      <c r="C193" s="428">
        <v>323000</v>
      </c>
      <c r="D193" s="428">
        <v>323000</v>
      </c>
      <c r="E193" s="428">
        <v>323000</v>
      </c>
      <c r="F193" s="428">
        <v>323000</v>
      </c>
      <c r="G193" s="428">
        <v>323000</v>
      </c>
      <c r="H193" s="428">
        <v>323000</v>
      </c>
      <c r="I193" s="428">
        <v>323000</v>
      </c>
      <c r="J193" s="428">
        <v>323000</v>
      </c>
      <c r="K193" s="428">
        <v>323000</v>
      </c>
      <c r="L193" s="428">
        <v>323000</v>
      </c>
      <c r="M193" s="428">
        <v>323000</v>
      </c>
      <c r="N193" s="428">
        <v>323000</v>
      </c>
      <c r="O193" s="184">
        <f t="shared" si="17"/>
        <v>323000</v>
      </c>
      <c r="P193" s="97"/>
    </row>
    <row r="194" spans="1:16">
      <c r="A194" s="126" t="s">
        <v>506</v>
      </c>
      <c r="B194" s="428">
        <v>2672000</v>
      </c>
      <c r="C194" s="1804">
        <v>2679000</v>
      </c>
      <c r="D194" s="428">
        <v>2686000</v>
      </c>
      <c r="E194" s="428">
        <v>2693000</v>
      </c>
      <c r="F194" s="428">
        <v>2700000</v>
      </c>
      <c r="G194" s="428">
        <v>2707000</v>
      </c>
      <c r="H194" s="428">
        <v>2714000</v>
      </c>
      <c r="I194" s="428">
        <v>2721000</v>
      </c>
      <c r="J194" s="428">
        <v>2728000</v>
      </c>
      <c r="K194" s="428">
        <v>2735000</v>
      </c>
      <c r="L194" s="428">
        <v>2742000</v>
      </c>
      <c r="M194" s="428">
        <v>2749000</v>
      </c>
      <c r="N194" s="428">
        <v>2756000</v>
      </c>
      <c r="O194" s="184">
        <f>AVERAGE(B194:N194)</f>
        <v>2714000</v>
      </c>
      <c r="P194" s="97"/>
    </row>
    <row r="195" spans="1:16">
      <c r="A195" s="126" t="s">
        <v>1114</v>
      </c>
      <c r="B195" s="428">
        <v>-150000</v>
      </c>
      <c r="C195" s="1804">
        <v>-147000</v>
      </c>
      <c r="D195" s="428">
        <v>-144000</v>
      </c>
      <c r="E195" s="428">
        <v>-141000</v>
      </c>
      <c r="F195" s="428">
        <v>-138000</v>
      </c>
      <c r="G195" s="428">
        <v>-136000</v>
      </c>
      <c r="H195" s="428">
        <v>-133000</v>
      </c>
      <c r="I195" s="428">
        <v>-130000</v>
      </c>
      <c r="J195" s="428">
        <v>-127000</v>
      </c>
      <c r="K195" s="428">
        <v>-124000</v>
      </c>
      <c r="L195" s="428">
        <v>-121000</v>
      </c>
      <c r="M195" s="428">
        <v>-118000</v>
      </c>
      <c r="N195" s="428">
        <v>-115000</v>
      </c>
      <c r="O195" s="184">
        <f t="shared" ref="O195:O208" si="18">AVERAGE(B195:N195)</f>
        <v>-132615.38461538462</v>
      </c>
      <c r="P195" s="97"/>
    </row>
    <row r="196" spans="1:16">
      <c r="A196" s="126" t="s">
        <v>507</v>
      </c>
      <c r="B196" s="428">
        <v>2707000</v>
      </c>
      <c r="C196" s="1804">
        <v>2718000</v>
      </c>
      <c r="D196" s="428">
        <v>2729000</v>
      </c>
      <c r="E196" s="428">
        <v>2740000</v>
      </c>
      <c r="F196" s="428">
        <v>2751000</v>
      </c>
      <c r="G196" s="428">
        <v>2762000</v>
      </c>
      <c r="H196" s="428">
        <v>2773000</v>
      </c>
      <c r="I196" s="428">
        <v>2784000</v>
      </c>
      <c r="J196" s="428">
        <v>2795000</v>
      </c>
      <c r="K196" s="428">
        <v>2806000</v>
      </c>
      <c r="L196" s="428">
        <v>2817000</v>
      </c>
      <c r="M196" s="428">
        <v>2828000</v>
      </c>
      <c r="N196" s="428">
        <v>2839000</v>
      </c>
      <c r="O196" s="184">
        <f t="shared" si="18"/>
        <v>2773000</v>
      </c>
      <c r="P196" s="97"/>
    </row>
    <row r="197" spans="1:16">
      <c r="A197" s="126" t="s">
        <v>1152</v>
      </c>
      <c r="B197" s="428">
        <v>29531000</v>
      </c>
      <c r="C197" s="1804">
        <v>30010000</v>
      </c>
      <c r="D197" s="428">
        <v>30646000</v>
      </c>
      <c r="E197" s="428">
        <v>31273000</v>
      </c>
      <c r="F197" s="428">
        <v>31795000</v>
      </c>
      <c r="G197" s="428">
        <v>32286000</v>
      </c>
      <c r="H197" s="428">
        <v>32848000</v>
      </c>
      <c r="I197" s="428">
        <v>33236000</v>
      </c>
      <c r="J197" s="428">
        <v>33724000</v>
      </c>
      <c r="K197" s="428">
        <v>34207000</v>
      </c>
      <c r="L197" s="428">
        <v>34685000</v>
      </c>
      <c r="M197" s="428">
        <v>35198000</v>
      </c>
      <c r="N197" s="428">
        <v>35705000</v>
      </c>
      <c r="O197" s="184">
        <f t="shared" si="18"/>
        <v>32703384.615384616</v>
      </c>
      <c r="P197" s="97"/>
    </row>
    <row r="198" spans="1:16">
      <c r="A198" s="126" t="s">
        <v>1153</v>
      </c>
      <c r="B198" s="428">
        <v>75244000</v>
      </c>
      <c r="C198" s="1804">
        <v>75543000</v>
      </c>
      <c r="D198" s="428">
        <v>75915000</v>
      </c>
      <c r="E198" s="428">
        <v>76254000</v>
      </c>
      <c r="F198" s="428">
        <v>76285000</v>
      </c>
      <c r="G198" s="428">
        <v>75993000</v>
      </c>
      <c r="H198" s="428">
        <v>76170000</v>
      </c>
      <c r="I198" s="428">
        <v>76134000</v>
      </c>
      <c r="J198" s="428">
        <v>76489000</v>
      </c>
      <c r="K198" s="428">
        <v>76712000</v>
      </c>
      <c r="L198" s="428">
        <v>77067000</v>
      </c>
      <c r="M198" s="428">
        <v>77386000</v>
      </c>
      <c r="N198" s="428">
        <v>77746000</v>
      </c>
      <c r="O198" s="184">
        <f t="shared" si="18"/>
        <v>76379846.15384616</v>
      </c>
      <c r="P198" s="97"/>
    </row>
    <row r="199" spans="1:16">
      <c r="A199" s="126" t="s">
        <v>1115</v>
      </c>
      <c r="B199" s="428">
        <v>3200000</v>
      </c>
      <c r="C199" s="1804">
        <v>3217000</v>
      </c>
      <c r="D199" s="428">
        <v>3234000</v>
      </c>
      <c r="E199" s="428">
        <v>3251000</v>
      </c>
      <c r="F199" s="428">
        <v>3267000</v>
      </c>
      <c r="G199" s="428">
        <v>3284000</v>
      </c>
      <c r="H199" s="428">
        <v>3301000</v>
      </c>
      <c r="I199" s="428">
        <v>3318000</v>
      </c>
      <c r="J199" s="428">
        <v>3335000</v>
      </c>
      <c r="K199" s="428">
        <v>3351000</v>
      </c>
      <c r="L199" s="428">
        <v>3368000</v>
      </c>
      <c r="M199" s="428">
        <v>3385000</v>
      </c>
      <c r="N199" s="428">
        <v>3402000</v>
      </c>
      <c r="O199" s="184">
        <f t="shared" si="18"/>
        <v>3301000</v>
      </c>
      <c r="P199" s="97"/>
    </row>
    <row r="200" spans="1:16">
      <c r="A200" s="126" t="s">
        <v>1116</v>
      </c>
      <c r="B200" s="428">
        <v>240000</v>
      </c>
      <c r="C200" s="1804">
        <v>240000</v>
      </c>
      <c r="D200" s="428">
        <v>241000</v>
      </c>
      <c r="E200" s="428">
        <v>241000</v>
      </c>
      <c r="F200" s="428">
        <v>242000</v>
      </c>
      <c r="G200" s="428">
        <v>242000</v>
      </c>
      <c r="H200" s="428">
        <v>243000</v>
      </c>
      <c r="I200" s="428">
        <v>243000</v>
      </c>
      <c r="J200" s="428">
        <v>244000</v>
      </c>
      <c r="K200" s="428">
        <v>244000</v>
      </c>
      <c r="L200" s="428">
        <v>245000</v>
      </c>
      <c r="M200" s="428">
        <v>245000</v>
      </c>
      <c r="N200" s="428">
        <v>246000</v>
      </c>
      <c r="O200" s="184">
        <f t="shared" si="18"/>
        <v>242769.23076923078</v>
      </c>
      <c r="P200" s="97"/>
    </row>
    <row r="201" spans="1:16">
      <c r="A201" s="126" t="s">
        <v>511</v>
      </c>
      <c r="B201" s="428">
        <v>7276000</v>
      </c>
      <c r="C201" s="1804">
        <v>7288000</v>
      </c>
      <c r="D201" s="428">
        <v>7301000</v>
      </c>
      <c r="E201" s="428">
        <v>7313000</v>
      </c>
      <c r="F201" s="428">
        <v>7326000</v>
      </c>
      <c r="G201" s="428">
        <v>7338000</v>
      </c>
      <c r="H201" s="428">
        <v>7351000</v>
      </c>
      <c r="I201" s="428">
        <v>7363000</v>
      </c>
      <c r="J201" s="428">
        <v>7376000</v>
      </c>
      <c r="K201" s="428">
        <v>7388000</v>
      </c>
      <c r="L201" s="428">
        <v>7401000</v>
      </c>
      <c r="M201" s="428">
        <v>7413000</v>
      </c>
      <c r="N201" s="428">
        <v>7426000</v>
      </c>
      <c r="O201" s="184">
        <f t="shared" si="18"/>
        <v>7350769.230769231</v>
      </c>
      <c r="P201" s="97"/>
    </row>
    <row r="202" spans="1:16">
      <c r="A202" s="126" t="s">
        <v>1117</v>
      </c>
      <c r="B202" s="428">
        <v>101000</v>
      </c>
      <c r="C202" s="1804">
        <v>102000</v>
      </c>
      <c r="D202" s="428">
        <v>102000</v>
      </c>
      <c r="E202" s="428">
        <v>103000</v>
      </c>
      <c r="F202" s="428">
        <v>103000</v>
      </c>
      <c r="G202" s="428">
        <v>104000</v>
      </c>
      <c r="H202" s="428">
        <v>104000</v>
      </c>
      <c r="I202" s="428">
        <v>105000</v>
      </c>
      <c r="J202" s="428">
        <v>105000</v>
      </c>
      <c r="K202" s="428">
        <v>106000</v>
      </c>
      <c r="L202" s="428">
        <v>106000</v>
      </c>
      <c r="M202" s="428">
        <v>107000</v>
      </c>
      <c r="N202" s="428">
        <v>107000</v>
      </c>
      <c r="O202" s="184">
        <f t="shared" si="18"/>
        <v>104230.76923076923</v>
      </c>
      <c r="P202" s="97"/>
    </row>
    <row r="203" spans="1:16">
      <c r="A203" s="126" t="s">
        <v>512</v>
      </c>
      <c r="B203" s="428">
        <v>2176000</v>
      </c>
      <c r="C203" s="1804">
        <v>2181000</v>
      </c>
      <c r="D203" s="428">
        <v>2187000</v>
      </c>
      <c r="E203" s="428">
        <v>2192000</v>
      </c>
      <c r="F203" s="428">
        <v>2197000</v>
      </c>
      <c r="G203" s="428">
        <v>2202000</v>
      </c>
      <c r="H203" s="428">
        <v>2207000</v>
      </c>
      <c r="I203" s="428">
        <v>2212000</v>
      </c>
      <c r="J203" s="428">
        <v>2217000</v>
      </c>
      <c r="K203" s="428">
        <v>2222000</v>
      </c>
      <c r="L203" s="428">
        <v>2227000</v>
      </c>
      <c r="M203" s="428">
        <v>2232000</v>
      </c>
      <c r="N203" s="428">
        <v>2238000</v>
      </c>
      <c r="O203" s="184">
        <f t="shared" si="18"/>
        <v>2206923.076923077</v>
      </c>
      <c r="P203" s="97"/>
    </row>
    <row r="204" spans="1:16">
      <c r="A204" s="126" t="s">
        <v>513</v>
      </c>
      <c r="B204" s="428">
        <v>29157000</v>
      </c>
      <c r="C204" s="1804">
        <v>29257000</v>
      </c>
      <c r="D204" s="428">
        <v>29357000</v>
      </c>
      <c r="E204" s="428">
        <v>29456000</v>
      </c>
      <c r="F204" s="428">
        <v>29556000</v>
      </c>
      <c r="G204" s="428">
        <v>29655000</v>
      </c>
      <c r="H204" s="428">
        <v>29751000</v>
      </c>
      <c r="I204" s="428">
        <v>29838000</v>
      </c>
      <c r="J204" s="428">
        <v>29930000</v>
      </c>
      <c r="K204" s="428">
        <v>30022000</v>
      </c>
      <c r="L204" s="428">
        <v>30114000</v>
      </c>
      <c r="M204" s="428">
        <v>30206000</v>
      </c>
      <c r="N204" s="428">
        <v>30351000</v>
      </c>
      <c r="O204" s="184">
        <f t="shared" si="18"/>
        <v>29742307.692307692</v>
      </c>
      <c r="P204" s="97"/>
    </row>
    <row r="205" spans="1:16">
      <c r="A205" s="126" t="s">
        <v>429</v>
      </c>
      <c r="B205" s="428">
        <v>6907000</v>
      </c>
      <c r="C205" s="1804">
        <v>7040000</v>
      </c>
      <c r="D205" s="428">
        <v>7175000</v>
      </c>
      <c r="E205" s="428">
        <v>7310000</v>
      </c>
      <c r="F205" s="428">
        <v>7445000</v>
      </c>
      <c r="G205" s="428">
        <v>7579000</v>
      </c>
      <c r="H205" s="428">
        <v>7688000</v>
      </c>
      <c r="I205" s="428">
        <v>7633000</v>
      </c>
      <c r="J205" s="428">
        <v>7721000</v>
      </c>
      <c r="K205" s="428">
        <v>7793000</v>
      </c>
      <c r="L205" s="428">
        <v>7881000</v>
      </c>
      <c r="M205" s="428">
        <v>7928000</v>
      </c>
      <c r="N205" s="428">
        <v>8015000</v>
      </c>
      <c r="O205" s="184">
        <f t="shared" si="18"/>
        <v>7547307.692307692</v>
      </c>
      <c r="P205" s="97"/>
    </row>
    <row r="206" spans="1:16">
      <c r="A206" s="126" t="s">
        <v>1118</v>
      </c>
      <c r="B206" s="428">
        <v>1583000</v>
      </c>
      <c r="C206" s="1804">
        <v>1589000</v>
      </c>
      <c r="D206" s="428">
        <v>1594000</v>
      </c>
      <c r="E206" s="428">
        <v>1600000</v>
      </c>
      <c r="F206" s="428">
        <v>1606000</v>
      </c>
      <c r="G206" s="428">
        <v>1611000</v>
      </c>
      <c r="H206" s="428">
        <v>1617000</v>
      </c>
      <c r="I206" s="428">
        <v>1622000</v>
      </c>
      <c r="J206" s="428">
        <v>1628000</v>
      </c>
      <c r="K206" s="428">
        <v>1634000</v>
      </c>
      <c r="L206" s="428">
        <v>1639000</v>
      </c>
      <c r="M206" s="428">
        <v>1645000</v>
      </c>
      <c r="N206" s="428">
        <v>1651000</v>
      </c>
      <c r="O206" s="184">
        <f t="shared" si="18"/>
        <v>1616846.1538461538</v>
      </c>
      <c r="P206" s="97"/>
    </row>
    <row r="207" spans="1:16">
      <c r="A207" s="126" t="s">
        <v>1119</v>
      </c>
      <c r="B207" s="428">
        <v>731000</v>
      </c>
      <c r="C207" s="1804">
        <v>732000</v>
      </c>
      <c r="D207" s="428">
        <v>732000</v>
      </c>
      <c r="E207" s="428">
        <v>733000</v>
      </c>
      <c r="F207" s="428">
        <v>734000</v>
      </c>
      <c r="G207" s="428">
        <v>734000</v>
      </c>
      <c r="H207" s="428">
        <v>735000</v>
      </c>
      <c r="I207" s="428">
        <v>735000</v>
      </c>
      <c r="J207" s="428">
        <v>736000</v>
      </c>
      <c r="K207" s="428">
        <v>737000</v>
      </c>
      <c r="L207" s="428">
        <v>737000</v>
      </c>
      <c r="M207" s="428">
        <v>738000</v>
      </c>
      <c r="N207" s="428">
        <v>739000</v>
      </c>
      <c r="O207" s="184">
        <f t="shared" si="18"/>
        <v>734846.15384615387</v>
      </c>
      <c r="P207" s="97"/>
    </row>
    <row r="208" spans="1:16">
      <c r="A208" s="1839" t="s">
        <v>514</v>
      </c>
      <c r="B208" s="428">
        <v>80724000</v>
      </c>
      <c r="C208" s="428">
        <v>80287000</v>
      </c>
      <c r="D208" s="428">
        <v>80403000</v>
      </c>
      <c r="E208" s="428">
        <v>80519000</v>
      </c>
      <c r="F208" s="428">
        <v>80632000</v>
      </c>
      <c r="G208" s="428">
        <v>80704000</v>
      </c>
      <c r="H208" s="428">
        <v>80820000</v>
      </c>
      <c r="I208" s="428">
        <v>80887000</v>
      </c>
      <c r="J208" s="428">
        <v>81003000</v>
      </c>
      <c r="K208" s="428">
        <v>81096000</v>
      </c>
      <c r="L208" s="428">
        <v>81212000</v>
      </c>
      <c r="M208" s="428">
        <v>81328000</v>
      </c>
      <c r="N208" s="428">
        <v>81444000</v>
      </c>
      <c r="O208" s="184">
        <f t="shared" si="18"/>
        <v>80850692.307692304</v>
      </c>
      <c r="P208" s="97"/>
    </row>
    <row r="209" spans="1:16">
      <c r="A209" s="1839" t="s">
        <v>530</v>
      </c>
      <c r="B209" s="428">
        <v>501000</v>
      </c>
      <c r="C209" s="428">
        <v>503000</v>
      </c>
      <c r="D209" s="428">
        <v>504000</v>
      </c>
      <c r="E209" s="428">
        <v>505000</v>
      </c>
      <c r="F209" s="428">
        <v>507000</v>
      </c>
      <c r="G209" s="428">
        <v>508000</v>
      </c>
      <c r="H209" s="428">
        <v>509000</v>
      </c>
      <c r="I209" s="428">
        <v>511000</v>
      </c>
      <c r="J209" s="428">
        <v>512000</v>
      </c>
      <c r="K209" s="428">
        <v>513000</v>
      </c>
      <c r="L209" s="428">
        <v>515000</v>
      </c>
      <c r="M209" s="428">
        <v>516000</v>
      </c>
      <c r="N209" s="428">
        <v>518000</v>
      </c>
      <c r="O209" s="184">
        <f>AVERAGE(B209:N209)</f>
        <v>509384.61538461538</v>
      </c>
      <c r="P209" s="97"/>
    </row>
    <row r="210" spans="1:16">
      <c r="A210" s="1839" t="s">
        <v>531</v>
      </c>
      <c r="B210" s="428">
        <v>2763000</v>
      </c>
      <c r="C210" s="428">
        <v>2764000</v>
      </c>
      <c r="D210" s="428">
        <v>2765000</v>
      </c>
      <c r="E210" s="428">
        <v>2766000</v>
      </c>
      <c r="F210" s="428">
        <v>2767000</v>
      </c>
      <c r="G210" s="428">
        <v>2701000</v>
      </c>
      <c r="H210" s="428">
        <v>2703000</v>
      </c>
      <c r="I210" s="428">
        <v>2705000</v>
      </c>
      <c r="J210" s="428">
        <v>2707000</v>
      </c>
      <c r="K210" s="428">
        <v>2709000</v>
      </c>
      <c r="L210" s="428">
        <v>2682000</v>
      </c>
      <c r="M210" s="428">
        <v>2684000</v>
      </c>
      <c r="N210" s="428">
        <v>2686000</v>
      </c>
      <c r="O210" s="184">
        <f>AVERAGE(B210:N210)</f>
        <v>2723230.769230769</v>
      </c>
      <c r="P210" s="97"/>
    </row>
    <row r="211" spans="1:16">
      <c r="A211" s="1944" t="s">
        <v>532</v>
      </c>
      <c r="B211" s="428">
        <v>163000</v>
      </c>
      <c r="C211" s="428">
        <v>164000</v>
      </c>
      <c r="D211" s="428">
        <v>165000</v>
      </c>
      <c r="E211" s="428">
        <v>166000</v>
      </c>
      <c r="F211" s="428">
        <v>167000</v>
      </c>
      <c r="G211" s="428">
        <v>168000</v>
      </c>
      <c r="H211" s="428">
        <v>171000</v>
      </c>
      <c r="I211" s="428">
        <v>177000</v>
      </c>
      <c r="J211" s="428">
        <v>183000</v>
      </c>
      <c r="K211" s="428">
        <v>189000</v>
      </c>
      <c r="L211" s="428">
        <v>196000</v>
      </c>
      <c r="M211" s="428">
        <v>202000</v>
      </c>
      <c r="N211" s="428">
        <v>208000</v>
      </c>
      <c r="O211" s="184">
        <f t="shared" ref="O211:O212" si="19">AVERAGE(B211:N211)</f>
        <v>178384.61538461538</v>
      </c>
      <c r="P211" s="97"/>
    </row>
    <row r="212" spans="1:16">
      <c r="A212" s="1944" t="s">
        <v>536</v>
      </c>
      <c r="B212" s="428">
        <v>356000</v>
      </c>
      <c r="C212" s="428">
        <v>357000</v>
      </c>
      <c r="D212" s="428">
        <v>358000</v>
      </c>
      <c r="E212" s="428">
        <v>358000</v>
      </c>
      <c r="F212" s="428">
        <v>359000</v>
      </c>
      <c r="G212" s="428">
        <v>360000</v>
      </c>
      <c r="H212" s="428">
        <v>360000</v>
      </c>
      <c r="I212" s="428">
        <v>361000</v>
      </c>
      <c r="J212" s="428">
        <v>361000</v>
      </c>
      <c r="K212" s="428">
        <v>362000</v>
      </c>
      <c r="L212" s="428">
        <v>363000</v>
      </c>
      <c r="M212" s="428">
        <v>363000</v>
      </c>
      <c r="N212" s="428">
        <v>364000</v>
      </c>
      <c r="O212" s="184">
        <f t="shared" si="19"/>
        <v>360153.84615384613</v>
      </c>
      <c r="P212" s="97"/>
    </row>
    <row r="213" spans="1:16">
      <c r="A213" s="1333" t="s">
        <v>1145</v>
      </c>
      <c r="B213" s="1811">
        <f t="shared" ref="B213:O213" si="20">SUM(B171:B212)</f>
        <v>460185000</v>
      </c>
      <c r="C213" s="1811">
        <f t="shared" si="20"/>
        <v>466316000</v>
      </c>
      <c r="D213" s="1811">
        <f t="shared" si="20"/>
        <v>469331000</v>
      </c>
      <c r="E213" s="1811">
        <f t="shared" si="20"/>
        <v>472302000</v>
      </c>
      <c r="F213" s="1811">
        <f t="shared" si="20"/>
        <v>474593000</v>
      </c>
      <c r="G213" s="1811">
        <f t="shared" si="20"/>
        <v>474837000</v>
      </c>
      <c r="H213" s="1811">
        <f t="shared" si="20"/>
        <v>476275000</v>
      </c>
      <c r="I213" s="1811">
        <f t="shared" si="20"/>
        <v>477239000</v>
      </c>
      <c r="J213" s="1811">
        <f t="shared" si="20"/>
        <v>480171000</v>
      </c>
      <c r="K213" s="1811">
        <f t="shared" si="20"/>
        <v>483703000</v>
      </c>
      <c r="L213" s="1811">
        <f t="shared" si="20"/>
        <v>486309000</v>
      </c>
      <c r="M213" s="1811">
        <f t="shared" si="20"/>
        <v>489292000</v>
      </c>
      <c r="N213" s="1811">
        <f t="shared" si="20"/>
        <v>487319187</v>
      </c>
      <c r="O213" s="1811">
        <f t="shared" si="20"/>
        <v>498874112.63692307</v>
      </c>
      <c r="P213" s="97"/>
    </row>
    <row r="214" spans="1:16">
      <c r="O214" s="634"/>
      <c r="P214" s="97"/>
    </row>
    <row r="215" spans="1:16">
      <c r="A215" s="1826" t="s">
        <v>1170</v>
      </c>
      <c r="B215" s="835">
        <v>619000</v>
      </c>
      <c r="C215" s="835">
        <v>622000</v>
      </c>
      <c r="D215" s="835">
        <v>624000</v>
      </c>
      <c r="E215" s="835">
        <v>627000</v>
      </c>
      <c r="F215" s="835">
        <v>630000</v>
      </c>
      <c r="G215" s="835">
        <v>633000</v>
      </c>
      <c r="H215" s="835">
        <v>636000</v>
      </c>
      <c r="I215" s="835">
        <v>639000</v>
      </c>
      <c r="J215" s="835">
        <v>642000</v>
      </c>
      <c r="K215" s="835">
        <v>645000</v>
      </c>
      <c r="L215" s="835">
        <v>648000</v>
      </c>
      <c r="M215" s="835">
        <v>651000</v>
      </c>
      <c r="N215" s="835">
        <v>654000</v>
      </c>
      <c r="O215" s="835">
        <f t="shared" si="17"/>
        <v>636153.84615384613</v>
      </c>
      <c r="P215" s="97"/>
    </row>
    <row r="216" spans="1:16">
      <c r="A216" s="97"/>
      <c r="B216" s="1806"/>
      <c r="C216" s="1806"/>
      <c r="D216" s="1806"/>
      <c r="E216" s="1806"/>
      <c r="F216" s="1806"/>
      <c r="G216" s="1806"/>
      <c r="H216" s="1806"/>
      <c r="I216" s="1806"/>
      <c r="J216" s="1806"/>
      <c r="K216" s="1806"/>
      <c r="L216" s="1806"/>
      <c r="M216" s="1806"/>
      <c r="N216" s="1806"/>
      <c r="O216" s="2"/>
      <c r="P216" s="97"/>
    </row>
    <row r="217" spans="1:16">
      <c r="A217" s="1839" t="s">
        <v>1174</v>
      </c>
      <c r="B217" s="428">
        <v>551000</v>
      </c>
      <c r="C217" s="428">
        <v>551000</v>
      </c>
      <c r="D217" s="428">
        <v>552000</v>
      </c>
      <c r="E217" s="428">
        <v>553000</v>
      </c>
      <c r="F217" s="428">
        <v>553000</v>
      </c>
      <c r="G217" s="428">
        <v>554000</v>
      </c>
      <c r="H217" s="428">
        <v>555000</v>
      </c>
      <c r="I217" s="428">
        <v>555000</v>
      </c>
      <c r="J217" s="428">
        <v>556000</v>
      </c>
      <c r="K217" s="428">
        <v>557000</v>
      </c>
      <c r="L217" s="428">
        <v>557000</v>
      </c>
      <c r="M217" s="428">
        <v>558000</v>
      </c>
      <c r="N217" s="428">
        <v>559000</v>
      </c>
      <c r="O217" s="1744">
        <f t="shared" ref="O217:O235" si="21">AVERAGE(B217:N217)</f>
        <v>554692.30769230775</v>
      </c>
      <c r="P217" s="97"/>
    </row>
    <row r="218" spans="1:16">
      <c r="A218" s="1839" t="s">
        <v>1175</v>
      </c>
      <c r="B218" s="428">
        <v>854000</v>
      </c>
      <c r="C218" s="428">
        <v>855000</v>
      </c>
      <c r="D218" s="428">
        <v>856000</v>
      </c>
      <c r="E218" s="428">
        <v>857000</v>
      </c>
      <c r="F218" s="428">
        <v>858000</v>
      </c>
      <c r="G218" s="428">
        <v>859000</v>
      </c>
      <c r="H218" s="428">
        <v>860000</v>
      </c>
      <c r="I218" s="428">
        <v>861000</v>
      </c>
      <c r="J218" s="428">
        <v>862000</v>
      </c>
      <c r="K218" s="428">
        <v>863000</v>
      </c>
      <c r="L218" s="428">
        <v>864000</v>
      </c>
      <c r="M218" s="428">
        <v>865000</v>
      </c>
      <c r="N218" s="428">
        <v>866000</v>
      </c>
      <c r="O218" s="1744">
        <f t="shared" si="21"/>
        <v>860000</v>
      </c>
      <c r="P218" s="97"/>
    </row>
    <row r="219" spans="1:16">
      <c r="A219" s="1839" t="s">
        <v>490</v>
      </c>
      <c r="B219" s="428">
        <v>328000</v>
      </c>
      <c r="C219" s="428">
        <v>328000</v>
      </c>
      <c r="D219" s="428">
        <v>329000</v>
      </c>
      <c r="E219" s="428">
        <v>329000</v>
      </c>
      <c r="F219" s="428">
        <v>330000</v>
      </c>
      <c r="G219" s="428">
        <v>330000</v>
      </c>
      <c r="H219" s="428">
        <v>331000</v>
      </c>
      <c r="I219" s="428">
        <v>332000</v>
      </c>
      <c r="J219" s="428">
        <v>332000</v>
      </c>
      <c r="K219" s="428">
        <v>333000</v>
      </c>
      <c r="L219" s="428">
        <v>333000</v>
      </c>
      <c r="M219" s="428">
        <v>334000</v>
      </c>
      <c r="N219" s="428">
        <v>334000</v>
      </c>
      <c r="O219" s="1744">
        <f t="shared" si="21"/>
        <v>331000</v>
      </c>
      <c r="P219" s="97"/>
    </row>
    <row r="220" spans="1:16">
      <c r="A220" s="1839" t="s">
        <v>1146</v>
      </c>
      <c r="B220" s="428">
        <v>13484000</v>
      </c>
      <c r="C220" s="428">
        <v>13536000</v>
      </c>
      <c r="D220" s="428">
        <v>13586000</v>
      </c>
      <c r="E220" s="428">
        <v>13633000</v>
      </c>
      <c r="F220" s="428">
        <v>13680000</v>
      </c>
      <c r="G220" s="428">
        <v>13728000</v>
      </c>
      <c r="H220" s="428">
        <v>13775000</v>
      </c>
      <c r="I220" s="428">
        <v>13823000</v>
      </c>
      <c r="J220" s="428">
        <v>13870000</v>
      </c>
      <c r="K220" s="428">
        <v>13918000</v>
      </c>
      <c r="L220" s="428">
        <v>13965000</v>
      </c>
      <c r="M220" s="428">
        <v>14013000</v>
      </c>
      <c r="N220" s="428">
        <v>14016000</v>
      </c>
      <c r="O220" s="1744">
        <f t="shared" si="21"/>
        <v>13771307.692307692</v>
      </c>
      <c r="P220" s="97"/>
    </row>
    <row r="221" spans="1:16">
      <c r="A221" s="1839" t="s">
        <v>500</v>
      </c>
      <c r="B221" s="428">
        <v>11891000</v>
      </c>
      <c r="C221" s="428">
        <v>11905000</v>
      </c>
      <c r="D221" s="428">
        <v>11918000</v>
      </c>
      <c r="E221" s="428">
        <v>11932000</v>
      </c>
      <c r="F221" s="428">
        <v>11946000</v>
      </c>
      <c r="G221" s="428">
        <v>11960000</v>
      </c>
      <c r="H221" s="428">
        <v>11974000</v>
      </c>
      <c r="I221" s="428">
        <v>11988000</v>
      </c>
      <c r="J221" s="428">
        <v>12002000</v>
      </c>
      <c r="K221" s="428">
        <v>12016000</v>
      </c>
      <c r="L221" s="428">
        <v>12030000</v>
      </c>
      <c r="M221" s="428">
        <v>12044000</v>
      </c>
      <c r="N221" s="428">
        <v>12058000</v>
      </c>
      <c r="O221" s="1744">
        <f t="shared" si="21"/>
        <v>11974153.846153846</v>
      </c>
      <c r="P221" s="97"/>
    </row>
    <row r="222" spans="1:16">
      <c r="A222" s="1839" t="s">
        <v>501</v>
      </c>
      <c r="B222" s="428">
        <v>16631000</v>
      </c>
      <c r="C222" s="428">
        <v>16650000</v>
      </c>
      <c r="D222" s="428">
        <v>16669000</v>
      </c>
      <c r="E222" s="428">
        <v>16689000</v>
      </c>
      <c r="F222" s="428">
        <v>16708000</v>
      </c>
      <c r="G222" s="428">
        <v>16727000</v>
      </c>
      <c r="H222" s="428">
        <v>16747000</v>
      </c>
      <c r="I222" s="428">
        <v>16766000</v>
      </c>
      <c r="J222" s="428">
        <v>16785000</v>
      </c>
      <c r="K222" s="428">
        <v>16805000</v>
      </c>
      <c r="L222" s="428">
        <v>16824000</v>
      </c>
      <c r="M222" s="428">
        <v>16844000</v>
      </c>
      <c r="N222" s="428">
        <v>16863000</v>
      </c>
      <c r="O222" s="1744">
        <f t="shared" si="21"/>
        <v>16746769.23076923</v>
      </c>
      <c r="P222" s="97"/>
    </row>
    <row r="223" spans="1:16">
      <c r="A223" s="1839" t="s">
        <v>509</v>
      </c>
      <c r="B223" s="428">
        <v>11817000</v>
      </c>
      <c r="C223" s="428">
        <v>11830000</v>
      </c>
      <c r="D223" s="428">
        <v>11843000</v>
      </c>
      <c r="E223" s="428">
        <v>11856000</v>
      </c>
      <c r="F223" s="428">
        <v>11868000</v>
      </c>
      <c r="G223" s="428">
        <v>11881000</v>
      </c>
      <c r="H223" s="428">
        <v>11894000</v>
      </c>
      <c r="I223" s="428">
        <v>11907000</v>
      </c>
      <c r="J223" s="428">
        <v>11920000</v>
      </c>
      <c r="K223" s="428">
        <v>11933000</v>
      </c>
      <c r="L223" s="428">
        <v>11946000</v>
      </c>
      <c r="M223" s="428">
        <v>11959000</v>
      </c>
      <c r="N223" s="428">
        <v>11972000</v>
      </c>
      <c r="O223" s="1744">
        <f t="shared" si="21"/>
        <v>11894307.692307692</v>
      </c>
      <c r="P223" s="97"/>
    </row>
    <row r="224" spans="1:16">
      <c r="A224" s="1839" t="s">
        <v>510</v>
      </c>
      <c r="B224" s="428">
        <v>17794000</v>
      </c>
      <c r="C224" s="428">
        <v>17814000</v>
      </c>
      <c r="D224" s="428">
        <v>17833000</v>
      </c>
      <c r="E224" s="428">
        <v>17853000</v>
      </c>
      <c r="F224" s="428">
        <v>17872000</v>
      </c>
      <c r="G224" s="428">
        <v>17891000</v>
      </c>
      <c r="H224" s="428">
        <v>17911000</v>
      </c>
      <c r="I224" s="428">
        <v>17930000</v>
      </c>
      <c r="J224" s="428">
        <v>17950000</v>
      </c>
      <c r="K224" s="428">
        <v>17969000</v>
      </c>
      <c r="L224" s="428">
        <v>17989000</v>
      </c>
      <c r="M224" s="428">
        <v>18008000</v>
      </c>
      <c r="N224" s="428">
        <v>18027000</v>
      </c>
      <c r="O224" s="1744">
        <f t="shared" si="21"/>
        <v>17910846.153846152</v>
      </c>
      <c r="P224" s="97"/>
    </row>
    <row r="225" spans="1:16">
      <c r="A225" s="1839" t="s">
        <v>534</v>
      </c>
      <c r="B225" s="428">
        <v>89000</v>
      </c>
      <c r="C225" s="428">
        <v>89000</v>
      </c>
      <c r="D225" s="428">
        <v>89000</v>
      </c>
      <c r="E225" s="428">
        <v>90000</v>
      </c>
      <c r="F225" s="428">
        <v>90000</v>
      </c>
      <c r="G225" s="428">
        <v>90000</v>
      </c>
      <c r="H225" s="428">
        <v>90000</v>
      </c>
      <c r="I225" s="428">
        <v>90000</v>
      </c>
      <c r="J225" s="428">
        <v>90000</v>
      </c>
      <c r="K225" s="428">
        <v>90000</v>
      </c>
      <c r="L225" s="428">
        <v>90000</v>
      </c>
      <c r="M225" s="428">
        <v>91000</v>
      </c>
      <c r="N225" s="428">
        <v>91000</v>
      </c>
      <c r="O225" s="1744">
        <f t="shared" si="21"/>
        <v>89923.076923076922</v>
      </c>
      <c r="P225" s="97"/>
    </row>
    <row r="226" spans="1:16">
      <c r="A226" s="1839" t="s">
        <v>535</v>
      </c>
      <c r="B226" s="428">
        <v>257000</v>
      </c>
      <c r="C226" s="428">
        <v>257000</v>
      </c>
      <c r="D226" s="428">
        <v>258000</v>
      </c>
      <c r="E226" s="428">
        <v>258000</v>
      </c>
      <c r="F226" s="428">
        <v>259000</v>
      </c>
      <c r="G226" s="428">
        <v>259000</v>
      </c>
      <c r="H226" s="428">
        <v>259000</v>
      </c>
      <c r="I226" s="428">
        <v>260000</v>
      </c>
      <c r="J226" s="428">
        <v>260000</v>
      </c>
      <c r="K226" s="428">
        <v>260000</v>
      </c>
      <c r="L226" s="428">
        <v>261000</v>
      </c>
      <c r="M226" s="428">
        <v>261000</v>
      </c>
      <c r="N226" s="428">
        <v>261000</v>
      </c>
      <c r="O226" s="1744">
        <f>AVERAGE(B226:N226)</f>
        <v>259230.76923076922</v>
      </c>
      <c r="P226" s="97"/>
    </row>
    <row r="227" spans="1:16">
      <c r="A227" s="1333" t="s">
        <v>1121</v>
      </c>
      <c r="B227" s="1807">
        <f t="shared" ref="B227:M227" si="22">SUM(B217:B226)</f>
        <v>73696000</v>
      </c>
      <c r="C227" s="1807">
        <f t="shared" si="22"/>
        <v>73815000</v>
      </c>
      <c r="D227" s="1807">
        <f t="shared" si="22"/>
        <v>73933000</v>
      </c>
      <c r="E227" s="1807">
        <f t="shared" si="22"/>
        <v>74050000</v>
      </c>
      <c r="F227" s="1807">
        <f t="shared" si="22"/>
        <v>74164000</v>
      </c>
      <c r="G227" s="1807">
        <f t="shared" si="22"/>
        <v>74279000</v>
      </c>
      <c r="H227" s="1807">
        <f t="shared" si="22"/>
        <v>74396000</v>
      </c>
      <c r="I227" s="1807">
        <f t="shared" si="22"/>
        <v>74512000</v>
      </c>
      <c r="J227" s="1807">
        <f t="shared" si="22"/>
        <v>74627000</v>
      </c>
      <c r="K227" s="1807">
        <f t="shared" si="22"/>
        <v>74744000</v>
      </c>
      <c r="L227" s="1807">
        <f t="shared" si="22"/>
        <v>74859000</v>
      </c>
      <c r="M227" s="1807">
        <f t="shared" si="22"/>
        <v>74977000</v>
      </c>
      <c r="N227" s="1807">
        <f>SUM(N217:N226)</f>
        <v>75047000</v>
      </c>
      <c r="O227" s="835">
        <f t="shared" si="21"/>
        <v>74392230.769230768</v>
      </c>
      <c r="P227" s="97"/>
    </row>
    <row r="228" spans="1:16">
      <c r="A228" s="97"/>
      <c r="B228" s="1806"/>
      <c r="C228" s="1806"/>
      <c r="D228" s="1806"/>
      <c r="E228" s="1806"/>
      <c r="F228" s="1806"/>
      <c r="G228" s="1806"/>
      <c r="H228" s="1806"/>
      <c r="I228" s="1806"/>
      <c r="J228" s="1806"/>
      <c r="K228" s="1806"/>
      <c r="L228" s="1806"/>
      <c r="M228" s="1806"/>
      <c r="N228" s="1806"/>
    </row>
    <row r="229" spans="1:16">
      <c r="A229" s="97"/>
      <c r="B229" s="1806"/>
      <c r="C229" s="1806"/>
      <c r="D229" s="1806"/>
      <c r="E229" s="1806"/>
      <c r="F229" s="1806"/>
      <c r="G229" s="1806"/>
      <c r="H229" s="1806"/>
      <c r="I229" s="1806"/>
      <c r="J229" s="1806"/>
      <c r="K229" s="1806"/>
      <c r="L229" s="1806"/>
      <c r="M229" s="1806"/>
      <c r="N229" s="1806"/>
      <c r="O229" s="1744"/>
    </row>
    <row r="230" spans="1:16">
      <c r="A230" s="1839" t="s">
        <v>489</v>
      </c>
      <c r="B230" s="428">
        <v>672000</v>
      </c>
      <c r="C230" s="428">
        <v>673000</v>
      </c>
      <c r="D230" s="428">
        <v>675000</v>
      </c>
      <c r="E230" s="428">
        <v>677000</v>
      </c>
      <c r="F230" s="428">
        <v>678000</v>
      </c>
      <c r="G230" s="428">
        <v>680000</v>
      </c>
      <c r="H230" s="428">
        <v>682000</v>
      </c>
      <c r="I230" s="428">
        <v>683000</v>
      </c>
      <c r="J230" s="428">
        <v>685000</v>
      </c>
      <c r="K230" s="428">
        <v>687000</v>
      </c>
      <c r="L230" s="428">
        <v>688000</v>
      </c>
      <c r="M230" s="428">
        <v>690000</v>
      </c>
      <c r="N230" s="428">
        <v>692000</v>
      </c>
      <c r="O230" s="1744">
        <f t="shared" si="21"/>
        <v>681692.30769230775</v>
      </c>
    </row>
    <row r="231" spans="1:16">
      <c r="A231" s="1839" t="s">
        <v>493</v>
      </c>
      <c r="B231" s="428">
        <v>23771000</v>
      </c>
      <c r="C231" s="428">
        <v>23857000</v>
      </c>
      <c r="D231" s="428">
        <v>23944000</v>
      </c>
      <c r="E231" s="428">
        <v>24030000</v>
      </c>
      <c r="F231" s="428">
        <v>24117000</v>
      </c>
      <c r="G231" s="428">
        <v>24203000</v>
      </c>
      <c r="H231" s="428">
        <v>24289000</v>
      </c>
      <c r="I231" s="428">
        <v>24376000</v>
      </c>
      <c r="J231" s="428">
        <v>24462000</v>
      </c>
      <c r="K231" s="428">
        <v>24549000</v>
      </c>
      <c r="L231" s="428">
        <v>24635000</v>
      </c>
      <c r="M231" s="428">
        <v>24722000</v>
      </c>
      <c r="N231" s="428">
        <v>24808000</v>
      </c>
      <c r="O231" s="1744">
        <f t="shared" si="21"/>
        <v>24289461.53846154</v>
      </c>
    </row>
    <row r="232" spans="1:16">
      <c r="A232" s="1839" t="s">
        <v>499</v>
      </c>
      <c r="B232" s="428">
        <v>11671000</v>
      </c>
      <c r="C232" s="428">
        <v>11693000</v>
      </c>
      <c r="D232" s="428">
        <v>11715000</v>
      </c>
      <c r="E232" s="428">
        <v>11736000</v>
      </c>
      <c r="F232" s="428">
        <v>11758000</v>
      </c>
      <c r="G232" s="428">
        <v>11779000</v>
      </c>
      <c r="H232" s="428">
        <v>11801000</v>
      </c>
      <c r="I232" s="428">
        <v>11823000</v>
      </c>
      <c r="J232" s="428">
        <v>11844000</v>
      </c>
      <c r="K232" s="428">
        <v>11866000</v>
      </c>
      <c r="L232" s="428">
        <v>11888000</v>
      </c>
      <c r="M232" s="428">
        <v>11909000</v>
      </c>
      <c r="N232" s="428">
        <v>11931000</v>
      </c>
      <c r="O232" s="1744">
        <f t="shared" si="21"/>
        <v>11801076.923076924</v>
      </c>
    </row>
    <row r="233" spans="1:16">
      <c r="A233" s="1839" t="s">
        <v>505</v>
      </c>
      <c r="B233" s="428">
        <v>152000</v>
      </c>
      <c r="C233" s="428">
        <v>153000</v>
      </c>
      <c r="D233" s="428">
        <v>153000</v>
      </c>
      <c r="E233" s="428">
        <v>153000</v>
      </c>
      <c r="F233" s="428">
        <v>154000</v>
      </c>
      <c r="G233" s="428">
        <v>154000</v>
      </c>
      <c r="H233" s="428">
        <v>155000</v>
      </c>
      <c r="I233" s="428">
        <v>155000</v>
      </c>
      <c r="J233" s="428">
        <v>156000</v>
      </c>
      <c r="K233" s="428">
        <v>156000</v>
      </c>
      <c r="L233" s="428">
        <v>156000</v>
      </c>
      <c r="M233" s="428">
        <v>157000</v>
      </c>
      <c r="N233" s="428">
        <v>157000</v>
      </c>
      <c r="O233" s="1744">
        <f t="shared" si="21"/>
        <v>154692.30769230769</v>
      </c>
    </row>
    <row r="234" spans="1:16">
      <c r="A234" s="1839" t="s">
        <v>508</v>
      </c>
      <c r="B234" s="428">
        <v>15468000</v>
      </c>
      <c r="C234" s="428">
        <v>15492000</v>
      </c>
      <c r="D234" s="428">
        <v>15516000</v>
      </c>
      <c r="E234" s="428">
        <v>15541000</v>
      </c>
      <c r="F234" s="428">
        <v>15565000</v>
      </c>
      <c r="G234" s="428">
        <v>15589000</v>
      </c>
      <c r="H234" s="428">
        <v>15614000</v>
      </c>
      <c r="I234" s="428">
        <v>15638000</v>
      </c>
      <c r="J234" s="428">
        <v>15662000</v>
      </c>
      <c r="K234" s="428">
        <v>15686000</v>
      </c>
      <c r="L234" s="428">
        <v>15711000</v>
      </c>
      <c r="M234" s="428">
        <v>15735000</v>
      </c>
      <c r="N234" s="428">
        <v>15759000</v>
      </c>
      <c r="O234" s="1744">
        <f t="shared" si="21"/>
        <v>15613538.461538462</v>
      </c>
    </row>
    <row r="235" spans="1:16">
      <c r="A235" s="1839" t="s">
        <v>533</v>
      </c>
      <c r="B235" s="428">
        <v>55000</v>
      </c>
      <c r="C235" s="428">
        <v>56000</v>
      </c>
      <c r="D235" s="428">
        <v>57000</v>
      </c>
      <c r="E235" s="428">
        <v>57000</v>
      </c>
      <c r="F235" s="428">
        <v>58000</v>
      </c>
      <c r="G235" s="428">
        <v>59000</v>
      </c>
      <c r="H235" s="428">
        <v>59000</v>
      </c>
      <c r="I235" s="428">
        <v>60000</v>
      </c>
      <c r="J235" s="428">
        <v>61000</v>
      </c>
      <c r="K235" s="428">
        <v>61000</v>
      </c>
      <c r="L235" s="428">
        <v>62000</v>
      </c>
      <c r="M235" s="428">
        <v>63000</v>
      </c>
      <c r="N235" s="428">
        <v>63000</v>
      </c>
      <c r="O235" s="1744">
        <f t="shared" si="21"/>
        <v>59307.692307692305</v>
      </c>
    </row>
    <row r="236" spans="1:16">
      <c r="A236" s="1333" t="s">
        <v>1137</v>
      </c>
      <c r="B236" s="835">
        <f>SUM(B230:B235)</f>
        <v>51789000</v>
      </c>
      <c r="C236" s="835">
        <f t="shared" ref="C236:O236" si="23">SUM(C230:C235)</f>
        <v>51924000</v>
      </c>
      <c r="D236" s="835">
        <f t="shared" si="23"/>
        <v>52060000</v>
      </c>
      <c r="E236" s="835">
        <f t="shared" si="23"/>
        <v>52194000</v>
      </c>
      <c r="F236" s="835">
        <f t="shared" si="23"/>
        <v>52330000</v>
      </c>
      <c r="G236" s="835">
        <f t="shared" si="23"/>
        <v>52464000</v>
      </c>
      <c r="H236" s="835">
        <f t="shared" si="23"/>
        <v>52600000</v>
      </c>
      <c r="I236" s="835">
        <f t="shared" si="23"/>
        <v>52735000</v>
      </c>
      <c r="J236" s="835">
        <f t="shared" si="23"/>
        <v>52870000</v>
      </c>
      <c r="K236" s="835">
        <f t="shared" si="23"/>
        <v>53005000</v>
      </c>
      <c r="L236" s="835">
        <f t="shared" si="23"/>
        <v>53140000</v>
      </c>
      <c r="M236" s="835">
        <f t="shared" si="23"/>
        <v>53276000</v>
      </c>
      <c r="N236" s="835">
        <f>SUM(N230:N235)</f>
        <v>53410000</v>
      </c>
      <c r="O236" s="835">
        <f t="shared" si="23"/>
        <v>52599769.230769232</v>
      </c>
    </row>
    <row r="237" spans="1:16">
      <c r="A237" s="2"/>
      <c r="B237" s="2"/>
      <c r="C237" s="2"/>
      <c r="D237" s="2"/>
      <c r="E237" s="2"/>
      <c r="F237" s="2"/>
      <c r="G237" s="2"/>
      <c r="H237" s="2"/>
      <c r="I237" s="2"/>
      <c r="J237" s="2"/>
      <c r="K237" s="2"/>
      <c r="L237" s="2"/>
      <c r="M237" s="2"/>
      <c r="N237" s="2"/>
    </row>
    <row r="238" spans="1:16">
      <c r="A238" s="2"/>
      <c r="B238" s="2"/>
      <c r="C238" s="2"/>
      <c r="D238" s="2"/>
      <c r="E238" s="2"/>
      <c r="F238" s="2"/>
      <c r="G238" s="2"/>
      <c r="H238" s="2"/>
      <c r="I238" s="2"/>
      <c r="J238" s="2"/>
      <c r="K238" s="2"/>
      <c r="L238" s="2"/>
      <c r="M238" s="2"/>
      <c r="N238" s="2"/>
    </row>
    <row r="239" spans="1:16">
      <c r="A239" s="1839" t="s">
        <v>1034</v>
      </c>
      <c r="B239" s="428">
        <v>10000</v>
      </c>
      <c r="C239" s="428">
        <v>10000</v>
      </c>
      <c r="D239" s="428">
        <v>10000</v>
      </c>
      <c r="E239" s="428">
        <v>10000</v>
      </c>
      <c r="F239" s="428">
        <v>10000</v>
      </c>
      <c r="G239" s="428">
        <v>10000</v>
      </c>
      <c r="H239" s="428">
        <v>10000</v>
      </c>
      <c r="I239" s="428">
        <v>10000</v>
      </c>
      <c r="J239" s="428">
        <v>11000</v>
      </c>
      <c r="K239" s="428">
        <v>11000</v>
      </c>
      <c r="L239" s="428">
        <v>11000</v>
      </c>
      <c r="M239" s="428">
        <v>11000</v>
      </c>
      <c r="N239" s="428">
        <v>11000</v>
      </c>
      <c r="O239" s="1744">
        <f t="shared" ref="O239:O269" si="24">AVERAGE(B239:N239)</f>
        <v>10384.615384615385</v>
      </c>
    </row>
    <row r="240" spans="1:16">
      <c r="A240" s="1839" t="s">
        <v>1035</v>
      </c>
      <c r="B240" s="428">
        <v>40000</v>
      </c>
      <c r="C240" s="428">
        <v>40000</v>
      </c>
      <c r="D240" s="428">
        <v>40000</v>
      </c>
      <c r="E240" s="428">
        <v>41000</v>
      </c>
      <c r="F240" s="428">
        <v>41000</v>
      </c>
      <c r="G240" s="428">
        <v>41000</v>
      </c>
      <c r="H240" s="428">
        <v>41000</v>
      </c>
      <c r="I240" s="428">
        <v>41000</v>
      </c>
      <c r="J240" s="428">
        <v>41000</v>
      </c>
      <c r="K240" s="428">
        <v>41000</v>
      </c>
      <c r="L240" s="428">
        <v>41000</v>
      </c>
      <c r="M240" s="428">
        <v>42000</v>
      </c>
      <c r="N240" s="428">
        <v>42000</v>
      </c>
      <c r="O240" s="1744">
        <f t="shared" si="24"/>
        <v>40923.076923076922</v>
      </c>
    </row>
    <row r="241" spans="1:15">
      <c r="A241" s="1839" t="s">
        <v>1036</v>
      </c>
      <c r="B241" s="428">
        <v>1000</v>
      </c>
      <c r="C241" s="428">
        <v>1000</v>
      </c>
      <c r="D241" s="428">
        <v>1000</v>
      </c>
      <c r="E241" s="428">
        <v>1000</v>
      </c>
      <c r="F241" s="428">
        <v>1000</v>
      </c>
      <c r="G241" s="428">
        <v>1000</v>
      </c>
      <c r="H241" s="428">
        <v>1000</v>
      </c>
      <c r="I241" s="428">
        <v>1000</v>
      </c>
      <c r="J241" s="428">
        <v>1000</v>
      </c>
      <c r="K241" s="428">
        <v>1000</v>
      </c>
      <c r="L241" s="428">
        <v>1000</v>
      </c>
      <c r="M241" s="428">
        <v>1000</v>
      </c>
      <c r="N241" s="428">
        <v>1000</v>
      </c>
      <c r="O241" s="1744">
        <f t="shared" si="24"/>
        <v>1000</v>
      </c>
    </row>
    <row r="242" spans="1:15">
      <c r="A242" s="1839" t="s">
        <v>1037</v>
      </c>
      <c r="B242" s="428">
        <v>1000</v>
      </c>
      <c r="C242" s="428">
        <v>1000</v>
      </c>
      <c r="D242" s="428">
        <v>1000</v>
      </c>
      <c r="E242" s="428">
        <v>1000</v>
      </c>
      <c r="F242" s="428">
        <v>1000</v>
      </c>
      <c r="G242" s="428">
        <v>1000</v>
      </c>
      <c r="H242" s="428">
        <v>1000</v>
      </c>
      <c r="I242" s="428">
        <v>1000</v>
      </c>
      <c r="J242" s="428">
        <v>1000</v>
      </c>
      <c r="K242" s="428">
        <v>2000</v>
      </c>
      <c r="L242" s="428">
        <v>2000</v>
      </c>
      <c r="M242" s="428">
        <v>2000</v>
      </c>
      <c r="N242" s="428">
        <v>2000</v>
      </c>
      <c r="O242" s="1744">
        <f t="shared" si="24"/>
        <v>1307.6923076923076</v>
      </c>
    </row>
    <row r="243" spans="1:15">
      <c r="A243" s="1839" t="s">
        <v>1122</v>
      </c>
      <c r="B243" s="428">
        <v>31000</v>
      </c>
      <c r="C243" s="428">
        <v>31000</v>
      </c>
      <c r="D243" s="428">
        <v>31000</v>
      </c>
      <c r="E243" s="428">
        <v>31000</v>
      </c>
      <c r="F243" s="428">
        <v>31000</v>
      </c>
      <c r="G243" s="428">
        <v>31000</v>
      </c>
      <c r="H243" s="428">
        <v>31000</v>
      </c>
      <c r="I243" s="428">
        <v>31000</v>
      </c>
      <c r="J243" s="428">
        <v>31000</v>
      </c>
      <c r="K243" s="428">
        <v>31000</v>
      </c>
      <c r="L243" s="428">
        <v>31000</v>
      </c>
      <c r="M243" s="428">
        <v>31000</v>
      </c>
      <c r="N243" s="428">
        <v>31000</v>
      </c>
      <c r="O243" s="1744">
        <f t="shared" si="24"/>
        <v>31000</v>
      </c>
    </row>
    <row r="244" spans="1:15">
      <c r="A244" s="1839" t="s">
        <v>1075</v>
      </c>
      <c r="B244" s="428">
        <v>421000</v>
      </c>
      <c r="C244" s="428">
        <v>423000</v>
      </c>
      <c r="D244" s="428">
        <v>425000</v>
      </c>
      <c r="E244" s="428">
        <v>427000</v>
      </c>
      <c r="F244" s="428">
        <v>429000</v>
      </c>
      <c r="G244" s="428">
        <v>431000</v>
      </c>
      <c r="H244" s="428">
        <v>433000</v>
      </c>
      <c r="I244" s="428">
        <v>435000</v>
      </c>
      <c r="J244" s="428">
        <v>437000</v>
      </c>
      <c r="K244" s="428">
        <v>439000</v>
      </c>
      <c r="L244" s="428">
        <v>441000</v>
      </c>
      <c r="M244" s="428">
        <v>443000</v>
      </c>
      <c r="N244" s="428">
        <v>445000</v>
      </c>
      <c r="O244" s="1744">
        <f t="shared" si="24"/>
        <v>433000</v>
      </c>
    </row>
    <row r="245" spans="1:15">
      <c r="A245" s="1839" t="s">
        <v>1038</v>
      </c>
      <c r="B245" s="428">
        <v>48000</v>
      </c>
      <c r="C245" s="428">
        <v>48000</v>
      </c>
      <c r="D245" s="428">
        <v>48000</v>
      </c>
      <c r="E245" s="428">
        <v>49000</v>
      </c>
      <c r="F245" s="428">
        <v>49000</v>
      </c>
      <c r="G245" s="428">
        <v>49000</v>
      </c>
      <c r="H245" s="428">
        <v>49000</v>
      </c>
      <c r="I245" s="428">
        <v>49000</v>
      </c>
      <c r="J245" s="428">
        <v>50000</v>
      </c>
      <c r="K245" s="428">
        <v>50000</v>
      </c>
      <c r="L245" s="428">
        <v>50000</v>
      </c>
      <c r="M245" s="428">
        <v>50000</v>
      </c>
      <c r="N245" s="428">
        <v>50000</v>
      </c>
      <c r="O245" s="1744">
        <f t="shared" si="24"/>
        <v>49153.846153846156</v>
      </c>
    </row>
    <row r="246" spans="1:15">
      <c r="A246" s="1839" t="s">
        <v>1039</v>
      </c>
      <c r="B246" s="428">
        <v>70000</v>
      </c>
      <c r="C246" s="428">
        <v>70000</v>
      </c>
      <c r="D246" s="428">
        <v>70000</v>
      </c>
      <c r="E246" s="428">
        <v>70000</v>
      </c>
      <c r="F246" s="428">
        <v>71000</v>
      </c>
      <c r="G246" s="428">
        <v>71000</v>
      </c>
      <c r="H246" s="428">
        <v>71000</v>
      </c>
      <c r="I246" s="428">
        <v>71000</v>
      </c>
      <c r="J246" s="428">
        <v>71000</v>
      </c>
      <c r="K246" s="428">
        <v>71000</v>
      </c>
      <c r="L246" s="428">
        <v>71000</v>
      </c>
      <c r="M246" s="428">
        <v>71000</v>
      </c>
      <c r="N246" s="428">
        <v>71000</v>
      </c>
      <c r="O246" s="1744">
        <f t="shared" si="24"/>
        <v>70692.307692307688</v>
      </c>
    </row>
    <row r="247" spans="1:15">
      <c r="A247" s="1839" t="s">
        <v>1040</v>
      </c>
      <c r="B247" s="428">
        <v>264000</v>
      </c>
      <c r="C247" s="428">
        <v>264000</v>
      </c>
      <c r="D247" s="428">
        <v>265000</v>
      </c>
      <c r="E247" s="428">
        <v>266000</v>
      </c>
      <c r="F247" s="428">
        <v>267000</v>
      </c>
      <c r="G247" s="428">
        <v>268000</v>
      </c>
      <c r="H247" s="428">
        <v>268000</v>
      </c>
      <c r="I247" s="428">
        <v>269000</v>
      </c>
      <c r="J247" s="428">
        <v>270000</v>
      </c>
      <c r="K247" s="428">
        <v>271000</v>
      </c>
      <c r="L247" s="428">
        <v>272000</v>
      </c>
      <c r="M247" s="428">
        <v>273000</v>
      </c>
      <c r="N247" s="428">
        <v>273000</v>
      </c>
      <c r="O247" s="1744">
        <f t="shared" si="24"/>
        <v>268461.53846153844</v>
      </c>
    </row>
    <row r="248" spans="1:15">
      <c r="A248" s="1839" t="s">
        <v>1041</v>
      </c>
      <c r="B248" s="428">
        <v>100000</v>
      </c>
      <c r="C248" s="428">
        <v>101000</v>
      </c>
      <c r="D248" s="428">
        <v>101000</v>
      </c>
      <c r="E248" s="428">
        <v>101000</v>
      </c>
      <c r="F248" s="428">
        <v>101000</v>
      </c>
      <c r="G248" s="428">
        <v>102000</v>
      </c>
      <c r="H248" s="428">
        <v>102000</v>
      </c>
      <c r="I248" s="428">
        <v>102000</v>
      </c>
      <c r="J248" s="428">
        <v>102000</v>
      </c>
      <c r="K248" s="428">
        <v>103000</v>
      </c>
      <c r="L248" s="428">
        <v>103000</v>
      </c>
      <c r="M248" s="428">
        <v>103000</v>
      </c>
      <c r="N248" s="428">
        <v>103000</v>
      </c>
      <c r="O248" s="1744">
        <f t="shared" si="24"/>
        <v>101846.15384615384</v>
      </c>
    </row>
    <row r="249" spans="1:15">
      <c r="A249" s="1839" t="s">
        <v>1042</v>
      </c>
      <c r="B249" s="428">
        <v>93000</v>
      </c>
      <c r="C249" s="428">
        <v>93000</v>
      </c>
      <c r="D249" s="428">
        <v>93000</v>
      </c>
      <c r="E249" s="428">
        <v>94000</v>
      </c>
      <c r="F249" s="428">
        <v>94000</v>
      </c>
      <c r="G249" s="428">
        <v>94000</v>
      </c>
      <c r="H249" s="428">
        <v>94000</v>
      </c>
      <c r="I249" s="428">
        <v>95000</v>
      </c>
      <c r="J249" s="428">
        <v>95000</v>
      </c>
      <c r="K249" s="428">
        <v>95000</v>
      </c>
      <c r="L249" s="428">
        <v>-17000</v>
      </c>
      <c r="M249" s="428">
        <v>-16000</v>
      </c>
      <c r="N249" s="428">
        <v>-15000</v>
      </c>
      <c r="O249" s="1744">
        <f t="shared" si="24"/>
        <v>68615.38461538461</v>
      </c>
    </row>
    <row r="250" spans="1:15">
      <c r="A250" s="1839" t="s">
        <v>1043</v>
      </c>
      <c r="B250" s="428">
        <v>88000</v>
      </c>
      <c r="C250" s="428">
        <v>88000</v>
      </c>
      <c r="D250" s="428">
        <v>89000</v>
      </c>
      <c r="E250" s="428">
        <v>89000</v>
      </c>
      <c r="F250" s="428">
        <v>89000</v>
      </c>
      <c r="G250" s="428">
        <v>89000</v>
      </c>
      <c r="H250" s="428">
        <v>89000</v>
      </c>
      <c r="I250" s="428">
        <v>90000</v>
      </c>
      <c r="J250" s="428">
        <v>90000</v>
      </c>
      <c r="K250" s="428">
        <v>90000</v>
      </c>
      <c r="L250" s="428">
        <v>90000</v>
      </c>
      <c r="M250" s="428">
        <v>90000</v>
      </c>
      <c r="N250" s="428">
        <v>91000</v>
      </c>
      <c r="O250" s="1744">
        <f t="shared" si="24"/>
        <v>89384.61538461539</v>
      </c>
    </row>
    <row r="251" spans="1:15">
      <c r="A251" s="1839" t="s">
        <v>1044</v>
      </c>
      <c r="B251" s="428">
        <v>5327000</v>
      </c>
      <c r="C251" s="428">
        <v>5336000</v>
      </c>
      <c r="D251" s="428">
        <v>5345000</v>
      </c>
      <c r="E251" s="428">
        <v>5355000</v>
      </c>
      <c r="F251" s="428">
        <v>5364000</v>
      </c>
      <c r="G251" s="428">
        <v>5374000</v>
      </c>
      <c r="H251" s="428">
        <v>5383000</v>
      </c>
      <c r="I251" s="428">
        <v>5393000</v>
      </c>
      <c r="J251" s="428">
        <v>5402000</v>
      </c>
      <c r="K251" s="428">
        <v>5411000</v>
      </c>
      <c r="L251" s="428">
        <v>5421000</v>
      </c>
      <c r="M251" s="428">
        <v>5430000</v>
      </c>
      <c r="N251" s="428">
        <v>5440000</v>
      </c>
      <c r="O251" s="1744">
        <f t="shared" si="24"/>
        <v>5383153.846153846</v>
      </c>
    </row>
    <row r="252" spans="1:15">
      <c r="A252" s="1839" t="s">
        <v>1062</v>
      </c>
      <c r="B252" s="428">
        <v>4389000</v>
      </c>
      <c r="C252" s="428">
        <v>4398000</v>
      </c>
      <c r="D252" s="428">
        <v>4408000</v>
      </c>
      <c r="E252" s="428">
        <v>4418000</v>
      </c>
      <c r="F252" s="428">
        <v>4428000</v>
      </c>
      <c r="G252" s="428">
        <v>4438000</v>
      </c>
      <c r="H252" s="428">
        <v>4447000</v>
      </c>
      <c r="I252" s="428">
        <v>4457000</v>
      </c>
      <c r="J252" s="428">
        <v>4467000</v>
      </c>
      <c r="K252" s="428">
        <v>4477000</v>
      </c>
      <c r="L252" s="428">
        <v>4487000</v>
      </c>
      <c r="M252" s="428">
        <v>4496000</v>
      </c>
      <c r="N252" s="428">
        <v>4506000</v>
      </c>
      <c r="O252" s="1744">
        <f t="shared" si="24"/>
        <v>4447384.615384615</v>
      </c>
    </row>
    <row r="253" spans="1:15">
      <c r="A253" s="1839" t="s">
        <v>1163</v>
      </c>
      <c r="B253" s="428">
        <v>2045000</v>
      </c>
      <c r="C253" s="428">
        <v>2054000</v>
      </c>
      <c r="D253" s="428">
        <v>2063000</v>
      </c>
      <c r="E253" s="428">
        <v>2072000</v>
      </c>
      <c r="F253" s="428">
        <v>2081000</v>
      </c>
      <c r="G253" s="428">
        <v>2089000</v>
      </c>
      <c r="H253" s="428">
        <v>2098000</v>
      </c>
      <c r="I253" s="428">
        <v>2107000</v>
      </c>
      <c r="J253" s="428">
        <v>2116000</v>
      </c>
      <c r="K253" s="428">
        <v>2124000</v>
      </c>
      <c r="L253" s="428">
        <v>2133000</v>
      </c>
      <c r="M253" s="428">
        <v>2142000</v>
      </c>
      <c r="N253" s="428">
        <v>2151000</v>
      </c>
      <c r="O253" s="1744">
        <f t="shared" si="24"/>
        <v>2098076.923076923</v>
      </c>
    </row>
    <row r="254" spans="1:15">
      <c r="A254" s="1839" t="s">
        <v>1045</v>
      </c>
      <c r="B254" s="428">
        <v>844000</v>
      </c>
      <c r="C254" s="428">
        <v>850000</v>
      </c>
      <c r="D254" s="428">
        <v>855000</v>
      </c>
      <c r="E254" s="428">
        <v>861000</v>
      </c>
      <c r="F254" s="428">
        <v>866000</v>
      </c>
      <c r="G254" s="428">
        <v>872000</v>
      </c>
      <c r="H254" s="428">
        <v>877000</v>
      </c>
      <c r="I254" s="428">
        <v>883000</v>
      </c>
      <c r="J254" s="428">
        <v>888000</v>
      </c>
      <c r="K254" s="428">
        <v>894000</v>
      </c>
      <c r="L254" s="428">
        <v>900000</v>
      </c>
      <c r="M254" s="428">
        <v>905000</v>
      </c>
      <c r="N254" s="428">
        <v>911000</v>
      </c>
      <c r="O254" s="1744">
        <f t="shared" si="24"/>
        <v>877384.61538461538</v>
      </c>
    </row>
    <row r="255" spans="1:15">
      <c r="A255" s="1839" t="s">
        <v>1046</v>
      </c>
      <c r="B255" s="428">
        <v>1810000</v>
      </c>
      <c r="C255" s="428">
        <v>1816000</v>
      </c>
      <c r="D255" s="428">
        <v>1823000</v>
      </c>
      <c r="E255" s="428">
        <v>1830000</v>
      </c>
      <c r="F255" s="428">
        <v>1836000</v>
      </c>
      <c r="G255" s="428">
        <v>1843000</v>
      </c>
      <c r="H255" s="428">
        <v>1849000</v>
      </c>
      <c r="I255" s="428">
        <v>1856000</v>
      </c>
      <c r="J255" s="428">
        <v>1863000</v>
      </c>
      <c r="K255" s="428">
        <v>1869000</v>
      </c>
      <c r="L255" s="428">
        <v>1876000</v>
      </c>
      <c r="M255" s="428">
        <v>1883000</v>
      </c>
      <c r="N255" s="428">
        <v>1889000</v>
      </c>
      <c r="O255" s="1744">
        <f t="shared" si="24"/>
        <v>1849461.5384615385</v>
      </c>
    </row>
    <row r="256" spans="1:15">
      <c r="A256" s="1839" t="s">
        <v>1047</v>
      </c>
      <c r="B256" s="428">
        <v>779000</v>
      </c>
      <c r="C256" s="428">
        <v>782000</v>
      </c>
      <c r="D256" s="428">
        <v>785000</v>
      </c>
      <c r="E256" s="428">
        <v>788000</v>
      </c>
      <c r="F256" s="428">
        <v>791000</v>
      </c>
      <c r="G256" s="428">
        <v>794000</v>
      </c>
      <c r="H256" s="428">
        <v>797000</v>
      </c>
      <c r="I256" s="428">
        <v>800000</v>
      </c>
      <c r="J256" s="428">
        <v>803000</v>
      </c>
      <c r="K256" s="428">
        <v>806000</v>
      </c>
      <c r="L256" s="428">
        <v>809000</v>
      </c>
      <c r="M256" s="428">
        <v>813000</v>
      </c>
      <c r="N256" s="428">
        <v>816000</v>
      </c>
      <c r="O256" s="1744">
        <f t="shared" si="24"/>
        <v>797153.84615384613</v>
      </c>
    </row>
    <row r="257" spans="1:15">
      <c r="A257" s="1839" t="s">
        <v>1048</v>
      </c>
      <c r="B257" s="428">
        <v>131000</v>
      </c>
      <c r="C257" s="428">
        <v>132000</v>
      </c>
      <c r="D257" s="428">
        <v>133000</v>
      </c>
      <c r="E257" s="428">
        <v>133000</v>
      </c>
      <c r="F257" s="428">
        <v>134000</v>
      </c>
      <c r="G257" s="428">
        <v>135000</v>
      </c>
      <c r="H257" s="428">
        <v>136000</v>
      </c>
      <c r="I257" s="428">
        <v>136000</v>
      </c>
      <c r="J257" s="428">
        <v>137000</v>
      </c>
      <c r="K257" s="428">
        <v>138000</v>
      </c>
      <c r="L257" s="428">
        <v>138000</v>
      </c>
      <c r="M257" s="428">
        <v>139000</v>
      </c>
      <c r="N257" s="428">
        <v>140000</v>
      </c>
      <c r="O257" s="1744">
        <f t="shared" si="24"/>
        <v>135538.46153846153</v>
      </c>
    </row>
    <row r="258" spans="1:15">
      <c r="A258" s="1839" t="s">
        <v>1049</v>
      </c>
      <c r="B258" s="428">
        <v>2863000</v>
      </c>
      <c r="C258" s="428">
        <v>2878000</v>
      </c>
      <c r="D258" s="428">
        <v>2894000</v>
      </c>
      <c r="E258" s="428">
        <v>2909000</v>
      </c>
      <c r="F258" s="428">
        <v>2925000</v>
      </c>
      <c r="G258" s="428">
        <v>2940000</v>
      </c>
      <c r="H258" s="428">
        <v>2956000</v>
      </c>
      <c r="I258" s="428">
        <v>2971000</v>
      </c>
      <c r="J258" s="428">
        <v>2987000</v>
      </c>
      <c r="K258" s="428">
        <v>3002000</v>
      </c>
      <c r="L258" s="428">
        <v>3018000</v>
      </c>
      <c r="M258" s="428">
        <v>3033000</v>
      </c>
      <c r="N258" s="428">
        <v>3049000</v>
      </c>
      <c r="O258" s="1744">
        <f t="shared" si="24"/>
        <v>2955769.230769231</v>
      </c>
    </row>
    <row r="259" spans="1:15">
      <c r="A259" s="1839" t="s">
        <v>1050</v>
      </c>
      <c r="B259" s="428">
        <v>3537000</v>
      </c>
      <c r="C259" s="428">
        <v>3553000</v>
      </c>
      <c r="D259" s="428">
        <v>3569000</v>
      </c>
      <c r="E259" s="428">
        <v>3586000</v>
      </c>
      <c r="F259" s="428">
        <v>3602000</v>
      </c>
      <c r="G259" s="428">
        <v>3618000</v>
      </c>
      <c r="H259" s="428">
        <v>3635000</v>
      </c>
      <c r="I259" s="428">
        <v>3651000</v>
      </c>
      <c r="J259" s="428">
        <v>3667000</v>
      </c>
      <c r="K259" s="428">
        <v>3684000</v>
      </c>
      <c r="L259" s="428">
        <v>3700000</v>
      </c>
      <c r="M259" s="428">
        <v>3716000</v>
      </c>
      <c r="N259" s="428">
        <v>3733000</v>
      </c>
      <c r="O259" s="1744">
        <f t="shared" si="24"/>
        <v>3634692.3076923075</v>
      </c>
    </row>
    <row r="260" spans="1:15">
      <c r="A260" s="1839" t="s">
        <v>1051</v>
      </c>
      <c r="B260" s="428">
        <v>872000</v>
      </c>
      <c r="C260" s="428">
        <v>877000</v>
      </c>
      <c r="D260" s="428">
        <v>882000</v>
      </c>
      <c r="E260" s="428">
        <v>886000</v>
      </c>
      <c r="F260" s="428">
        <v>891000</v>
      </c>
      <c r="G260" s="428">
        <v>896000</v>
      </c>
      <c r="H260" s="428">
        <v>900000</v>
      </c>
      <c r="I260" s="428">
        <v>905000</v>
      </c>
      <c r="J260" s="428">
        <v>910000</v>
      </c>
      <c r="K260" s="428">
        <v>914000</v>
      </c>
      <c r="L260" s="428">
        <v>919000</v>
      </c>
      <c r="M260" s="428">
        <v>924000</v>
      </c>
      <c r="N260" s="428">
        <v>929000</v>
      </c>
      <c r="O260" s="1744">
        <f t="shared" si="24"/>
        <v>900384.61538461538</v>
      </c>
    </row>
    <row r="261" spans="1:15">
      <c r="A261" s="1839" t="s">
        <v>1076</v>
      </c>
      <c r="B261" s="428">
        <v>10157000</v>
      </c>
      <c r="C261" s="428">
        <v>10199000</v>
      </c>
      <c r="D261" s="428">
        <v>10241000</v>
      </c>
      <c r="E261" s="428">
        <v>10283000</v>
      </c>
      <c r="F261" s="428">
        <v>10325000</v>
      </c>
      <c r="G261" s="428">
        <v>10367000</v>
      </c>
      <c r="H261" s="428">
        <v>10409000</v>
      </c>
      <c r="I261" s="428">
        <v>10452000</v>
      </c>
      <c r="J261" s="428">
        <v>10494000</v>
      </c>
      <c r="K261" s="428">
        <v>10536000</v>
      </c>
      <c r="L261" s="428">
        <v>10578000</v>
      </c>
      <c r="M261" s="428">
        <v>10620000</v>
      </c>
      <c r="N261" s="428">
        <v>10662000</v>
      </c>
      <c r="O261" s="1744">
        <f t="shared" si="24"/>
        <v>10409461.538461538</v>
      </c>
    </row>
    <row r="262" spans="1:15">
      <c r="A262" s="1839" t="s">
        <v>1052</v>
      </c>
      <c r="B262" s="428">
        <v>608000</v>
      </c>
      <c r="C262" s="428">
        <v>611000</v>
      </c>
      <c r="D262" s="428">
        <v>614000</v>
      </c>
      <c r="E262" s="428">
        <v>617000</v>
      </c>
      <c r="F262" s="428">
        <v>620000</v>
      </c>
      <c r="G262" s="428">
        <v>624000</v>
      </c>
      <c r="H262" s="428">
        <v>627000</v>
      </c>
      <c r="I262" s="428">
        <v>630000</v>
      </c>
      <c r="J262" s="428">
        <v>633000</v>
      </c>
      <c r="K262" s="428">
        <v>636000</v>
      </c>
      <c r="L262" s="428">
        <v>639000</v>
      </c>
      <c r="M262" s="428">
        <v>642000</v>
      </c>
      <c r="N262" s="428">
        <v>645000</v>
      </c>
      <c r="O262" s="1744">
        <f t="shared" si="24"/>
        <v>626615.38461538462</v>
      </c>
    </row>
    <row r="263" spans="1:15">
      <c r="A263" s="1839" t="s">
        <v>1053</v>
      </c>
      <c r="B263" s="428">
        <v>12000</v>
      </c>
      <c r="C263" s="428">
        <v>12000</v>
      </c>
      <c r="D263" s="428">
        <v>12000</v>
      </c>
      <c r="E263" s="428">
        <v>12000</v>
      </c>
      <c r="F263" s="428">
        <v>12000</v>
      </c>
      <c r="G263" s="428">
        <v>12000</v>
      </c>
      <c r="H263" s="428">
        <v>12000</v>
      </c>
      <c r="I263" s="428">
        <v>12000</v>
      </c>
      <c r="J263" s="428">
        <v>12000</v>
      </c>
      <c r="K263" s="428">
        <v>12000</v>
      </c>
      <c r="L263" s="428">
        <v>12000</v>
      </c>
      <c r="M263" s="428">
        <v>12000</v>
      </c>
      <c r="N263" s="428">
        <v>12000</v>
      </c>
      <c r="O263" s="1744">
        <f t="shared" si="24"/>
        <v>12000</v>
      </c>
    </row>
    <row r="264" spans="1:15">
      <c r="A264" s="1839" t="s">
        <v>1054</v>
      </c>
      <c r="B264" s="428">
        <v>49000</v>
      </c>
      <c r="C264" s="428">
        <v>50000</v>
      </c>
      <c r="D264" s="428">
        <v>50000</v>
      </c>
      <c r="E264" s="428">
        <v>50000</v>
      </c>
      <c r="F264" s="428">
        <v>51000</v>
      </c>
      <c r="G264" s="428">
        <v>51000</v>
      </c>
      <c r="H264" s="428">
        <v>51000</v>
      </c>
      <c r="I264" s="428">
        <v>52000</v>
      </c>
      <c r="J264" s="428">
        <v>52000</v>
      </c>
      <c r="K264" s="428">
        <v>52000</v>
      </c>
      <c r="L264" s="428">
        <v>53000</v>
      </c>
      <c r="M264" s="428">
        <v>53000</v>
      </c>
      <c r="N264" s="428">
        <v>53000</v>
      </c>
      <c r="O264" s="1744">
        <f t="shared" si="24"/>
        <v>51307.692307692305</v>
      </c>
    </row>
    <row r="265" spans="1:15">
      <c r="A265" s="1839" t="s">
        <v>1055</v>
      </c>
      <c r="B265" s="428">
        <v>45000</v>
      </c>
      <c r="C265" s="428">
        <v>46000</v>
      </c>
      <c r="D265" s="428">
        <v>46000</v>
      </c>
      <c r="E265" s="428">
        <v>46000</v>
      </c>
      <c r="F265" s="428">
        <v>46000</v>
      </c>
      <c r="G265" s="428">
        <v>46000</v>
      </c>
      <c r="H265" s="428">
        <v>47000</v>
      </c>
      <c r="I265" s="428">
        <v>47000</v>
      </c>
      <c r="J265" s="428">
        <v>47000</v>
      </c>
      <c r="K265" s="428">
        <v>47000</v>
      </c>
      <c r="L265" s="428">
        <v>48000</v>
      </c>
      <c r="M265" s="428">
        <v>48000</v>
      </c>
      <c r="N265" s="428">
        <v>48000</v>
      </c>
      <c r="O265" s="1744">
        <f t="shared" si="24"/>
        <v>46692.307692307695</v>
      </c>
    </row>
    <row r="266" spans="1:15">
      <c r="A266" s="1839" t="s">
        <v>1063</v>
      </c>
      <c r="B266" s="428">
        <v>1064000</v>
      </c>
      <c r="C266" s="428">
        <v>1071000</v>
      </c>
      <c r="D266" s="428">
        <v>1078000</v>
      </c>
      <c r="E266" s="428">
        <v>1085000</v>
      </c>
      <c r="F266" s="428">
        <v>1092000</v>
      </c>
      <c r="G266" s="428">
        <v>1099000</v>
      </c>
      <c r="H266" s="428">
        <v>1106000</v>
      </c>
      <c r="I266" s="428">
        <v>1113000</v>
      </c>
      <c r="J266" s="428">
        <v>1120000</v>
      </c>
      <c r="K266" s="428">
        <v>1127000</v>
      </c>
      <c r="L266" s="428">
        <v>1135000</v>
      </c>
      <c r="M266" s="428">
        <v>1142000</v>
      </c>
      <c r="N266" s="428">
        <v>1149000</v>
      </c>
      <c r="O266" s="1744">
        <f t="shared" si="24"/>
        <v>1106230.7692307692</v>
      </c>
    </row>
    <row r="267" spans="1:15">
      <c r="A267" s="1839" t="s">
        <v>1064</v>
      </c>
      <c r="B267" s="428">
        <v>1104000</v>
      </c>
      <c r="C267" s="428">
        <v>1112000</v>
      </c>
      <c r="D267" s="428">
        <v>1120000</v>
      </c>
      <c r="E267" s="428">
        <v>1129000</v>
      </c>
      <c r="F267" s="428">
        <v>1137000</v>
      </c>
      <c r="G267" s="428">
        <v>1145000</v>
      </c>
      <c r="H267" s="428">
        <v>1153000</v>
      </c>
      <c r="I267" s="428">
        <v>1162000</v>
      </c>
      <c r="J267" s="428">
        <v>1170000</v>
      </c>
      <c r="K267" s="428">
        <v>1178000</v>
      </c>
      <c r="L267" s="428">
        <v>1186000</v>
      </c>
      <c r="M267" s="428">
        <v>1195000</v>
      </c>
      <c r="N267" s="428">
        <v>1203000</v>
      </c>
      <c r="O267" s="1744">
        <f t="shared" si="24"/>
        <v>1153384.6153846155</v>
      </c>
    </row>
    <row r="268" spans="1:15">
      <c r="A268" s="1839" t="s">
        <v>1056</v>
      </c>
      <c r="B268" s="428">
        <v>161000</v>
      </c>
      <c r="C268" s="428">
        <v>161000</v>
      </c>
      <c r="D268" s="428">
        <v>162000</v>
      </c>
      <c r="E268" s="428">
        <v>162000</v>
      </c>
      <c r="F268" s="428">
        <v>162000</v>
      </c>
      <c r="G268" s="428">
        <v>163000</v>
      </c>
      <c r="H268" s="428">
        <v>163000</v>
      </c>
      <c r="I268" s="428">
        <v>163000</v>
      </c>
      <c r="J268" s="428">
        <v>164000</v>
      </c>
      <c r="K268" s="428">
        <v>164000</v>
      </c>
      <c r="L268" s="428">
        <v>164000</v>
      </c>
      <c r="M268" s="428">
        <v>165000</v>
      </c>
      <c r="N268" s="428">
        <v>165000</v>
      </c>
      <c r="O268" s="1744">
        <f t="shared" si="24"/>
        <v>163000</v>
      </c>
    </row>
    <row r="269" spans="1:15">
      <c r="A269" s="1839" t="s">
        <v>1057</v>
      </c>
      <c r="B269" s="428">
        <v>-34000</v>
      </c>
      <c r="C269" s="428">
        <v>-34000</v>
      </c>
      <c r="D269" s="428">
        <v>-34000</v>
      </c>
      <c r="E269" s="428">
        <v>-33000</v>
      </c>
      <c r="F269" s="428">
        <v>-33000</v>
      </c>
      <c r="G269" s="428">
        <v>-33000</v>
      </c>
      <c r="H269" s="428">
        <v>-33000</v>
      </c>
      <c r="I269" s="428">
        <v>-33000</v>
      </c>
      <c r="J269" s="428">
        <v>-33000</v>
      </c>
      <c r="K269" s="428">
        <v>-33000</v>
      </c>
      <c r="L269" s="428">
        <v>-32000</v>
      </c>
      <c r="M269" s="428">
        <v>-32000</v>
      </c>
      <c r="N269" s="428">
        <v>-32000</v>
      </c>
      <c r="O269" s="1744">
        <f t="shared" si="24"/>
        <v>-33000</v>
      </c>
    </row>
    <row r="270" spans="1:15">
      <c r="A270" s="1839" t="s">
        <v>1058</v>
      </c>
      <c r="B270" s="428">
        <v>14000</v>
      </c>
      <c r="C270" s="428">
        <v>14000</v>
      </c>
      <c r="D270" s="428">
        <v>14000</v>
      </c>
      <c r="E270" s="428">
        <v>14000</v>
      </c>
      <c r="F270" s="428">
        <v>15000</v>
      </c>
      <c r="G270" s="428">
        <v>15000</v>
      </c>
      <c r="H270" s="428">
        <v>15000</v>
      </c>
      <c r="I270" s="428">
        <v>15000</v>
      </c>
      <c r="J270" s="428">
        <v>15000</v>
      </c>
      <c r="K270" s="428">
        <v>15000</v>
      </c>
      <c r="L270" s="428">
        <v>15000</v>
      </c>
      <c r="M270" s="428">
        <v>15000</v>
      </c>
      <c r="N270" s="428">
        <v>15000</v>
      </c>
      <c r="O270" s="1744">
        <f t="shared" ref="O270:O310" si="25">AVERAGE(B270:N270)</f>
        <v>14692.307692307691</v>
      </c>
    </row>
    <row r="271" spans="1:15">
      <c r="A271" s="1839" t="s">
        <v>1077</v>
      </c>
      <c r="B271" s="428">
        <v>629000</v>
      </c>
      <c r="C271" s="428">
        <v>634000</v>
      </c>
      <c r="D271" s="428">
        <v>639000</v>
      </c>
      <c r="E271" s="428">
        <v>644000</v>
      </c>
      <c r="F271" s="428">
        <v>649000</v>
      </c>
      <c r="G271" s="428">
        <v>654000</v>
      </c>
      <c r="H271" s="428">
        <v>659000</v>
      </c>
      <c r="I271" s="428">
        <v>664000</v>
      </c>
      <c r="J271" s="428">
        <v>669000</v>
      </c>
      <c r="K271" s="428">
        <v>674000</v>
      </c>
      <c r="L271" s="428">
        <v>679000</v>
      </c>
      <c r="M271" s="428">
        <v>684000</v>
      </c>
      <c r="N271" s="428">
        <v>689000</v>
      </c>
      <c r="O271" s="1744">
        <f t="shared" si="25"/>
        <v>659000</v>
      </c>
    </row>
    <row r="272" spans="1:15">
      <c r="A272" s="1839" t="s">
        <v>1059</v>
      </c>
      <c r="B272" s="428">
        <v>3666000</v>
      </c>
      <c r="C272" s="428">
        <v>3672000</v>
      </c>
      <c r="D272" s="428">
        <v>3678000</v>
      </c>
      <c r="E272" s="428">
        <v>3684000</v>
      </c>
      <c r="F272" s="428">
        <v>3690000</v>
      </c>
      <c r="G272" s="428">
        <v>3696000</v>
      </c>
      <c r="H272" s="428">
        <v>3703000</v>
      </c>
      <c r="I272" s="428">
        <v>3709000</v>
      </c>
      <c r="J272" s="428">
        <v>3715000</v>
      </c>
      <c r="K272" s="428">
        <v>3721000</v>
      </c>
      <c r="L272" s="428">
        <v>3727000</v>
      </c>
      <c r="M272" s="428">
        <v>3733000</v>
      </c>
      <c r="N272" s="428">
        <v>3739000</v>
      </c>
      <c r="O272" s="1744">
        <f t="shared" si="25"/>
        <v>3702538.4615384615</v>
      </c>
    </row>
    <row r="273" spans="1:15">
      <c r="A273" s="1839" t="s">
        <v>1060</v>
      </c>
      <c r="B273" s="428">
        <v>84000</v>
      </c>
      <c r="C273" s="428">
        <v>84000</v>
      </c>
      <c r="D273" s="428">
        <v>84000</v>
      </c>
      <c r="E273" s="428">
        <v>85000</v>
      </c>
      <c r="F273" s="428">
        <v>85000</v>
      </c>
      <c r="G273" s="428">
        <v>85000</v>
      </c>
      <c r="H273" s="428">
        <v>85000</v>
      </c>
      <c r="I273" s="428">
        <v>85000</v>
      </c>
      <c r="J273" s="428">
        <v>86000</v>
      </c>
      <c r="K273" s="428">
        <v>86000</v>
      </c>
      <c r="L273" s="428">
        <v>86000</v>
      </c>
      <c r="M273" s="428">
        <v>86000</v>
      </c>
      <c r="N273" s="428">
        <v>87000</v>
      </c>
      <c r="O273" s="1744">
        <f t="shared" si="25"/>
        <v>85230.769230769234</v>
      </c>
    </row>
    <row r="274" spans="1:15">
      <c r="A274" s="1839" t="s">
        <v>1061</v>
      </c>
      <c r="B274" s="428">
        <v>9000</v>
      </c>
      <c r="C274" s="428">
        <v>9000</v>
      </c>
      <c r="D274" s="428">
        <v>9000</v>
      </c>
      <c r="E274" s="428">
        <v>9000</v>
      </c>
      <c r="F274" s="428">
        <v>9000</v>
      </c>
      <c r="G274" s="428">
        <v>9000</v>
      </c>
      <c r="H274" s="428">
        <v>9000</v>
      </c>
      <c r="I274" s="428">
        <v>9000</v>
      </c>
      <c r="J274" s="428">
        <v>9000</v>
      </c>
      <c r="K274" s="428">
        <v>9000</v>
      </c>
      <c r="L274" s="428">
        <v>9000</v>
      </c>
      <c r="M274" s="428">
        <v>9000</v>
      </c>
      <c r="N274" s="428">
        <v>9000</v>
      </c>
      <c r="O274" s="1744">
        <f t="shared" si="25"/>
        <v>9000</v>
      </c>
    </row>
    <row r="275" spans="1:15">
      <c r="A275" s="1839" t="s">
        <v>0</v>
      </c>
      <c r="B275" s="428">
        <v>886000</v>
      </c>
      <c r="C275" s="428">
        <v>891000</v>
      </c>
      <c r="D275" s="428">
        <v>895000</v>
      </c>
      <c r="E275" s="428">
        <v>900000</v>
      </c>
      <c r="F275" s="428">
        <v>905000</v>
      </c>
      <c r="G275" s="428">
        <v>910000</v>
      </c>
      <c r="H275" s="428">
        <v>914000</v>
      </c>
      <c r="I275" s="428">
        <v>919000</v>
      </c>
      <c r="J275" s="428">
        <v>924000</v>
      </c>
      <c r="K275" s="428">
        <v>928000</v>
      </c>
      <c r="L275" s="428">
        <v>933000</v>
      </c>
      <c r="M275" s="428">
        <v>938000</v>
      </c>
      <c r="N275" s="428">
        <v>943000</v>
      </c>
      <c r="O275" s="1744">
        <f t="shared" si="25"/>
        <v>914307.69230769225</v>
      </c>
    </row>
    <row r="276" spans="1:15">
      <c r="A276" s="1839" t="s">
        <v>1</v>
      </c>
      <c r="B276" s="428">
        <v>802000</v>
      </c>
      <c r="C276" s="428">
        <v>807000</v>
      </c>
      <c r="D276" s="428">
        <v>812000</v>
      </c>
      <c r="E276" s="428">
        <v>817000</v>
      </c>
      <c r="F276" s="428">
        <v>822000</v>
      </c>
      <c r="G276" s="428">
        <v>827000</v>
      </c>
      <c r="H276" s="428">
        <v>832000</v>
      </c>
      <c r="I276" s="428">
        <v>837000</v>
      </c>
      <c r="J276" s="428">
        <v>842000</v>
      </c>
      <c r="K276" s="428">
        <v>847000</v>
      </c>
      <c r="L276" s="428">
        <v>852000</v>
      </c>
      <c r="M276" s="428">
        <v>857000</v>
      </c>
      <c r="N276" s="428">
        <v>862000</v>
      </c>
      <c r="O276" s="1744">
        <f t="shared" si="25"/>
        <v>832000</v>
      </c>
    </row>
    <row r="277" spans="1:15">
      <c r="A277" s="1839" t="s">
        <v>2</v>
      </c>
      <c r="B277" s="428">
        <v>1690000</v>
      </c>
      <c r="C277" s="428">
        <v>1694000</v>
      </c>
      <c r="D277" s="428">
        <v>1698000</v>
      </c>
      <c r="E277" s="428">
        <v>1701000</v>
      </c>
      <c r="F277" s="428">
        <v>1705000</v>
      </c>
      <c r="G277" s="428">
        <v>1388000</v>
      </c>
      <c r="H277" s="428">
        <v>1393000</v>
      </c>
      <c r="I277" s="428">
        <v>1397000</v>
      </c>
      <c r="J277" s="428">
        <v>1400000</v>
      </c>
      <c r="K277" s="428">
        <v>1405000</v>
      </c>
      <c r="L277" s="428">
        <v>1409000</v>
      </c>
      <c r="M277" s="428">
        <v>1414000</v>
      </c>
      <c r="N277" s="428">
        <v>1418000</v>
      </c>
      <c r="O277" s="1744">
        <f t="shared" si="25"/>
        <v>1516307.6923076923</v>
      </c>
    </row>
    <row r="278" spans="1:15">
      <c r="A278" s="1839" t="s">
        <v>3</v>
      </c>
      <c r="B278" s="428">
        <v>3978000</v>
      </c>
      <c r="C278" s="428">
        <v>3997000</v>
      </c>
      <c r="D278" s="428">
        <v>4016000</v>
      </c>
      <c r="E278" s="428">
        <v>4035000</v>
      </c>
      <c r="F278" s="428">
        <v>4054000</v>
      </c>
      <c r="G278" s="428">
        <v>4073000</v>
      </c>
      <c r="H278" s="428">
        <v>4091000</v>
      </c>
      <c r="I278" s="428">
        <v>4110000</v>
      </c>
      <c r="J278" s="428">
        <v>4129000</v>
      </c>
      <c r="K278" s="428">
        <v>4148000</v>
      </c>
      <c r="L278" s="428">
        <v>4167000</v>
      </c>
      <c r="M278" s="428">
        <v>4186000</v>
      </c>
      <c r="N278" s="428">
        <v>4205000</v>
      </c>
      <c r="O278" s="1744">
        <f t="shared" si="25"/>
        <v>4091461.5384615385</v>
      </c>
    </row>
    <row r="279" spans="1:15">
      <c r="A279" s="1839" t="s">
        <v>1157</v>
      </c>
      <c r="B279" s="428">
        <v>3438000</v>
      </c>
      <c r="C279" s="428">
        <v>3455000</v>
      </c>
      <c r="D279" s="428">
        <v>3472000</v>
      </c>
      <c r="E279" s="428">
        <v>3489000</v>
      </c>
      <c r="F279" s="428">
        <v>3506000</v>
      </c>
      <c r="G279" s="428">
        <v>3523000</v>
      </c>
      <c r="H279" s="428">
        <v>3540000</v>
      </c>
      <c r="I279" s="428">
        <v>3557000</v>
      </c>
      <c r="J279" s="428">
        <v>3573000</v>
      </c>
      <c r="K279" s="428">
        <v>3590000</v>
      </c>
      <c r="L279" s="428">
        <v>3607000</v>
      </c>
      <c r="M279" s="428">
        <v>3624000</v>
      </c>
      <c r="N279" s="428">
        <v>3641000</v>
      </c>
      <c r="O279" s="1744">
        <f t="shared" si="25"/>
        <v>3539615.3846153845</v>
      </c>
    </row>
    <row r="280" spans="1:15">
      <c r="A280" s="1839" t="s">
        <v>4</v>
      </c>
      <c r="B280" s="428">
        <v>2288000</v>
      </c>
      <c r="C280" s="428">
        <v>2302000</v>
      </c>
      <c r="D280" s="428">
        <v>2317000</v>
      </c>
      <c r="E280" s="428">
        <v>2331000</v>
      </c>
      <c r="F280" s="428">
        <v>2346000</v>
      </c>
      <c r="G280" s="428">
        <v>2360000</v>
      </c>
      <c r="H280" s="428">
        <v>2374000</v>
      </c>
      <c r="I280" s="428">
        <v>2389000</v>
      </c>
      <c r="J280" s="428">
        <v>2403000</v>
      </c>
      <c r="K280" s="428">
        <v>2418000</v>
      </c>
      <c r="L280" s="428">
        <v>2432000</v>
      </c>
      <c r="M280" s="428">
        <v>2447000</v>
      </c>
      <c r="N280" s="428">
        <v>2461000</v>
      </c>
      <c r="O280" s="1744">
        <f t="shared" si="25"/>
        <v>2374461.5384615385</v>
      </c>
    </row>
    <row r="281" spans="1:15">
      <c r="A281" s="1839" t="s">
        <v>5</v>
      </c>
      <c r="B281" s="428">
        <v>55000</v>
      </c>
      <c r="C281" s="428">
        <v>56000</v>
      </c>
      <c r="D281" s="428">
        <v>56000</v>
      </c>
      <c r="E281" s="428">
        <v>56000</v>
      </c>
      <c r="F281" s="428">
        <v>56000</v>
      </c>
      <c r="G281" s="428">
        <v>57000</v>
      </c>
      <c r="H281" s="428">
        <v>57000</v>
      </c>
      <c r="I281" s="428">
        <v>57000</v>
      </c>
      <c r="J281" s="428">
        <v>57000</v>
      </c>
      <c r="K281" s="428">
        <v>58000</v>
      </c>
      <c r="L281" s="428">
        <v>58000</v>
      </c>
      <c r="M281" s="428">
        <v>58000</v>
      </c>
      <c r="N281" s="428">
        <v>58000</v>
      </c>
      <c r="O281" s="1744">
        <f t="shared" si="25"/>
        <v>56846.153846153844</v>
      </c>
    </row>
    <row r="282" spans="1:15">
      <c r="A282" s="1839" t="s">
        <v>6</v>
      </c>
      <c r="B282" s="428">
        <v>56000</v>
      </c>
      <c r="C282" s="428">
        <v>56000</v>
      </c>
      <c r="D282" s="428">
        <v>56000</v>
      </c>
      <c r="E282" s="428">
        <v>57000</v>
      </c>
      <c r="F282" s="428">
        <v>57000</v>
      </c>
      <c r="G282" s="428">
        <v>57000</v>
      </c>
      <c r="H282" s="428">
        <v>58000</v>
      </c>
      <c r="I282" s="428">
        <v>58000</v>
      </c>
      <c r="J282" s="428">
        <v>58000</v>
      </c>
      <c r="K282" s="428">
        <v>58000</v>
      </c>
      <c r="L282" s="428">
        <v>59000</v>
      </c>
      <c r="M282" s="428">
        <v>59000</v>
      </c>
      <c r="N282" s="428">
        <v>59000</v>
      </c>
      <c r="O282" s="1744">
        <f t="shared" si="25"/>
        <v>57538.461538461539</v>
      </c>
    </row>
    <row r="283" spans="1:15">
      <c r="A283" s="1839" t="s">
        <v>1065</v>
      </c>
      <c r="B283" s="428">
        <v>33000</v>
      </c>
      <c r="C283" s="428">
        <v>33000</v>
      </c>
      <c r="D283" s="428">
        <v>33000</v>
      </c>
      <c r="E283" s="428">
        <v>33000</v>
      </c>
      <c r="F283" s="428">
        <v>33000</v>
      </c>
      <c r="G283" s="428">
        <v>33000</v>
      </c>
      <c r="H283" s="428">
        <v>33000</v>
      </c>
      <c r="I283" s="428">
        <v>33000</v>
      </c>
      <c r="J283" s="428">
        <v>33000</v>
      </c>
      <c r="K283" s="428">
        <v>33000</v>
      </c>
      <c r="L283" s="428">
        <v>33000</v>
      </c>
      <c r="M283" s="428">
        <v>33000</v>
      </c>
      <c r="N283" s="428">
        <v>33000</v>
      </c>
      <c r="O283" s="1744">
        <f t="shared" si="25"/>
        <v>33000</v>
      </c>
    </row>
    <row r="284" spans="1:15">
      <c r="A284" s="1839" t="s">
        <v>7</v>
      </c>
      <c r="B284" s="428">
        <v>776000</v>
      </c>
      <c r="C284" s="428">
        <v>779000</v>
      </c>
      <c r="D284" s="428">
        <v>782000</v>
      </c>
      <c r="E284" s="428">
        <v>785000</v>
      </c>
      <c r="F284" s="428">
        <v>789000</v>
      </c>
      <c r="G284" s="428">
        <v>792000</v>
      </c>
      <c r="H284" s="428">
        <v>795000</v>
      </c>
      <c r="I284" s="428">
        <v>798000</v>
      </c>
      <c r="J284" s="428">
        <v>802000</v>
      </c>
      <c r="K284" s="428">
        <v>805000</v>
      </c>
      <c r="L284" s="428">
        <v>808000</v>
      </c>
      <c r="M284" s="428">
        <v>811000</v>
      </c>
      <c r="N284" s="428">
        <v>814000</v>
      </c>
      <c r="O284" s="1744">
        <f t="shared" si="25"/>
        <v>795076.92307692312</v>
      </c>
    </row>
    <row r="285" spans="1:15">
      <c r="A285" s="1839" t="s">
        <v>8</v>
      </c>
      <c r="B285" s="428">
        <v>13000</v>
      </c>
      <c r="C285" s="428">
        <v>13000</v>
      </c>
      <c r="D285" s="428">
        <v>13000</v>
      </c>
      <c r="E285" s="428">
        <v>13000</v>
      </c>
      <c r="F285" s="428">
        <v>13000</v>
      </c>
      <c r="G285" s="428">
        <v>13000</v>
      </c>
      <c r="H285" s="428">
        <v>13000</v>
      </c>
      <c r="I285" s="428">
        <v>13000</v>
      </c>
      <c r="J285" s="428">
        <v>13000</v>
      </c>
      <c r="K285" s="428">
        <v>14000</v>
      </c>
      <c r="L285" s="428">
        <v>14000</v>
      </c>
      <c r="M285" s="428">
        <v>14000</v>
      </c>
      <c r="N285" s="428">
        <v>14000</v>
      </c>
      <c r="O285" s="1744">
        <f t="shared" si="25"/>
        <v>13307.692307692309</v>
      </c>
    </row>
    <row r="286" spans="1:15">
      <c r="A286" s="1839" t="s">
        <v>9</v>
      </c>
      <c r="B286" s="428">
        <v>379000</v>
      </c>
      <c r="C286" s="428">
        <v>381000</v>
      </c>
      <c r="D286" s="428">
        <v>383000</v>
      </c>
      <c r="E286" s="428">
        <v>385000</v>
      </c>
      <c r="F286" s="428">
        <v>387000</v>
      </c>
      <c r="G286" s="428">
        <v>389000</v>
      </c>
      <c r="H286" s="428">
        <v>391000</v>
      </c>
      <c r="I286" s="428">
        <v>393000</v>
      </c>
      <c r="J286" s="428">
        <v>395000</v>
      </c>
      <c r="K286" s="428">
        <v>397000</v>
      </c>
      <c r="L286" s="428">
        <v>399000</v>
      </c>
      <c r="M286" s="428">
        <v>401000</v>
      </c>
      <c r="N286" s="428">
        <v>403000</v>
      </c>
      <c r="O286" s="1744">
        <f t="shared" si="25"/>
        <v>391000</v>
      </c>
    </row>
    <row r="287" spans="1:15">
      <c r="A287" s="1839" t="s">
        <v>10</v>
      </c>
      <c r="B287" s="428">
        <v>13000</v>
      </c>
      <c r="C287" s="428">
        <v>13000</v>
      </c>
      <c r="D287" s="428">
        <v>13000</v>
      </c>
      <c r="E287" s="428">
        <v>13000</v>
      </c>
      <c r="F287" s="428">
        <v>13000</v>
      </c>
      <c r="G287" s="428">
        <v>13000</v>
      </c>
      <c r="H287" s="428">
        <v>13000</v>
      </c>
      <c r="I287" s="428">
        <v>13000</v>
      </c>
      <c r="J287" s="428">
        <v>13000</v>
      </c>
      <c r="K287" s="428">
        <v>13000</v>
      </c>
      <c r="L287" s="428">
        <v>13000</v>
      </c>
      <c r="M287" s="428">
        <v>13000</v>
      </c>
      <c r="N287" s="428">
        <v>13000</v>
      </c>
      <c r="O287" s="1744">
        <f t="shared" si="25"/>
        <v>13000</v>
      </c>
    </row>
    <row r="288" spans="1:15">
      <c r="A288" t="s">
        <v>1345</v>
      </c>
      <c r="B288" s="428">
        <v>0</v>
      </c>
      <c r="C288" s="428">
        <v>-17000</v>
      </c>
      <c r="D288" s="428">
        <v>-17000</v>
      </c>
      <c r="E288" s="428">
        <v>-17000</v>
      </c>
      <c r="F288" s="428">
        <v>-17000</v>
      </c>
      <c r="G288" s="428">
        <v>-17000</v>
      </c>
      <c r="H288" s="428">
        <v>-17000</v>
      </c>
      <c r="I288" s="428">
        <v>-17000</v>
      </c>
      <c r="J288" s="428">
        <v>-17000</v>
      </c>
      <c r="K288" s="428">
        <v>-17000</v>
      </c>
      <c r="L288" s="428">
        <v>-17000</v>
      </c>
      <c r="M288" s="428">
        <v>-17000</v>
      </c>
      <c r="N288" s="428">
        <v>-17000</v>
      </c>
      <c r="O288" s="1744">
        <f t="shared" si="25"/>
        <v>-15692.307692307691</v>
      </c>
    </row>
    <row r="289" spans="1:15">
      <c r="A289" s="1839" t="s">
        <v>11</v>
      </c>
      <c r="B289" s="428">
        <v>77000</v>
      </c>
      <c r="C289" s="428">
        <v>77000</v>
      </c>
      <c r="D289" s="428">
        <v>78000</v>
      </c>
      <c r="E289" s="428">
        <v>78000</v>
      </c>
      <c r="F289" s="428">
        <v>79000</v>
      </c>
      <c r="G289" s="428">
        <v>79000</v>
      </c>
      <c r="H289" s="428">
        <v>79000</v>
      </c>
      <c r="I289" s="428">
        <v>80000</v>
      </c>
      <c r="J289" s="428">
        <v>80000</v>
      </c>
      <c r="K289" s="428">
        <v>81000</v>
      </c>
      <c r="L289" s="428">
        <v>81000</v>
      </c>
      <c r="M289" s="428">
        <v>81000</v>
      </c>
      <c r="N289" s="428">
        <v>82000</v>
      </c>
      <c r="O289" s="1744">
        <f t="shared" si="25"/>
        <v>79384.61538461539</v>
      </c>
    </row>
    <row r="290" spans="1:15">
      <c r="A290" s="1839" t="s">
        <v>12</v>
      </c>
      <c r="B290" s="428">
        <v>74000</v>
      </c>
      <c r="C290" s="428">
        <v>74000</v>
      </c>
      <c r="D290" s="428">
        <v>74000</v>
      </c>
      <c r="E290" s="428">
        <v>74000</v>
      </c>
      <c r="F290" s="428">
        <v>74000</v>
      </c>
      <c r="G290" s="428">
        <v>74000</v>
      </c>
      <c r="H290" s="428">
        <v>75000</v>
      </c>
      <c r="I290" s="428">
        <v>75000</v>
      </c>
      <c r="J290" s="428">
        <v>75000</v>
      </c>
      <c r="K290" s="428">
        <v>75000</v>
      </c>
      <c r="L290" s="428">
        <v>75000</v>
      </c>
      <c r="M290" s="428">
        <v>75000</v>
      </c>
      <c r="N290" s="428">
        <v>76000</v>
      </c>
      <c r="O290" s="1744">
        <f t="shared" si="25"/>
        <v>74615.38461538461</v>
      </c>
    </row>
    <row r="291" spans="1:15">
      <c r="A291" s="1839" t="s">
        <v>1123</v>
      </c>
      <c r="B291" s="428">
        <v>47000</v>
      </c>
      <c r="C291" s="428">
        <v>47000</v>
      </c>
      <c r="D291" s="428">
        <v>47000</v>
      </c>
      <c r="E291" s="428">
        <v>47000</v>
      </c>
      <c r="F291" s="428">
        <v>48000</v>
      </c>
      <c r="G291" s="428">
        <v>48000</v>
      </c>
      <c r="H291" s="428">
        <v>48000</v>
      </c>
      <c r="I291" s="428">
        <v>48000</v>
      </c>
      <c r="J291" s="428">
        <v>48000</v>
      </c>
      <c r="K291" s="428">
        <v>49000</v>
      </c>
      <c r="L291" s="428">
        <v>49000</v>
      </c>
      <c r="M291" s="428">
        <v>49000</v>
      </c>
      <c r="N291" s="428">
        <v>49000</v>
      </c>
      <c r="O291" s="1744">
        <f t="shared" si="25"/>
        <v>48000</v>
      </c>
    </row>
    <row r="292" spans="1:15">
      <c r="A292" s="1839" t="s">
        <v>13</v>
      </c>
      <c r="B292" s="428">
        <v>155000</v>
      </c>
      <c r="C292" s="428">
        <v>155000</v>
      </c>
      <c r="D292" s="428">
        <v>155000</v>
      </c>
      <c r="E292" s="428">
        <v>156000</v>
      </c>
      <c r="F292" s="428">
        <v>156000</v>
      </c>
      <c r="G292" s="428">
        <v>156000</v>
      </c>
      <c r="H292" s="428">
        <v>157000</v>
      </c>
      <c r="I292" s="428">
        <v>157000</v>
      </c>
      <c r="J292" s="428">
        <v>157000</v>
      </c>
      <c r="K292" s="428">
        <v>158000</v>
      </c>
      <c r="L292" s="428">
        <v>158000</v>
      </c>
      <c r="M292" s="428">
        <v>158000</v>
      </c>
      <c r="N292" s="428">
        <v>159000</v>
      </c>
      <c r="O292" s="1744">
        <f t="shared" si="25"/>
        <v>156692.30769230769</v>
      </c>
    </row>
    <row r="293" spans="1:15">
      <c r="A293" s="1839" t="s">
        <v>14</v>
      </c>
      <c r="B293" s="428">
        <v>551000</v>
      </c>
      <c r="C293" s="428">
        <v>553000</v>
      </c>
      <c r="D293" s="428">
        <v>556000</v>
      </c>
      <c r="E293" s="428">
        <v>558000</v>
      </c>
      <c r="F293" s="428">
        <v>561000</v>
      </c>
      <c r="G293" s="428">
        <v>563000</v>
      </c>
      <c r="H293" s="428">
        <v>565000</v>
      </c>
      <c r="I293" s="428">
        <v>568000</v>
      </c>
      <c r="J293" s="428">
        <v>570000</v>
      </c>
      <c r="K293" s="428">
        <v>573000</v>
      </c>
      <c r="L293" s="428">
        <v>575000</v>
      </c>
      <c r="M293" s="428">
        <v>578000</v>
      </c>
      <c r="N293" s="428">
        <v>580000</v>
      </c>
      <c r="O293" s="1744">
        <f t="shared" si="25"/>
        <v>565461.5384615385</v>
      </c>
    </row>
    <row r="294" spans="1:15">
      <c r="A294" s="1839" t="s">
        <v>1078</v>
      </c>
      <c r="B294" s="428">
        <v>1828000</v>
      </c>
      <c r="C294" s="428">
        <v>1837000</v>
      </c>
      <c r="D294" s="428">
        <v>1847000</v>
      </c>
      <c r="E294" s="428">
        <v>1856000</v>
      </c>
      <c r="F294" s="428">
        <v>1866000</v>
      </c>
      <c r="G294" s="428">
        <v>1875000</v>
      </c>
      <c r="H294" s="428">
        <v>1885000</v>
      </c>
      <c r="I294" s="428">
        <v>1894000</v>
      </c>
      <c r="J294" s="428">
        <v>1904000</v>
      </c>
      <c r="K294" s="428">
        <v>1913000</v>
      </c>
      <c r="L294" s="428">
        <v>1923000</v>
      </c>
      <c r="M294" s="428">
        <v>1932000</v>
      </c>
      <c r="N294" s="428">
        <v>1942000</v>
      </c>
      <c r="O294" s="1744">
        <f t="shared" si="25"/>
        <v>1884769.2307692308</v>
      </c>
    </row>
    <row r="295" spans="1:15">
      <c r="A295" s="1839" t="s">
        <v>15</v>
      </c>
      <c r="B295" s="428">
        <v>753000</v>
      </c>
      <c r="C295" s="428">
        <v>755000</v>
      </c>
      <c r="D295" s="428">
        <v>756000</v>
      </c>
      <c r="E295" s="428">
        <v>758000</v>
      </c>
      <c r="F295" s="428">
        <v>760000</v>
      </c>
      <c r="G295" s="428">
        <v>762000</v>
      </c>
      <c r="H295" s="428">
        <v>764000</v>
      </c>
      <c r="I295" s="428">
        <v>766000</v>
      </c>
      <c r="J295" s="428">
        <v>768000</v>
      </c>
      <c r="K295" s="428">
        <v>770000</v>
      </c>
      <c r="L295" s="428">
        <v>772000</v>
      </c>
      <c r="M295" s="428">
        <v>774000</v>
      </c>
      <c r="N295" s="428">
        <v>776000</v>
      </c>
      <c r="O295" s="1744">
        <f t="shared" si="25"/>
        <v>764153.84615384613</v>
      </c>
    </row>
    <row r="296" spans="1:15">
      <c r="A296" s="1839" t="s">
        <v>1164</v>
      </c>
      <c r="B296" s="428">
        <v>5000</v>
      </c>
      <c r="C296" s="428">
        <v>5000</v>
      </c>
      <c r="D296" s="428">
        <v>5000</v>
      </c>
      <c r="E296" s="428">
        <v>5000</v>
      </c>
      <c r="F296" s="428">
        <v>5000</v>
      </c>
      <c r="G296" s="428">
        <v>5000</v>
      </c>
      <c r="H296" s="428">
        <v>5000</v>
      </c>
      <c r="I296" s="428">
        <v>5000</v>
      </c>
      <c r="J296" s="428">
        <v>5000</v>
      </c>
      <c r="K296" s="428">
        <v>5000</v>
      </c>
      <c r="L296" s="428">
        <v>5000</v>
      </c>
      <c r="M296" s="428">
        <v>5000</v>
      </c>
      <c r="N296" s="428">
        <v>5000</v>
      </c>
      <c r="O296" s="1744">
        <f t="shared" si="25"/>
        <v>5000</v>
      </c>
    </row>
    <row r="297" spans="1:15">
      <c r="A297" s="1839" t="s">
        <v>16</v>
      </c>
      <c r="B297" s="428">
        <v>85000</v>
      </c>
      <c r="C297" s="428">
        <v>86000</v>
      </c>
      <c r="D297" s="428">
        <v>86000</v>
      </c>
      <c r="E297" s="428">
        <v>86000</v>
      </c>
      <c r="F297" s="428">
        <v>86000</v>
      </c>
      <c r="G297" s="428">
        <v>87000</v>
      </c>
      <c r="H297" s="428">
        <v>87000</v>
      </c>
      <c r="I297" s="428">
        <v>87000</v>
      </c>
      <c r="J297" s="428">
        <v>88000</v>
      </c>
      <c r="K297" s="428">
        <v>88000</v>
      </c>
      <c r="L297" s="428">
        <v>88000</v>
      </c>
      <c r="M297" s="428">
        <v>89000</v>
      </c>
      <c r="N297" s="428">
        <v>89000</v>
      </c>
      <c r="O297" s="1744">
        <f t="shared" si="25"/>
        <v>87076.923076923078</v>
      </c>
    </row>
    <row r="298" spans="1:15">
      <c r="A298" s="1839" t="s">
        <v>17</v>
      </c>
      <c r="B298" s="428">
        <v>6000</v>
      </c>
      <c r="C298" s="428">
        <v>6000</v>
      </c>
      <c r="D298" s="428">
        <v>6000</v>
      </c>
      <c r="E298" s="428">
        <v>6000</v>
      </c>
      <c r="F298" s="428">
        <v>6000</v>
      </c>
      <c r="G298" s="428">
        <v>6000</v>
      </c>
      <c r="H298" s="428">
        <v>6000</v>
      </c>
      <c r="I298" s="428">
        <v>6000</v>
      </c>
      <c r="J298" s="428">
        <v>6000</v>
      </c>
      <c r="K298" s="428">
        <v>6000</v>
      </c>
      <c r="L298" s="428">
        <v>6000</v>
      </c>
      <c r="M298" s="428">
        <v>6000</v>
      </c>
      <c r="N298" s="428">
        <v>6000</v>
      </c>
      <c r="O298" s="1744">
        <f t="shared" si="25"/>
        <v>6000</v>
      </c>
    </row>
    <row r="299" spans="1:15">
      <c r="A299" s="1839" t="s">
        <v>18</v>
      </c>
      <c r="B299" s="428">
        <v>31000</v>
      </c>
      <c r="C299" s="428">
        <v>31000</v>
      </c>
      <c r="D299" s="428">
        <v>31000</v>
      </c>
      <c r="E299" s="428">
        <v>31000</v>
      </c>
      <c r="F299" s="428">
        <v>32000</v>
      </c>
      <c r="G299" s="428">
        <v>32000</v>
      </c>
      <c r="H299" s="428">
        <v>32000</v>
      </c>
      <c r="I299" s="428">
        <v>32000</v>
      </c>
      <c r="J299" s="428">
        <v>32000</v>
      </c>
      <c r="K299" s="428">
        <v>33000</v>
      </c>
      <c r="L299" s="428">
        <v>33000</v>
      </c>
      <c r="M299" s="428">
        <v>33000</v>
      </c>
      <c r="N299" s="428">
        <v>33000</v>
      </c>
      <c r="O299" s="1744">
        <f t="shared" si="25"/>
        <v>32000</v>
      </c>
    </row>
    <row r="300" spans="1:15">
      <c r="A300" s="1839" t="s">
        <v>19</v>
      </c>
      <c r="B300" s="428">
        <v>72000</v>
      </c>
      <c r="C300" s="428">
        <v>72000</v>
      </c>
      <c r="D300" s="428">
        <v>72000</v>
      </c>
      <c r="E300" s="428">
        <v>73000</v>
      </c>
      <c r="F300" s="428">
        <v>73000</v>
      </c>
      <c r="G300" s="428">
        <v>73000</v>
      </c>
      <c r="H300" s="428">
        <v>73000</v>
      </c>
      <c r="I300" s="428">
        <v>73000</v>
      </c>
      <c r="J300" s="428">
        <v>73000</v>
      </c>
      <c r="K300" s="428">
        <v>73000</v>
      </c>
      <c r="L300" s="428">
        <v>73000</v>
      </c>
      <c r="M300" s="428">
        <v>74000</v>
      </c>
      <c r="N300" s="428">
        <v>74000</v>
      </c>
      <c r="O300" s="1744">
        <f t="shared" si="25"/>
        <v>72923.076923076922</v>
      </c>
    </row>
    <row r="301" spans="1:15">
      <c r="A301" s="1839" t="s">
        <v>20</v>
      </c>
      <c r="B301" s="428">
        <v>65000</v>
      </c>
      <c r="C301" s="428">
        <v>65000</v>
      </c>
      <c r="D301" s="428">
        <v>65000</v>
      </c>
      <c r="E301" s="428">
        <v>65000</v>
      </c>
      <c r="F301" s="428">
        <v>65000</v>
      </c>
      <c r="G301" s="428">
        <v>65000</v>
      </c>
      <c r="H301" s="428">
        <v>65000</v>
      </c>
      <c r="I301" s="428">
        <v>65000</v>
      </c>
      <c r="J301" s="428">
        <v>65000</v>
      </c>
      <c r="K301" s="428">
        <v>65000</v>
      </c>
      <c r="L301" s="428">
        <v>65000</v>
      </c>
      <c r="M301" s="428">
        <v>65000</v>
      </c>
      <c r="N301" s="428">
        <v>66000</v>
      </c>
      <c r="O301" s="1744">
        <f t="shared" si="25"/>
        <v>65076.923076923078</v>
      </c>
    </row>
    <row r="302" spans="1:15">
      <c r="A302" s="1839" t="s">
        <v>1124</v>
      </c>
      <c r="B302" s="428">
        <v>16000</v>
      </c>
      <c r="C302" s="428">
        <v>16000</v>
      </c>
      <c r="D302" s="428">
        <v>16000</v>
      </c>
      <c r="E302" s="428">
        <v>16000</v>
      </c>
      <c r="F302" s="428">
        <v>16000</v>
      </c>
      <c r="G302" s="428">
        <v>17000</v>
      </c>
      <c r="H302" s="428">
        <v>17000</v>
      </c>
      <c r="I302" s="428">
        <v>17000</v>
      </c>
      <c r="J302" s="428">
        <v>17000</v>
      </c>
      <c r="K302" s="428">
        <v>17000</v>
      </c>
      <c r="L302" s="428">
        <v>17000</v>
      </c>
      <c r="M302" s="428">
        <v>17000</v>
      </c>
      <c r="N302" s="428">
        <v>17000</v>
      </c>
      <c r="O302" s="1744">
        <f t="shared" si="25"/>
        <v>16615.384615384617</v>
      </c>
    </row>
    <row r="303" spans="1:15">
      <c r="A303" s="1839" t="s">
        <v>21</v>
      </c>
      <c r="B303" s="428">
        <v>54000</v>
      </c>
      <c r="C303" s="428">
        <v>54000</v>
      </c>
      <c r="D303" s="428">
        <v>55000</v>
      </c>
      <c r="E303" s="428">
        <v>55000</v>
      </c>
      <c r="F303" s="428">
        <v>55000</v>
      </c>
      <c r="G303" s="428">
        <v>55000</v>
      </c>
      <c r="H303" s="428">
        <v>55000</v>
      </c>
      <c r="I303" s="428">
        <v>55000</v>
      </c>
      <c r="J303" s="428">
        <v>55000</v>
      </c>
      <c r="K303" s="428">
        <v>55000</v>
      </c>
      <c r="L303" s="428">
        <v>55000</v>
      </c>
      <c r="M303" s="428">
        <v>55000</v>
      </c>
      <c r="N303" s="428">
        <v>55000</v>
      </c>
      <c r="O303" s="1744">
        <f t="shared" si="25"/>
        <v>54846.153846153844</v>
      </c>
    </row>
    <row r="304" spans="1:15">
      <c r="A304" s="1839" t="s">
        <v>22</v>
      </c>
      <c r="B304" s="428">
        <v>126000</v>
      </c>
      <c r="C304" s="428">
        <v>127000</v>
      </c>
      <c r="D304" s="428">
        <v>127000</v>
      </c>
      <c r="E304" s="428">
        <v>128000</v>
      </c>
      <c r="F304" s="428">
        <v>128000</v>
      </c>
      <c r="G304" s="428">
        <v>129000</v>
      </c>
      <c r="H304" s="428">
        <v>129000</v>
      </c>
      <c r="I304" s="428">
        <v>129000</v>
      </c>
      <c r="J304" s="428">
        <v>130000</v>
      </c>
      <c r="K304" s="428">
        <v>130000</v>
      </c>
      <c r="L304" s="428">
        <v>131000</v>
      </c>
      <c r="M304" s="428">
        <v>131000</v>
      </c>
      <c r="N304" s="428">
        <v>132000</v>
      </c>
      <c r="O304" s="1744">
        <f t="shared" si="25"/>
        <v>129000</v>
      </c>
    </row>
    <row r="305" spans="1:15">
      <c r="A305" s="1839" t="s">
        <v>1079</v>
      </c>
      <c r="B305" s="428">
        <v>834000</v>
      </c>
      <c r="C305" s="428">
        <v>837000</v>
      </c>
      <c r="D305" s="428">
        <v>841000</v>
      </c>
      <c r="E305" s="428">
        <v>844000</v>
      </c>
      <c r="F305" s="428">
        <v>848000</v>
      </c>
      <c r="G305" s="428">
        <v>852000</v>
      </c>
      <c r="H305" s="428">
        <v>855000</v>
      </c>
      <c r="I305" s="428">
        <v>859000</v>
      </c>
      <c r="J305" s="428">
        <v>862000</v>
      </c>
      <c r="K305" s="428">
        <v>866000</v>
      </c>
      <c r="L305" s="428">
        <v>869000</v>
      </c>
      <c r="M305" s="428">
        <v>873000</v>
      </c>
      <c r="N305" s="428">
        <v>877000</v>
      </c>
      <c r="O305" s="1744">
        <f t="shared" si="25"/>
        <v>855153.84615384613</v>
      </c>
    </row>
    <row r="306" spans="1:15">
      <c r="A306" s="1839" t="s">
        <v>1125</v>
      </c>
      <c r="B306" s="428">
        <v>182000</v>
      </c>
      <c r="C306" s="428">
        <v>182000</v>
      </c>
      <c r="D306" s="428">
        <v>183000</v>
      </c>
      <c r="E306" s="428">
        <v>184000</v>
      </c>
      <c r="F306" s="428">
        <v>185000</v>
      </c>
      <c r="G306" s="428">
        <v>185000</v>
      </c>
      <c r="H306" s="428">
        <v>186000</v>
      </c>
      <c r="I306" s="428">
        <v>187000</v>
      </c>
      <c r="J306" s="428">
        <v>187000</v>
      </c>
      <c r="K306" s="428">
        <v>188000</v>
      </c>
      <c r="L306" s="428">
        <v>189000</v>
      </c>
      <c r="M306" s="428">
        <v>190000</v>
      </c>
      <c r="N306" s="428">
        <v>190000</v>
      </c>
      <c r="O306" s="1744">
        <f t="shared" si="25"/>
        <v>186000</v>
      </c>
    </row>
    <row r="307" spans="1:15">
      <c r="A307" s="1839" t="s">
        <v>1165</v>
      </c>
      <c r="B307" s="428">
        <v>1439000</v>
      </c>
      <c r="C307" s="428">
        <v>1443000</v>
      </c>
      <c r="D307" s="428">
        <v>1447000</v>
      </c>
      <c r="E307" s="428">
        <v>1452000</v>
      </c>
      <c r="F307" s="428">
        <v>1456000</v>
      </c>
      <c r="G307" s="428">
        <v>1460000</v>
      </c>
      <c r="H307" s="428">
        <v>1465000</v>
      </c>
      <c r="I307" s="428">
        <v>1469000</v>
      </c>
      <c r="J307" s="428">
        <v>1473000</v>
      </c>
      <c r="K307" s="428">
        <v>1478000</v>
      </c>
      <c r="L307" s="428">
        <v>1482000</v>
      </c>
      <c r="M307" s="428">
        <v>1486000</v>
      </c>
      <c r="N307" s="428">
        <v>1491000</v>
      </c>
      <c r="O307" s="1744">
        <f t="shared" si="25"/>
        <v>1464692.3076923077</v>
      </c>
    </row>
    <row r="308" spans="1:15">
      <c r="A308" s="1839" t="s">
        <v>1080</v>
      </c>
      <c r="B308" s="428">
        <v>8010000</v>
      </c>
      <c r="C308" s="428">
        <v>8038000</v>
      </c>
      <c r="D308" s="428">
        <v>8066000</v>
      </c>
      <c r="E308" s="428">
        <v>8094000</v>
      </c>
      <c r="F308" s="428">
        <v>8122000</v>
      </c>
      <c r="G308" s="428">
        <v>8150000</v>
      </c>
      <c r="H308" s="428">
        <v>8178000</v>
      </c>
      <c r="I308" s="428">
        <v>8206000</v>
      </c>
      <c r="J308" s="428">
        <v>8234000</v>
      </c>
      <c r="K308" s="428">
        <v>8262000</v>
      </c>
      <c r="L308" s="428">
        <v>8290000</v>
      </c>
      <c r="M308" s="428">
        <v>8318000</v>
      </c>
      <c r="N308" s="428">
        <v>8346000</v>
      </c>
      <c r="O308" s="1744">
        <f t="shared" si="25"/>
        <v>8178000</v>
      </c>
    </row>
    <row r="309" spans="1:15">
      <c r="A309" s="1839" t="s">
        <v>1126</v>
      </c>
      <c r="B309" s="428">
        <v>1937000</v>
      </c>
      <c r="C309" s="428">
        <v>1942000</v>
      </c>
      <c r="D309" s="428">
        <v>1947000</v>
      </c>
      <c r="E309" s="428">
        <v>1952000</v>
      </c>
      <c r="F309" s="428">
        <v>1956000</v>
      </c>
      <c r="G309" s="428">
        <v>1961000</v>
      </c>
      <c r="H309" s="428">
        <v>1966000</v>
      </c>
      <c r="I309" s="428">
        <v>1971000</v>
      </c>
      <c r="J309" s="428">
        <v>1975000</v>
      </c>
      <c r="K309" s="428">
        <v>1980000</v>
      </c>
      <c r="L309" s="428">
        <v>1985000</v>
      </c>
      <c r="M309" s="428">
        <v>1990000</v>
      </c>
      <c r="N309" s="428">
        <v>1994000</v>
      </c>
      <c r="O309" s="1744">
        <f t="shared" si="25"/>
        <v>1965846.1538461538</v>
      </c>
    </row>
    <row r="310" spans="1:15">
      <c r="A310" s="1839" t="s">
        <v>1127</v>
      </c>
      <c r="B310" s="428">
        <v>475000</v>
      </c>
      <c r="C310" s="428">
        <v>477000</v>
      </c>
      <c r="D310" s="428">
        <v>478000</v>
      </c>
      <c r="E310" s="428">
        <v>479000</v>
      </c>
      <c r="F310" s="428">
        <v>481000</v>
      </c>
      <c r="G310" s="428">
        <v>482000</v>
      </c>
      <c r="H310" s="428">
        <v>483000</v>
      </c>
      <c r="I310" s="428">
        <v>485000</v>
      </c>
      <c r="J310" s="428">
        <v>486000</v>
      </c>
      <c r="K310" s="428">
        <v>487000</v>
      </c>
      <c r="L310" s="428">
        <v>489000</v>
      </c>
      <c r="M310" s="428">
        <v>490000</v>
      </c>
      <c r="N310" s="428">
        <v>491000</v>
      </c>
      <c r="O310" s="1744">
        <f t="shared" si="25"/>
        <v>483307.69230769231</v>
      </c>
    </row>
    <row r="311" spans="1:15">
      <c r="A311" s="1839" t="s">
        <v>1128</v>
      </c>
      <c r="B311" s="428">
        <v>1065000</v>
      </c>
      <c r="C311" s="428">
        <v>1069000</v>
      </c>
      <c r="D311" s="428">
        <v>1073000</v>
      </c>
      <c r="E311" s="428">
        <v>1077000</v>
      </c>
      <c r="F311" s="428">
        <v>1080000</v>
      </c>
      <c r="G311" s="428">
        <v>1084000</v>
      </c>
      <c r="H311" s="428">
        <v>1088000</v>
      </c>
      <c r="I311" s="428">
        <v>1092000</v>
      </c>
      <c r="J311" s="428">
        <v>1096000</v>
      </c>
      <c r="K311" s="428">
        <v>1100000</v>
      </c>
      <c r="L311" s="428">
        <v>1103000</v>
      </c>
      <c r="M311" s="428">
        <v>1107000</v>
      </c>
      <c r="N311" s="428">
        <v>1111000</v>
      </c>
      <c r="O311" s="1744">
        <f>AVERAGE(B311:N311)</f>
        <v>1088076.923076923</v>
      </c>
    </row>
    <row r="312" spans="1:15">
      <c r="A312" s="1839" t="s">
        <v>23</v>
      </c>
      <c r="B312" s="428">
        <v>4000</v>
      </c>
      <c r="C312" s="428">
        <v>4000</v>
      </c>
      <c r="D312" s="428">
        <v>4000</v>
      </c>
      <c r="E312" s="428">
        <v>4000</v>
      </c>
      <c r="F312" s="428">
        <v>4000</v>
      </c>
      <c r="G312" s="428">
        <v>4000</v>
      </c>
      <c r="H312" s="428">
        <v>4000</v>
      </c>
      <c r="I312" s="428">
        <v>4000</v>
      </c>
      <c r="J312" s="428">
        <v>4000</v>
      </c>
      <c r="K312" s="428">
        <v>4000</v>
      </c>
      <c r="L312" s="428">
        <v>4000</v>
      </c>
      <c r="M312" s="428">
        <v>4000</v>
      </c>
      <c r="N312" s="428">
        <v>4000</v>
      </c>
      <c r="O312" s="1744">
        <f>AVERAGE(B312:N312)</f>
        <v>4000</v>
      </c>
    </row>
    <row r="313" spans="1:15">
      <c r="A313" s="1333" t="s">
        <v>1147</v>
      </c>
      <c r="B313" s="1807">
        <f t="shared" ref="B313:O313" si="26">SUM(B239:B312)</f>
        <v>73630000</v>
      </c>
      <c r="C313" s="1807">
        <f t="shared" si="26"/>
        <v>73899000</v>
      </c>
      <c r="D313" s="1807">
        <f t="shared" si="26"/>
        <v>74188000</v>
      </c>
      <c r="E313" s="1807">
        <f t="shared" si="26"/>
        <v>74481000</v>
      </c>
      <c r="F313" s="1807">
        <f t="shared" si="26"/>
        <v>74773000</v>
      </c>
      <c r="G313" s="1807">
        <f t="shared" si="26"/>
        <v>74742000</v>
      </c>
      <c r="H313" s="1807">
        <f t="shared" si="26"/>
        <v>75028000</v>
      </c>
      <c r="I313" s="1807">
        <f t="shared" si="26"/>
        <v>75321000</v>
      </c>
      <c r="J313" s="1807">
        <f t="shared" si="26"/>
        <v>75608000</v>
      </c>
      <c r="K313" s="1807">
        <f t="shared" si="26"/>
        <v>75901000</v>
      </c>
      <c r="L313" s="1807">
        <f t="shared" si="26"/>
        <v>76080000</v>
      </c>
      <c r="M313" s="1807">
        <f t="shared" si="26"/>
        <v>76372000</v>
      </c>
      <c r="N313" s="1807">
        <f>SUM(N239:N312)</f>
        <v>76665000</v>
      </c>
      <c r="O313" s="1807">
        <f t="shared" si="26"/>
        <v>75129846.15384616</v>
      </c>
    </row>
    <row r="314" spans="1:15">
      <c r="A314" s="97"/>
      <c r="B314" s="1806"/>
      <c r="C314" s="1806"/>
      <c r="D314" s="1806"/>
      <c r="E314" s="1806"/>
      <c r="F314" s="1806"/>
      <c r="G314" s="1806"/>
      <c r="H314" s="1806"/>
      <c r="I314" s="1806"/>
      <c r="J314" s="1806"/>
      <c r="K314" s="1806"/>
      <c r="L314" s="1806"/>
      <c r="M314" s="1806"/>
      <c r="N314" s="1806"/>
    </row>
    <row r="315" spans="1:15">
      <c r="A315" s="97"/>
      <c r="B315" s="1806"/>
      <c r="C315" s="1806"/>
      <c r="D315" s="1806"/>
      <c r="E315" s="1806"/>
      <c r="F315" s="1806"/>
      <c r="G315" s="1806"/>
      <c r="H315" s="1806"/>
      <c r="I315" s="1806"/>
      <c r="J315" s="1806"/>
      <c r="K315" s="1806"/>
      <c r="L315" s="1806"/>
      <c r="M315" s="1806"/>
      <c r="N315" s="1806"/>
    </row>
    <row r="316" spans="1:15">
      <c r="A316" s="1839" t="s">
        <v>1166</v>
      </c>
      <c r="B316" s="428">
        <v>3202000</v>
      </c>
      <c r="C316" s="428">
        <v>3208000</v>
      </c>
      <c r="D316" s="428">
        <v>3215000</v>
      </c>
      <c r="E316" s="428">
        <v>3222000</v>
      </c>
      <c r="F316" s="428">
        <v>3229000</v>
      </c>
      <c r="G316" s="428">
        <v>3236000</v>
      </c>
      <c r="H316" s="428">
        <v>3243000</v>
      </c>
      <c r="I316" s="428">
        <v>3250000</v>
      </c>
      <c r="J316" s="428">
        <v>3257000</v>
      </c>
      <c r="K316" s="428">
        <v>3264000</v>
      </c>
      <c r="L316" s="428">
        <v>3272000</v>
      </c>
      <c r="M316" s="428">
        <v>3279000</v>
      </c>
      <c r="N316" s="428">
        <v>3286000</v>
      </c>
      <c r="O316" s="1744">
        <f t="shared" ref="O316:O317" si="27">AVERAGE(B316:N316)</f>
        <v>3243307.6923076925</v>
      </c>
    </row>
    <row r="317" spans="1:15">
      <c r="A317" s="1839" t="s">
        <v>1167</v>
      </c>
      <c r="B317" s="428">
        <v>70000</v>
      </c>
      <c r="C317" s="428">
        <v>70000</v>
      </c>
      <c r="D317" s="428">
        <v>71000</v>
      </c>
      <c r="E317" s="428">
        <v>71000</v>
      </c>
      <c r="F317" s="428">
        <v>71000</v>
      </c>
      <c r="G317" s="428">
        <v>71000</v>
      </c>
      <c r="H317" s="428">
        <v>71000</v>
      </c>
      <c r="I317" s="428">
        <v>72000</v>
      </c>
      <c r="J317" s="428">
        <v>72000</v>
      </c>
      <c r="K317" s="428">
        <v>72000</v>
      </c>
      <c r="L317" s="428">
        <v>72000</v>
      </c>
      <c r="M317" s="428">
        <v>72000</v>
      </c>
      <c r="N317" s="428">
        <v>73000</v>
      </c>
      <c r="O317" s="1744">
        <f t="shared" si="27"/>
        <v>71384.61538461539</v>
      </c>
    </row>
    <row r="318" spans="1:15">
      <c r="A318" s="1839" t="s">
        <v>1168</v>
      </c>
      <c r="B318" s="428">
        <v>217000</v>
      </c>
      <c r="C318" s="428">
        <v>218000</v>
      </c>
      <c r="D318" s="428">
        <v>218000</v>
      </c>
      <c r="E318" s="428">
        <v>218000</v>
      </c>
      <c r="F318" s="428">
        <v>219000</v>
      </c>
      <c r="G318" s="428">
        <v>219000</v>
      </c>
      <c r="H318" s="428">
        <v>219000</v>
      </c>
      <c r="I318" s="428">
        <v>220000</v>
      </c>
      <c r="J318" s="428">
        <v>220000</v>
      </c>
      <c r="K318" s="428">
        <v>220000</v>
      </c>
      <c r="L318" s="428">
        <v>220000</v>
      </c>
      <c r="M318" s="428">
        <v>221000</v>
      </c>
      <c r="N318" s="428">
        <v>221000</v>
      </c>
      <c r="O318" s="1744">
        <f>AVERAGE(B318:N318)</f>
        <v>219230.76923076922</v>
      </c>
    </row>
    <row r="319" spans="1:15">
      <c r="A319" s="1333" t="s">
        <v>1148</v>
      </c>
      <c r="B319" s="1807">
        <f t="shared" ref="B319:O319" si="28">SUM(B316:B318)</f>
        <v>3489000</v>
      </c>
      <c r="C319" s="1807">
        <f t="shared" si="28"/>
        <v>3496000</v>
      </c>
      <c r="D319" s="1807">
        <f t="shared" si="28"/>
        <v>3504000</v>
      </c>
      <c r="E319" s="1807">
        <f t="shared" si="28"/>
        <v>3511000</v>
      </c>
      <c r="F319" s="1807">
        <f t="shared" si="28"/>
        <v>3519000</v>
      </c>
      <c r="G319" s="1807">
        <f t="shared" si="28"/>
        <v>3526000</v>
      </c>
      <c r="H319" s="1807">
        <f t="shared" si="28"/>
        <v>3533000</v>
      </c>
      <c r="I319" s="1807">
        <f t="shared" si="28"/>
        <v>3542000</v>
      </c>
      <c r="J319" s="1807">
        <f t="shared" si="28"/>
        <v>3549000</v>
      </c>
      <c r="K319" s="1807">
        <f t="shared" si="28"/>
        <v>3556000</v>
      </c>
      <c r="L319" s="1807">
        <f t="shared" si="28"/>
        <v>3564000</v>
      </c>
      <c r="M319" s="1807">
        <f t="shared" si="28"/>
        <v>3572000</v>
      </c>
      <c r="N319" s="1807">
        <f>SUM(N316:N318)</f>
        <v>3580000</v>
      </c>
      <c r="O319" s="1807">
        <f t="shared" si="28"/>
        <v>3533923.076923077</v>
      </c>
    </row>
    <row r="321" spans="1:15">
      <c r="A321" s="1803" t="s">
        <v>1138</v>
      </c>
      <c r="B321" s="374">
        <f t="shared" ref="B321:O321" si="29">B313+B213</f>
        <v>533815000</v>
      </c>
      <c r="C321" s="374">
        <f t="shared" si="29"/>
        <v>540215000</v>
      </c>
      <c r="D321" s="374">
        <f t="shared" si="29"/>
        <v>543519000</v>
      </c>
      <c r="E321" s="374">
        <f t="shared" si="29"/>
        <v>546783000</v>
      </c>
      <c r="F321" s="374">
        <f t="shared" si="29"/>
        <v>549366000</v>
      </c>
      <c r="G321" s="374">
        <f t="shared" si="29"/>
        <v>549579000</v>
      </c>
      <c r="H321" s="374">
        <f t="shared" si="29"/>
        <v>551303000</v>
      </c>
      <c r="I321" s="374">
        <f t="shared" si="29"/>
        <v>552560000</v>
      </c>
      <c r="J321" s="374">
        <f t="shared" si="29"/>
        <v>555779000</v>
      </c>
      <c r="K321" s="374">
        <f t="shared" si="29"/>
        <v>559604000</v>
      </c>
      <c r="L321" s="374">
        <f t="shared" si="29"/>
        <v>562389000</v>
      </c>
      <c r="M321" s="374">
        <f t="shared" si="29"/>
        <v>565664000</v>
      </c>
      <c r="N321" s="374">
        <f t="shared" si="29"/>
        <v>563984187</v>
      </c>
      <c r="O321" s="374">
        <f t="shared" si="29"/>
        <v>574003958.79076922</v>
      </c>
    </row>
    <row r="322" spans="1:15">
      <c r="A322" s="1803" t="s">
        <v>1158</v>
      </c>
      <c r="B322" s="374">
        <f t="shared" ref="B322:O322" si="30">B319+B227</f>
        <v>77185000</v>
      </c>
      <c r="C322" s="374">
        <f t="shared" si="30"/>
        <v>77311000</v>
      </c>
      <c r="D322" s="374">
        <f t="shared" si="30"/>
        <v>77437000</v>
      </c>
      <c r="E322" s="374">
        <f t="shared" si="30"/>
        <v>77561000</v>
      </c>
      <c r="F322" s="374">
        <f t="shared" si="30"/>
        <v>77683000</v>
      </c>
      <c r="G322" s="374">
        <f t="shared" si="30"/>
        <v>77805000</v>
      </c>
      <c r="H322" s="374">
        <f t="shared" si="30"/>
        <v>77929000</v>
      </c>
      <c r="I322" s="374">
        <f t="shared" si="30"/>
        <v>78054000</v>
      </c>
      <c r="J322" s="374">
        <f t="shared" si="30"/>
        <v>78176000</v>
      </c>
      <c r="K322" s="374">
        <f t="shared" si="30"/>
        <v>78300000</v>
      </c>
      <c r="L322" s="374">
        <f t="shared" si="30"/>
        <v>78423000</v>
      </c>
      <c r="M322" s="374">
        <f t="shared" si="30"/>
        <v>78549000</v>
      </c>
      <c r="N322" s="374">
        <f t="shared" si="30"/>
        <v>78627000</v>
      </c>
      <c r="O322" s="374">
        <f t="shared" si="30"/>
        <v>77926153.84615384</v>
      </c>
    </row>
    <row r="323" spans="1:15">
      <c r="A323" s="1803" t="s">
        <v>1139</v>
      </c>
      <c r="B323" s="374">
        <f t="shared" ref="B323:O323" si="31">B236</f>
        <v>51789000</v>
      </c>
      <c r="C323" s="374">
        <f t="shared" si="31"/>
        <v>51924000</v>
      </c>
      <c r="D323" s="374">
        <f t="shared" si="31"/>
        <v>52060000</v>
      </c>
      <c r="E323" s="374">
        <f t="shared" si="31"/>
        <v>52194000</v>
      </c>
      <c r="F323" s="374">
        <f t="shared" si="31"/>
        <v>52330000</v>
      </c>
      <c r="G323" s="374">
        <f t="shared" si="31"/>
        <v>52464000</v>
      </c>
      <c r="H323" s="374">
        <f t="shared" si="31"/>
        <v>52600000</v>
      </c>
      <c r="I323" s="374">
        <f t="shared" si="31"/>
        <v>52735000</v>
      </c>
      <c r="J323" s="374">
        <f t="shared" si="31"/>
        <v>52870000</v>
      </c>
      <c r="K323" s="374">
        <f t="shared" si="31"/>
        <v>53005000</v>
      </c>
      <c r="L323" s="374">
        <f t="shared" si="31"/>
        <v>53140000</v>
      </c>
      <c r="M323" s="374">
        <f t="shared" si="31"/>
        <v>53276000</v>
      </c>
      <c r="N323" s="374">
        <f t="shared" si="31"/>
        <v>53410000</v>
      </c>
      <c r="O323" s="374">
        <f t="shared" si="31"/>
        <v>52599769.230769232</v>
      </c>
    </row>
    <row r="324" spans="1:15">
      <c r="A324" s="1803" t="s">
        <v>1176</v>
      </c>
      <c r="B324" s="374">
        <f t="shared" ref="B324:O324" si="32">B215</f>
        <v>619000</v>
      </c>
      <c r="C324" s="374">
        <f t="shared" si="32"/>
        <v>622000</v>
      </c>
      <c r="D324" s="374">
        <f t="shared" si="32"/>
        <v>624000</v>
      </c>
      <c r="E324" s="374">
        <f t="shared" si="32"/>
        <v>627000</v>
      </c>
      <c r="F324" s="374">
        <f t="shared" si="32"/>
        <v>630000</v>
      </c>
      <c r="G324" s="374">
        <f t="shared" si="32"/>
        <v>633000</v>
      </c>
      <c r="H324" s="374">
        <f t="shared" si="32"/>
        <v>636000</v>
      </c>
      <c r="I324" s="374">
        <f t="shared" si="32"/>
        <v>639000</v>
      </c>
      <c r="J324" s="374">
        <f t="shared" si="32"/>
        <v>642000</v>
      </c>
      <c r="K324" s="374">
        <f t="shared" si="32"/>
        <v>645000</v>
      </c>
      <c r="L324" s="374">
        <f t="shared" si="32"/>
        <v>648000</v>
      </c>
      <c r="M324" s="374">
        <f t="shared" si="32"/>
        <v>651000</v>
      </c>
      <c r="N324" s="374">
        <f t="shared" si="32"/>
        <v>654000</v>
      </c>
      <c r="O324" s="374">
        <f t="shared" si="32"/>
        <v>636153.84615384613</v>
      </c>
    </row>
    <row r="325" spans="1:15">
      <c r="A325" s="1803" t="s">
        <v>1140</v>
      </c>
      <c r="B325" s="835">
        <f>SUM(B321:B324)</f>
        <v>663408000</v>
      </c>
      <c r="C325" s="835">
        <f t="shared" ref="C325:O325" si="33">SUM(C321:C324)</f>
        <v>670072000</v>
      </c>
      <c r="D325" s="835">
        <f t="shared" si="33"/>
        <v>673640000</v>
      </c>
      <c r="E325" s="835">
        <f t="shared" si="33"/>
        <v>677165000</v>
      </c>
      <c r="F325" s="835">
        <f t="shared" si="33"/>
        <v>680009000</v>
      </c>
      <c r="G325" s="835">
        <f t="shared" si="33"/>
        <v>680481000</v>
      </c>
      <c r="H325" s="835">
        <f t="shared" si="33"/>
        <v>682468000</v>
      </c>
      <c r="I325" s="835">
        <f t="shared" si="33"/>
        <v>683988000</v>
      </c>
      <c r="J325" s="835">
        <f t="shared" si="33"/>
        <v>687467000</v>
      </c>
      <c r="K325" s="835">
        <f t="shared" si="33"/>
        <v>691554000</v>
      </c>
      <c r="L325" s="835">
        <f t="shared" si="33"/>
        <v>694600000</v>
      </c>
      <c r="M325" s="835">
        <f t="shared" si="33"/>
        <v>698140000</v>
      </c>
      <c r="N325" s="835">
        <f>SUM(N321:N324)</f>
        <v>696675187</v>
      </c>
      <c r="O325" s="835">
        <f t="shared" si="33"/>
        <v>705166035.71384621</v>
      </c>
    </row>
    <row r="330" spans="1:15">
      <c r="B330" s="183"/>
      <c r="N330" s="183" t="s">
        <v>1141</v>
      </c>
    </row>
    <row r="332" spans="1:15">
      <c r="B332" s="445"/>
      <c r="C332" s="445"/>
      <c r="D332" s="445"/>
      <c r="E332" s="445"/>
      <c r="F332" s="445"/>
      <c r="G332" s="445"/>
      <c r="H332" s="445"/>
      <c r="I332" s="445"/>
      <c r="J332" s="445"/>
      <c r="K332" s="445"/>
      <c r="L332" s="445"/>
      <c r="M332" s="445"/>
      <c r="N332" s="445"/>
    </row>
    <row r="333" spans="1:15">
      <c r="N333" s="445"/>
    </row>
    <row r="335" spans="1:15">
      <c r="B335" s="445"/>
      <c r="C335" s="445"/>
      <c r="D335" s="445"/>
      <c r="E335" s="445"/>
      <c r="F335" s="445"/>
      <c r="G335" s="445"/>
      <c r="H335" s="445"/>
      <c r="I335" s="445"/>
      <c r="J335" s="445"/>
      <c r="K335" s="445"/>
      <c r="L335" s="445"/>
      <c r="M335" s="445"/>
      <c r="N335" s="445"/>
    </row>
  </sheetData>
  <sortState ref="A74:O147">
    <sortCondition ref="A74:A147"/>
  </sortState>
  <phoneticPr fontId="73" type="noConversion"/>
  <conditionalFormatting sqref="A6:A21 A23:A50">
    <cfRule type="containsText" dxfId="1" priority="2" operator="containsText" text="105">
      <formula>NOT(ISERROR(SEARCH("105",A6)))</formula>
    </cfRule>
  </conditionalFormatting>
  <conditionalFormatting sqref="A22">
    <cfRule type="containsText" dxfId="0" priority="1" operator="containsText" text="105">
      <formula>NOT(ISERROR(SEARCH("105",A22)))</formula>
    </cfRule>
  </conditionalFormatting>
  <pageMargins left="1" right="1" top="0" bottom="0" header="0.17" footer="0.16"/>
  <pageSetup paperSize="5" scale="52" fitToHeight="0" orientation="landscape" r:id="rId1"/>
  <headerFooter alignWithMargins="0"/>
  <rowBreaks count="1" manualBreakCount="1">
    <brk id="168"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zoomScale="75" zoomScaleNormal="75" zoomScaleSheetLayoutView="75" workbookViewId="0">
      <pane xSplit="1" ySplit="3" topLeftCell="B4" activePane="bottomRight" state="frozen"/>
      <selection activeCell="C309" sqref="C309"/>
      <selection pane="topRight" activeCell="C309" sqref="C309"/>
      <selection pane="bottomLeft" activeCell="C309" sqref="C309"/>
      <selection pane="bottomRight" activeCell="D3" sqref="D3:O3"/>
    </sheetView>
  </sheetViews>
  <sheetFormatPr defaultRowHeight="12.75"/>
  <cols>
    <col min="1" max="1" width="40.5703125" customWidth="1"/>
    <col min="2" max="2" width="22.5703125" customWidth="1"/>
    <col min="3" max="3" width="16.5703125" bestFit="1" customWidth="1"/>
    <col min="4" max="4" width="15.140625" bestFit="1" customWidth="1"/>
    <col min="5" max="5" width="15.42578125" bestFit="1" customWidth="1"/>
    <col min="6" max="8" width="15.5703125" bestFit="1" customWidth="1"/>
    <col min="9" max="11" width="15.42578125" bestFit="1" customWidth="1"/>
    <col min="12" max="12" width="17" bestFit="1" customWidth="1"/>
    <col min="13" max="13" width="15.5703125" bestFit="1" customWidth="1"/>
    <col min="14" max="14" width="16.42578125" customWidth="1"/>
    <col min="15" max="15" width="19.7109375" customWidth="1"/>
    <col min="16" max="16" width="15.5703125" bestFit="1" customWidth="1"/>
    <col min="17" max="17" width="14" bestFit="1" customWidth="1"/>
    <col min="25" max="25" width="12.140625" customWidth="1"/>
    <col min="26" max="26" width="13.5703125" customWidth="1"/>
  </cols>
  <sheetData>
    <row r="1" spans="1:26">
      <c r="A1" s="773" t="s">
        <v>548</v>
      </c>
    </row>
    <row r="2" spans="1:26">
      <c r="P2" s="157" t="s">
        <v>977</v>
      </c>
    </row>
    <row r="3" spans="1:26">
      <c r="A3" s="145" t="s">
        <v>844</v>
      </c>
      <c r="B3" t="s">
        <v>26</v>
      </c>
      <c r="C3" s="896">
        <v>45291</v>
      </c>
      <c r="D3" s="896">
        <v>45292</v>
      </c>
      <c r="E3" s="896">
        <v>45323</v>
      </c>
      <c r="F3" s="896">
        <v>45352</v>
      </c>
      <c r="G3" s="896">
        <v>45383</v>
      </c>
      <c r="H3" s="896">
        <v>45413</v>
      </c>
      <c r="I3" s="896">
        <v>45444</v>
      </c>
      <c r="J3" s="896">
        <v>45474</v>
      </c>
      <c r="K3" s="896">
        <v>45505</v>
      </c>
      <c r="L3" s="896">
        <v>45536</v>
      </c>
      <c r="M3" s="896">
        <v>45566</v>
      </c>
      <c r="N3" s="896">
        <v>45597</v>
      </c>
      <c r="O3" s="896">
        <v>45627</v>
      </c>
      <c r="P3" s="895" t="s">
        <v>79</v>
      </c>
    </row>
    <row r="4" spans="1:26">
      <c r="A4" s="821" t="s">
        <v>752</v>
      </c>
    </row>
    <row r="5" spans="1:26">
      <c r="A5" t="s">
        <v>677</v>
      </c>
      <c r="B5" t="s">
        <v>31</v>
      </c>
      <c r="C5" s="1749">
        <v>5223860000</v>
      </c>
      <c r="D5" s="1749">
        <v>5233860000</v>
      </c>
      <c r="E5" s="1749">
        <v>5233860000</v>
      </c>
      <c r="F5" s="1749">
        <v>5233860000</v>
      </c>
      <c r="G5" s="1749">
        <v>5233860000</v>
      </c>
      <c r="H5" s="1749">
        <v>5223860000</v>
      </c>
      <c r="I5" s="1749">
        <v>6033860000</v>
      </c>
      <c r="J5" s="1749">
        <v>6033860000</v>
      </c>
      <c r="K5" s="1749">
        <v>6033860000</v>
      </c>
      <c r="L5" s="1749">
        <v>6033860000</v>
      </c>
      <c r="M5" s="1749">
        <v>6033860000</v>
      </c>
      <c r="N5" s="1749">
        <v>6033860000</v>
      </c>
      <c r="O5" s="1749">
        <v>6033860000</v>
      </c>
      <c r="P5" s="822">
        <f>AVERAGE(C5:O5)</f>
        <v>5663090769.2307692</v>
      </c>
      <c r="Q5" s="107"/>
    </row>
    <row r="6" spans="1:26">
      <c r="A6" t="s">
        <v>679</v>
      </c>
      <c r="B6" t="s">
        <v>32</v>
      </c>
      <c r="C6" s="1749">
        <v>0</v>
      </c>
      <c r="D6" s="1749">
        <v>0</v>
      </c>
      <c r="E6" s="1749">
        <v>0</v>
      </c>
      <c r="F6" s="1749">
        <v>0</v>
      </c>
      <c r="G6" s="1749">
        <v>0</v>
      </c>
      <c r="H6" s="1749">
        <v>0</v>
      </c>
      <c r="I6" s="1749">
        <v>0</v>
      </c>
      <c r="J6" s="1749">
        <v>0</v>
      </c>
      <c r="K6" s="1749">
        <v>0</v>
      </c>
      <c r="L6" s="1749">
        <v>0</v>
      </c>
      <c r="M6" s="1749">
        <v>0</v>
      </c>
      <c r="N6" s="1749">
        <v>0</v>
      </c>
      <c r="O6" s="1749">
        <v>0</v>
      </c>
      <c r="P6" s="822">
        <f>AVERAGE(C6:O6)</f>
        <v>0</v>
      </c>
      <c r="Q6" s="822"/>
    </row>
    <row r="7" spans="1:26">
      <c r="C7" s="822"/>
      <c r="D7" s="822"/>
      <c r="E7" s="822"/>
      <c r="F7" s="822"/>
      <c r="G7" s="822"/>
      <c r="H7" s="822"/>
      <c r="I7" s="822"/>
      <c r="J7" s="822"/>
      <c r="K7" s="822"/>
      <c r="L7" s="822"/>
      <c r="M7" s="822"/>
      <c r="N7" s="822"/>
      <c r="O7" s="822"/>
      <c r="P7" s="822"/>
    </row>
    <row r="8" spans="1:26">
      <c r="A8" t="s">
        <v>678</v>
      </c>
      <c r="B8" t="s">
        <v>27</v>
      </c>
      <c r="C8" s="1749">
        <v>0</v>
      </c>
      <c r="D8" s="1749">
        <v>0</v>
      </c>
      <c r="E8" s="1749">
        <v>0</v>
      </c>
      <c r="F8" s="1749">
        <v>0</v>
      </c>
      <c r="G8" s="1749">
        <v>0</v>
      </c>
      <c r="H8" s="1749">
        <v>0</v>
      </c>
      <c r="I8" s="1749">
        <v>0</v>
      </c>
      <c r="J8" s="1749">
        <v>0</v>
      </c>
      <c r="K8" s="1749">
        <v>0</v>
      </c>
      <c r="L8" s="1749">
        <v>0</v>
      </c>
      <c r="M8" s="1749">
        <v>0</v>
      </c>
      <c r="N8" s="1749">
        <v>0</v>
      </c>
      <c r="O8" s="1749">
        <v>0</v>
      </c>
      <c r="P8" s="822">
        <f>AVERAGE(C8:O8)</f>
        <v>0</v>
      </c>
    </row>
    <row r="9" spans="1:26">
      <c r="A9" t="s">
        <v>680</v>
      </c>
      <c r="B9" t="s">
        <v>33</v>
      </c>
      <c r="C9" s="1750">
        <v>0</v>
      </c>
      <c r="D9" s="1750">
        <v>0</v>
      </c>
      <c r="E9" s="1750">
        <v>0</v>
      </c>
      <c r="F9" s="1750">
        <v>0</v>
      </c>
      <c r="G9" s="1750">
        <v>0</v>
      </c>
      <c r="H9" s="1750">
        <v>0</v>
      </c>
      <c r="I9" s="1750">
        <v>0</v>
      </c>
      <c r="J9" s="1750">
        <v>0</v>
      </c>
      <c r="K9" s="1750">
        <v>0</v>
      </c>
      <c r="L9" s="1750">
        <v>0</v>
      </c>
      <c r="M9" s="1750">
        <v>0</v>
      </c>
      <c r="N9" s="1750">
        <v>0</v>
      </c>
      <c r="O9" s="1750">
        <v>0</v>
      </c>
      <c r="P9" s="822">
        <f>AVERAGE(C9:O9)</f>
        <v>0</v>
      </c>
    </row>
    <row r="10" spans="1:26">
      <c r="A10" s="144" t="s">
        <v>672</v>
      </c>
      <c r="C10" s="1713"/>
      <c r="D10" s="1712"/>
      <c r="E10" s="1712"/>
      <c r="F10" s="1712"/>
      <c r="G10" s="1712"/>
      <c r="H10" s="1712"/>
      <c r="I10" s="1712"/>
      <c r="J10" s="1712"/>
      <c r="K10" s="1712"/>
      <c r="L10" s="1712"/>
      <c r="M10" s="1712"/>
      <c r="N10" s="1712"/>
      <c r="O10" s="1712"/>
      <c r="P10" s="823">
        <f>SUM(P5:P9)</f>
        <v>5663090769.2307692</v>
      </c>
    </row>
    <row r="11" spans="1:26">
      <c r="C11" s="1713"/>
      <c r="D11" s="1712"/>
      <c r="E11" s="1712"/>
      <c r="F11" s="1712"/>
      <c r="G11" s="1712"/>
      <c r="H11" s="1712"/>
      <c r="I11" s="1712"/>
      <c r="J11" s="1712"/>
      <c r="K11" s="1712"/>
      <c r="L11" s="1712"/>
      <c r="M11" s="1712"/>
      <c r="N11" s="1712"/>
      <c r="O11" s="1712"/>
      <c r="P11" s="822"/>
    </row>
    <row r="12" spans="1:26">
      <c r="A12" t="s">
        <v>681</v>
      </c>
      <c r="B12" t="s">
        <v>34</v>
      </c>
      <c r="C12" s="1749">
        <v>-18570269</v>
      </c>
      <c r="D12" s="1749">
        <v>-18510613</v>
      </c>
      <c r="E12" s="1749">
        <v>-18450958</v>
      </c>
      <c r="F12" s="1749">
        <v>-18391302</v>
      </c>
      <c r="G12" s="1749">
        <v>-18331646</v>
      </c>
      <c r="H12" s="1749">
        <v>-18271990</v>
      </c>
      <c r="I12" s="1749">
        <v>-24299379</v>
      </c>
      <c r="J12" s="1749">
        <v>-24208290</v>
      </c>
      <c r="K12" s="1749">
        <v>-24117201</v>
      </c>
      <c r="L12" s="1749">
        <v>-24026112</v>
      </c>
      <c r="M12" s="1749">
        <v>-23935023</v>
      </c>
      <c r="N12" s="1749">
        <v>-23843934</v>
      </c>
      <c r="O12" s="1749">
        <v>-23752845</v>
      </c>
      <c r="P12" s="822">
        <f>AVERAGE(C12:O12)</f>
        <v>-21439197.076923076</v>
      </c>
      <c r="Z12" s="1886"/>
    </row>
    <row r="13" spans="1:26">
      <c r="A13" t="s">
        <v>682</v>
      </c>
      <c r="B13" t="s">
        <v>35</v>
      </c>
      <c r="C13" s="1749">
        <v>-23407807</v>
      </c>
      <c r="D13" s="1749">
        <v>-23241669</v>
      </c>
      <c r="E13" s="1749">
        <v>-23075728</v>
      </c>
      <c r="F13" s="1749">
        <v>-22909956</v>
      </c>
      <c r="G13" s="1749">
        <v>-22749582</v>
      </c>
      <c r="H13" s="1749">
        <v>-22584038</v>
      </c>
      <c r="I13" s="1749">
        <v>-23721649</v>
      </c>
      <c r="J13" s="1749">
        <v>-24451777</v>
      </c>
      <c r="K13" s="1749">
        <v>-24319337</v>
      </c>
      <c r="L13" s="1749">
        <v>-24147212</v>
      </c>
      <c r="M13" s="1749">
        <v>-23968060</v>
      </c>
      <c r="N13" s="1749">
        <v>-23788909</v>
      </c>
      <c r="O13" s="1749">
        <v>-23612245</v>
      </c>
      <c r="P13" s="822">
        <f>AVERAGE(C13:O13)</f>
        <v>-23536766.846153848</v>
      </c>
    </row>
    <row r="14" spans="1:26">
      <c r="A14" t="s">
        <v>683</v>
      </c>
      <c r="B14" t="s">
        <v>36</v>
      </c>
      <c r="C14" s="1751">
        <v>-31625503</v>
      </c>
      <c r="D14" s="1749">
        <v>-31450508</v>
      </c>
      <c r="E14" s="1749">
        <v>-31289587</v>
      </c>
      <c r="F14" s="1749">
        <v>-31128667</v>
      </c>
      <c r="G14" s="1749">
        <v>-30967746</v>
      </c>
      <c r="H14" s="1749">
        <v>-30806825</v>
      </c>
      <c r="I14" s="1749">
        <v>-30645905</v>
      </c>
      <c r="J14" s="1749">
        <v>-30484984</v>
      </c>
      <c r="K14" s="1749">
        <v>-30324063</v>
      </c>
      <c r="L14" s="1749">
        <v>-30163143</v>
      </c>
      <c r="M14" s="1749">
        <v>-30002222</v>
      </c>
      <c r="N14" s="1749">
        <v>-29841302</v>
      </c>
      <c r="O14" s="1749">
        <v>-29680381</v>
      </c>
      <c r="P14" s="822">
        <f>AVERAGE(C14:O14)</f>
        <v>-30646987.384615384</v>
      </c>
    </row>
    <row r="15" spans="1:26">
      <c r="A15" t="s">
        <v>684</v>
      </c>
      <c r="B15" t="s">
        <v>28</v>
      </c>
      <c r="C15" s="1751">
        <v>0</v>
      </c>
      <c r="D15" s="1749">
        <v>0</v>
      </c>
      <c r="E15" s="1749">
        <v>0</v>
      </c>
      <c r="F15" s="1751">
        <v>0</v>
      </c>
      <c r="G15" s="1751">
        <v>0</v>
      </c>
      <c r="H15" s="1751">
        <v>0</v>
      </c>
      <c r="I15" s="1751">
        <v>0</v>
      </c>
      <c r="J15" s="1751">
        <v>0</v>
      </c>
      <c r="K15" s="1751">
        <v>0</v>
      </c>
      <c r="M15" s="1751">
        <v>0</v>
      </c>
      <c r="N15" s="1751">
        <v>0</v>
      </c>
      <c r="O15" s="1751">
        <v>0</v>
      </c>
      <c r="P15" s="822">
        <f>AVERAGE(C15:O15)</f>
        <v>0</v>
      </c>
      <c r="Z15" s="1887"/>
    </row>
    <row r="16" spans="1:26">
      <c r="A16" t="s">
        <v>685</v>
      </c>
      <c r="B16" t="s">
        <v>29</v>
      </c>
      <c r="C16" s="1750">
        <v>0</v>
      </c>
      <c r="D16" s="1750">
        <v>0</v>
      </c>
      <c r="E16" s="1750">
        <v>0</v>
      </c>
      <c r="F16" s="1750">
        <v>0</v>
      </c>
      <c r="G16" s="1750">
        <v>0</v>
      </c>
      <c r="H16" s="1750">
        <v>0</v>
      </c>
      <c r="I16" s="1750">
        <v>0</v>
      </c>
      <c r="J16" s="1750">
        <v>0</v>
      </c>
      <c r="K16" s="1750">
        <v>0</v>
      </c>
      <c r="L16" s="1750">
        <v>0</v>
      </c>
      <c r="M16" s="1750">
        <v>0</v>
      </c>
      <c r="N16" s="1750">
        <v>0</v>
      </c>
      <c r="O16" s="1750">
        <v>0</v>
      </c>
      <c r="P16" s="822">
        <f>AVERAGE(C16:O16)</f>
        <v>0</v>
      </c>
    </row>
    <row r="17" spans="1:18">
      <c r="A17" s="144" t="s">
        <v>673</v>
      </c>
      <c r="C17" s="107"/>
      <c r="D17" s="107"/>
      <c r="E17" s="107"/>
      <c r="F17" s="107"/>
      <c r="G17" s="107"/>
      <c r="H17" s="107"/>
      <c r="I17" s="107"/>
      <c r="J17" s="107"/>
      <c r="K17" s="107"/>
      <c r="L17" s="107"/>
      <c r="M17" s="107"/>
      <c r="N17" s="107"/>
      <c r="O17" s="107"/>
      <c r="P17" s="823">
        <f>SUM(P10:P16)</f>
        <v>5587467817.9230766</v>
      </c>
    </row>
    <row r="18" spans="1:18">
      <c r="C18" s="107"/>
      <c r="D18" s="107"/>
      <c r="E18" s="107"/>
      <c r="F18" s="107"/>
      <c r="G18" s="107"/>
      <c r="H18" s="107"/>
      <c r="I18" s="107"/>
      <c r="J18" s="107"/>
      <c r="K18" s="107"/>
      <c r="L18" s="107"/>
      <c r="M18" s="107"/>
      <c r="N18" s="107"/>
      <c r="O18" s="107"/>
      <c r="P18" s="822"/>
    </row>
    <row r="19" spans="1:18">
      <c r="A19" s="821" t="s">
        <v>686</v>
      </c>
      <c r="C19" s="107"/>
      <c r="D19" s="1749"/>
      <c r="E19" s="1749"/>
      <c r="F19" s="1749"/>
      <c r="G19" s="1749"/>
      <c r="H19" s="1749"/>
      <c r="I19" s="1749"/>
      <c r="J19" s="1749"/>
      <c r="K19" s="1749"/>
      <c r="L19" s="1749"/>
      <c r="M19" s="1749"/>
      <c r="N19" s="1749"/>
      <c r="O19" s="1749"/>
      <c r="P19" s="822"/>
    </row>
    <row r="20" spans="1:18">
      <c r="A20" s="183" t="s">
        <v>1032</v>
      </c>
      <c r="C20" s="1459"/>
      <c r="D20" s="1749">
        <v>21832945</v>
      </c>
      <c r="E20" s="1749">
        <v>21832945</v>
      </c>
      <c r="F20" s="1749">
        <v>21832945</v>
      </c>
      <c r="G20" s="1749">
        <v>21832945</v>
      </c>
      <c r="H20" s="1749">
        <v>21832945</v>
      </c>
      <c r="I20" s="1749">
        <v>24280722</v>
      </c>
      <c r="J20" s="1749">
        <v>25504611</v>
      </c>
      <c r="K20" s="1749">
        <v>25504611</v>
      </c>
      <c r="L20" s="1749">
        <v>25504611</v>
      </c>
      <c r="M20" s="1749">
        <v>25504611</v>
      </c>
      <c r="N20" s="1749">
        <v>25504611</v>
      </c>
      <c r="O20" s="1749">
        <v>25504611</v>
      </c>
      <c r="P20" s="822">
        <f>SUM(C20:O20)</f>
        <v>286473113</v>
      </c>
    </row>
    <row r="21" spans="1:18">
      <c r="A21" s="183" t="s">
        <v>709</v>
      </c>
      <c r="C21" s="1459"/>
      <c r="D21" s="1751">
        <v>-40637</v>
      </c>
      <c r="E21" s="1751">
        <v>-40637</v>
      </c>
      <c r="F21" s="1751">
        <v>-40637</v>
      </c>
      <c r="G21" s="1751">
        <v>-40637</v>
      </c>
      <c r="H21" s="1751">
        <v>-40637</v>
      </c>
      <c r="I21" s="1751">
        <v>-40637</v>
      </c>
      <c r="J21" s="1751">
        <v>-40637</v>
      </c>
      <c r="K21" s="1751">
        <v>-40637</v>
      </c>
      <c r="L21" s="1751">
        <v>-40637</v>
      </c>
      <c r="M21" s="1751">
        <v>-40637</v>
      </c>
      <c r="N21" s="1751">
        <v>-40637</v>
      </c>
      <c r="O21" s="1751">
        <v>-40637</v>
      </c>
      <c r="P21" s="822">
        <f t="shared" ref="P21:P28" si="0">SUM(C21:O21)</f>
        <v>-487644</v>
      </c>
      <c r="Q21" s="833"/>
    </row>
    <row r="22" spans="1:18">
      <c r="A22" s="183" t="s">
        <v>710</v>
      </c>
      <c r="C22" s="1459"/>
      <c r="D22" s="1751">
        <v>98084</v>
      </c>
      <c r="E22" s="1751">
        <v>98084</v>
      </c>
      <c r="F22" s="1751">
        <v>98084</v>
      </c>
      <c r="G22" s="1751">
        <v>98084</v>
      </c>
      <c r="H22" s="1751">
        <v>98084</v>
      </c>
      <c r="I22" s="1751">
        <v>98084</v>
      </c>
      <c r="J22" s="1751">
        <v>98084</v>
      </c>
      <c r="K22" s="1751">
        <v>98084</v>
      </c>
      <c r="L22" s="1751">
        <v>98084</v>
      </c>
      <c r="M22" s="1751">
        <v>98084</v>
      </c>
      <c r="N22" s="1751">
        <v>98084</v>
      </c>
      <c r="O22" s="1751">
        <v>98084</v>
      </c>
      <c r="P22" s="822">
        <f t="shared" si="0"/>
        <v>1177008</v>
      </c>
      <c r="Q22" s="833"/>
    </row>
    <row r="23" spans="1:18">
      <c r="A23" s="183" t="s">
        <v>1074</v>
      </c>
      <c r="C23" s="1459"/>
      <c r="D23" s="1750">
        <f>-59224+1777</f>
        <v>-57447</v>
      </c>
      <c r="E23" s="1750">
        <f t="shared" ref="E23:O23" si="1">-59224+1777</f>
        <v>-57447</v>
      </c>
      <c r="F23" s="1750">
        <f t="shared" si="1"/>
        <v>-57447</v>
      </c>
      <c r="G23" s="1750">
        <f t="shared" si="1"/>
        <v>-57447</v>
      </c>
      <c r="H23" s="1750">
        <f t="shared" si="1"/>
        <v>-57447</v>
      </c>
      <c r="I23" s="1750">
        <f t="shared" si="1"/>
        <v>-57447</v>
      </c>
      <c r="J23" s="1750">
        <f t="shared" si="1"/>
        <v>-57447</v>
      </c>
      <c r="K23" s="1750">
        <f t="shared" si="1"/>
        <v>-57447</v>
      </c>
      <c r="L23" s="1750">
        <f t="shared" si="1"/>
        <v>-57447</v>
      </c>
      <c r="M23" s="1750">
        <f t="shared" si="1"/>
        <v>-57447</v>
      </c>
      <c r="N23" s="1750">
        <f t="shared" si="1"/>
        <v>-57447</v>
      </c>
      <c r="O23" s="1750">
        <f t="shared" si="1"/>
        <v>-57447</v>
      </c>
      <c r="P23" s="1750">
        <f>SUM(C23:O23)</f>
        <v>-689364</v>
      </c>
      <c r="Q23" s="833"/>
    </row>
    <row r="24" spans="1:18">
      <c r="A24" s="176" t="s">
        <v>878</v>
      </c>
      <c r="B24" t="s">
        <v>30</v>
      </c>
      <c r="C24" s="1459"/>
      <c r="D24" s="1749">
        <v>21792308</v>
      </c>
      <c r="E24" s="1749">
        <v>21792308</v>
      </c>
      <c r="F24" s="1749">
        <v>21792308</v>
      </c>
      <c r="G24" s="1749">
        <v>21792308</v>
      </c>
      <c r="H24" s="1749">
        <v>21792308</v>
      </c>
      <c r="I24" s="1749">
        <v>24240085</v>
      </c>
      <c r="J24" s="1749">
        <v>25463974</v>
      </c>
      <c r="K24" s="1749">
        <v>25463974</v>
      </c>
      <c r="L24" s="1749">
        <v>25463974</v>
      </c>
      <c r="M24" s="1749">
        <v>25463974</v>
      </c>
      <c r="N24" s="1749">
        <v>25463974</v>
      </c>
      <c r="O24" s="1749">
        <v>25463974</v>
      </c>
      <c r="P24" s="822">
        <f>SUM(C24:O24)</f>
        <v>285985469</v>
      </c>
      <c r="Q24" s="125"/>
      <c r="R24" s="822"/>
    </row>
    <row r="25" spans="1:18">
      <c r="A25" t="s">
        <v>687</v>
      </c>
      <c r="B25" t="s">
        <v>37</v>
      </c>
      <c r="C25" s="1459"/>
      <c r="D25" s="1836">
        <v>225794</v>
      </c>
      <c r="E25" s="1836">
        <v>225799</v>
      </c>
      <c r="F25" s="1836">
        <v>225809</v>
      </c>
      <c r="G25" s="1836">
        <v>225970</v>
      </c>
      <c r="H25" s="1836">
        <v>225979</v>
      </c>
      <c r="I25" s="1836">
        <v>254219</v>
      </c>
      <c r="J25" s="1836">
        <v>271578</v>
      </c>
      <c r="K25" s="1836">
        <v>270033</v>
      </c>
      <c r="L25" s="1836">
        <v>270241</v>
      </c>
      <c r="M25" s="1836">
        <v>270241</v>
      </c>
      <c r="N25" s="1836">
        <v>270241</v>
      </c>
      <c r="O25" s="1836">
        <v>270330</v>
      </c>
      <c r="P25" s="107">
        <f>SUM(C25:O25)</f>
        <v>3006234</v>
      </c>
      <c r="Q25" s="822"/>
    </row>
    <row r="26" spans="1:18">
      <c r="A26" t="s">
        <v>688</v>
      </c>
      <c r="B26" t="s">
        <v>38</v>
      </c>
      <c r="C26" s="1459"/>
      <c r="D26" s="1749">
        <v>174995</v>
      </c>
      <c r="E26" s="1749">
        <v>160921</v>
      </c>
      <c r="F26" s="1749">
        <v>160921</v>
      </c>
      <c r="G26" s="1749">
        <v>160921</v>
      </c>
      <c r="H26" s="1749">
        <v>160921</v>
      </c>
      <c r="I26" s="1749">
        <v>160921</v>
      </c>
      <c r="J26" s="1749">
        <v>160921</v>
      </c>
      <c r="K26" s="1749">
        <v>160921</v>
      </c>
      <c r="L26" s="1749">
        <v>160921</v>
      </c>
      <c r="M26" s="1749">
        <v>160921</v>
      </c>
      <c r="N26" s="1749">
        <v>160921</v>
      </c>
      <c r="O26" s="1749">
        <v>160921</v>
      </c>
      <c r="P26" s="107">
        <f t="shared" si="0"/>
        <v>1945126</v>
      </c>
      <c r="Q26" s="445"/>
    </row>
    <row r="27" spans="1:18">
      <c r="A27" t="s">
        <v>690</v>
      </c>
      <c r="B27" t="s">
        <v>39</v>
      </c>
      <c r="C27" s="1459"/>
      <c r="D27" s="1749">
        <v>0</v>
      </c>
      <c r="E27" s="1749">
        <v>0</v>
      </c>
      <c r="F27" s="1749">
        <v>0</v>
      </c>
      <c r="G27" s="1749">
        <v>0</v>
      </c>
      <c r="H27" s="1749">
        <v>0</v>
      </c>
      <c r="I27" s="1749">
        <v>0</v>
      </c>
      <c r="J27" s="1749">
        <v>0</v>
      </c>
      <c r="K27" s="1749">
        <v>0</v>
      </c>
      <c r="L27" s="1749">
        <v>0</v>
      </c>
      <c r="M27" s="1749">
        <v>0</v>
      </c>
      <c r="N27" s="1749">
        <v>0</v>
      </c>
      <c r="O27" s="1749">
        <v>0</v>
      </c>
      <c r="P27" s="822">
        <f t="shared" si="0"/>
        <v>0</v>
      </c>
    </row>
    <row r="28" spans="1:18">
      <c r="A28" t="s">
        <v>691</v>
      </c>
      <c r="B28" t="s">
        <v>40</v>
      </c>
      <c r="C28" s="1459"/>
      <c r="D28" s="1750">
        <v>0</v>
      </c>
      <c r="E28" s="1750">
        <v>0</v>
      </c>
      <c r="F28" s="1750">
        <v>0</v>
      </c>
      <c r="G28" s="1750">
        <v>0</v>
      </c>
      <c r="H28" s="1750">
        <v>0</v>
      </c>
      <c r="I28" s="1750">
        <v>0</v>
      </c>
      <c r="J28" s="1750">
        <v>0</v>
      </c>
      <c r="K28" s="1750">
        <v>0</v>
      </c>
      <c r="L28" s="1750">
        <v>0</v>
      </c>
      <c r="M28" s="1750">
        <v>0</v>
      </c>
      <c r="N28" s="1750">
        <v>0</v>
      </c>
      <c r="O28" s="1750">
        <v>0</v>
      </c>
      <c r="P28" s="822">
        <f t="shared" si="0"/>
        <v>0</v>
      </c>
    </row>
    <row r="29" spans="1:18">
      <c r="A29" s="144" t="s">
        <v>674</v>
      </c>
      <c r="C29" s="107"/>
      <c r="D29" s="1751"/>
      <c r="E29" s="1751"/>
      <c r="F29" s="1751"/>
      <c r="G29" s="1751"/>
      <c r="H29" s="1751"/>
      <c r="I29" s="1751"/>
      <c r="J29" s="1751"/>
      <c r="K29" s="1751"/>
      <c r="L29" s="1751"/>
      <c r="M29" s="1751"/>
      <c r="N29" s="1751"/>
      <c r="O29" s="1751"/>
      <c r="P29" s="823">
        <f>SUM(P24:P28)</f>
        <v>290936829</v>
      </c>
    </row>
    <row r="30" spans="1:18">
      <c r="C30" s="107"/>
      <c r="D30" s="146"/>
      <c r="E30" s="146"/>
      <c r="F30" s="146"/>
      <c r="G30" s="146"/>
      <c r="H30" s="146"/>
      <c r="I30" s="146"/>
      <c r="J30" s="146"/>
      <c r="K30" s="146"/>
      <c r="L30" s="146"/>
      <c r="M30" s="146"/>
      <c r="N30" s="146"/>
      <c r="O30" s="146"/>
      <c r="P30" s="822"/>
    </row>
    <row r="31" spans="1:18">
      <c r="A31" s="821" t="s">
        <v>692</v>
      </c>
      <c r="C31" s="107"/>
      <c r="D31" s="146"/>
      <c r="E31" s="146"/>
      <c r="F31" s="146"/>
      <c r="G31" s="146"/>
      <c r="H31" s="146"/>
      <c r="I31" s="146"/>
      <c r="J31" s="146"/>
      <c r="K31" s="146"/>
      <c r="L31" s="146"/>
      <c r="M31" s="146"/>
      <c r="N31" s="146"/>
      <c r="O31" s="146"/>
      <c r="P31" s="822"/>
      <c r="Q31" s="822"/>
    </row>
    <row r="32" spans="1:18">
      <c r="A32" t="s">
        <v>693</v>
      </c>
      <c r="B32" t="s">
        <v>41</v>
      </c>
      <c r="C32" s="1749">
        <v>0</v>
      </c>
      <c r="D32" s="1749">
        <v>0</v>
      </c>
      <c r="E32" s="1749">
        <v>0</v>
      </c>
      <c r="F32" s="1749">
        <v>0</v>
      </c>
      <c r="G32" s="1749">
        <v>0</v>
      </c>
      <c r="H32" s="1749">
        <v>0</v>
      </c>
      <c r="I32" s="1749">
        <v>0</v>
      </c>
      <c r="J32" s="1749">
        <v>0</v>
      </c>
      <c r="K32" s="1749">
        <v>0</v>
      </c>
      <c r="L32" s="1749">
        <v>0</v>
      </c>
      <c r="M32" s="1749">
        <v>0</v>
      </c>
      <c r="N32" s="1749">
        <v>0</v>
      </c>
      <c r="O32" s="1749">
        <v>0</v>
      </c>
      <c r="P32" s="822">
        <f>AVERAGE(C32:O32)</f>
        <v>0</v>
      </c>
    </row>
    <row r="33" spans="1:17">
      <c r="A33" t="s">
        <v>694</v>
      </c>
      <c r="B33" t="s">
        <v>42</v>
      </c>
      <c r="C33" s="1749">
        <v>0</v>
      </c>
      <c r="D33" s="1749">
        <v>0</v>
      </c>
      <c r="E33" s="1749">
        <v>0</v>
      </c>
      <c r="F33" s="1749">
        <v>0</v>
      </c>
      <c r="G33" s="1749">
        <v>0</v>
      </c>
      <c r="H33" s="1749">
        <v>0</v>
      </c>
      <c r="I33" s="1749">
        <v>0</v>
      </c>
      <c r="J33" s="1749">
        <v>0</v>
      </c>
      <c r="K33" s="1749">
        <v>0</v>
      </c>
      <c r="L33" s="1749">
        <v>0</v>
      </c>
      <c r="M33" s="1749">
        <v>0</v>
      </c>
      <c r="N33" s="1749">
        <v>0</v>
      </c>
      <c r="O33" s="1749">
        <v>0</v>
      </c>
      <c r="P33" s="822">
        <f>AVERAGE(C33:O33)</f>
        <v>0</v>
      </c>
    </row>
    <row r="34" spans="1:17">
      <c r="A34" t="s">
        <v>695</v>
      </c>
      <c r="B34" t="s">
        <v>43</v>
      </c>
      <c r="C34" s="1749">
        <v>0</v>
      </c>
      <c r="D34" s="1749">
        <v>0</v>
      </c>
      <c r="E34" s="1749">
        <v>0</v>
      </c>
      <c r="F34" s="1749">
        <v>0</v>
      </c>
      <c r="G34" s="1749">
        <v>0</v>
      </c>
      <c r="H34" s="1749">
        <v>0</v>
      </c>
      <c r="I34" s="1749">
        <v>0</v>
      </c>
      <c r="J34" s="1749">
        <v>0</v>
      </c>
      <c r="K34" s="1749">
        <v>0</v>
      </c>
      <c r="L34" s="1749">
        <v>0</v>
      </c>
      <c r="M34" s="1749">
        <v>0</v>
      </c>
      <c r="N34" s="1749">
        <v>0</v>
      </c>
      <c r="O34" s="1749">
        <v>0</v>
      </c>
      <c r="P34" s="822">
        <f t="shared" ref="P34:P39" si="2">AVERAGE(C34:O34)</f>
        <v>0</v>
      </c>
    </row>
    <row r="35" spans="1:17">
      <c r="A35" t="s">
        <v>51</v>
      </c>
      <c r="B35" t="s">
        <v>44</v>
      </c>
      <c r="C35" s="1749">
        <v>0</v>
      </c>
      <c r="D35" s="1749">
        <v>0</v>
      </c>
      <c r="E35" s="1749">
        <v>0</v>
      </c>
      <c r="F35" s="1749">
        <v>0</v>
      </c>
      <c r="G35" s="1749">
        <v>0</v>
      </c>
      <c r="H35" s="1749">
        <v>0</v>
      </c>
      <c r="I35" s="1749">
        <v>0</v>
      </c>
      <c r="J35" s="1749">
        <v>0</v>
      </c>
      <c r="K35" s="1749">
        <v>0</v>
      </c>
      <c r="L35" s="1749">
        <v>0</v>
      </c>
      <c r="M35" s="1749">
        <v>0</v>
      </c>
      <c r="N35" s="1749">
        <v>0</v>
      </c>
      <c r="O35" s="1749">
        <v>0</v>
      </c>
      <c r="P35" s="822">
        <f t="shared" si="2"/>
        <v>0</v>
      </c>
    </row>
    <row r="36" spans="1:17">
      <c r="A36" t="s">
        <v>696</v>
      </c>
      <c r="B36" t="s">
        <v>45</v>
      </c>
      <c r="C36" s="1749">
        <v>0</v>
      </c>
      <c r="D36" s="1749">
        <v>0</v>
      </c>
      <c r="E36" s="1749">
        <v>0</v>
      </c>
      <c r="F36" s="1749">
        <v>0</v>
      </c>
      <c r="G36" s="1749">
        <v>0</v>
      </c>
      <c r="H36" s="1749">
        <v>0</v>
      </c>
      <c r="I36" s="1749">
        <v>0</v>
      </c>
      <c r="J36" s="1749">
        <v>0</v>
      </c>
      <c r="K36" s="1749">
        <v>0</v>
      </c>
      <c r="L36" s="1749">
        <v>0</v>
      </c>
      <c r="M36" s="1749">
        <v>0</v>
      </c>
      <c r="N36" s="1749">
        <v>0</v>
      </c>
      <c r="O36" s="1749">
        <v>0</v>
      </c>
      <c r="P36" s="822">
        <f t="shared" si="2"/>
        <v>0</v>
      </c>
    </row>
    <row r="37" spans="1:17">
      <c r="A37" t="s">
        <v>697</v>
      </c>
      <c r="B37" s="2" t="s">
        <v>50</v>
      </c>
      <c r="C37" s="1750">
        <v>0</v>
      </c>
      <c r="D37" s="1750">
        <v>0</v>
      </c>
      <c r="E37" s="1750">
        <v>0</v>
      </c>
      <c r="F37" s="1750">
        <v>0</v>
      </c>
      <c r="G37" s="1750">
        <v>0</v>
      </c>
      <c r="H37" s="1750">
        <v>0</v>
      </c>
      <c r="I37" s="1750">
        <v>0</v>
      </c>
      <c r="J37" s="1750">
        <v>0</v>
      </c>
      <c r="K37" s="1750">
        <v>0</v>
      </c>
      <c r="L37" s="1750">
        <v>0</v>
      </c>
      <c r="M37" s="1750">
        <v>0</v>
      </c>
      <c r="N37" s="1750">
        <v>0</v>
      </c>
      <c r="O37" s="1750">
        <v>0</v>
      </c>
      <c r="P37" s="1794">
        <f t="shared" si="2"/>
        <v>0</v>
      </c>
    </row>
    <row r="38" spans="1:17">
      <c r="A38" s="144" t="s">
        <v>698</v>
      </c>
      <c r="C38" s="107"/>
      <c r="D38" s="107"/>
      <c r="E38" s="107"/>
      <c r="F38" s="107"/>
      <c r="G38" s="107"/>
      <c r="H38" s="107"/>
      <c r="I38" s="107"/>
      <c r="J38" s="107"/>
      <c r="K38" s="107"/>
      <c r="L38" s="107"/>
      <c r="M38" s="107"/>
      <c r="N38" s="107"/>
      <c r="O38" s="107"/>
      <c r="P38" s="822"/>
    </row>
    <row r="39" spans="1:17">
      <c r="A39" s="104" t="s">
        <v>675</v>
      </c>
      <c r="B39" t="s">
        <v>46</v>
      </c>
      <c r="C39" s="1713">
        <v>0</v>
      </c>
      <c r="D39" s="1713">
        <v>0</v>
      </c>
      <c r="E39" s="1713">
        <v>0</v>
      </c>
      <c r="F39" s="1713">
        <v>0</v>
      </c>
      <c r="G39" s="1713">
        <v>0</v>
      </c>
      <c r="H39" s="1713">
        <v>0</v>
      </c>
      <c r="I39" s="1713">
        <v>0</v>
      </c>
      <c r="J39" s="1713">
        <v>0</v>
      </c>
      <c r="K39" s="1713">
        <v>0</v>
      </c>
      <c r="L39" s="1713">
        <v>0</v>
      </c>
      <c r="M39" s="1713">
        <v>0</v>
      </c>
      <c r="N39" s="1713">
        <v>0</v>
      </c>
      <c r="O39" s="1713">
        <v>0</v>
      </c>
      <c r="P39" s="822">
        <f t="shared" si="2"/>
        <v>0</v>
      </c>
    </row>
    <row r="40" spans="1:17">
      <c r="C40" s="107"/>
      <c r="D40" s="107"/>
      <c r="E40" s="107"/>
      <c r="F40" s="107"/>
      <c r="G40" s="107"/>
      <c r="H40" s="107"/>
      <c r="I40" s="107"/>
      <c r="J40" s="107"/>
      <c r="K40" s="107"/>
      <c r="L40" s="107"/>
      <c r="M40" s="107"/>
      <c r="N40" s="107"/>
      <c r="O40" s="107"/>
      <c r="P40" s="822"/>
    </row>
    <row r="41" spans="1:17">
      <c r="A41" s="821" t="s">
        <v>739</v>
      </c>
      <c r="C41" s="107"/>
      <c r="D41" s="107"/>
      <c r="E41" s="107"/>
      <c r="F41" s="107"/>
      <c r="G41" s="107"/>
      <c r="H41" s="107"/>
      <c r="I41" s="107"/>
      <c r="J41" s="107"/>
      <c r="K41" s="107"/>
      <c r="L41" s="107"/>
      <c r="M41" s="107"/>
      <c r="N41" s="107"/>
      <c r="O41" s="107"/>
      <c r="P41" s="822"/>
    </row>
    <row r="42" spans="1:17">
      <c r="A42" t="s">
        <v>852</v>
      </c>
      <c r="B42" t="s">
        <v>47</v>
      </c>
      <c r="C42" s="822">
        <v>5050789342</v>
      </c>
      <c r="D42" s="822">
        <v>5127612338</v>
      </c>
      <c r="E42" s="822">
        <v>5147723936</v>
      </c>
      <c r="F42" s="822">
        <v>5141913485</v>
      </c>
      <c r="G42" s="822">
        <v>5420402287</v>
      </c>
      <c r="H42" s="822">
        <v>5437399053</v>
      </c>
      <c r="I42" s="822">
        <v>5417151952</v>
      </c>
      <c r="J42" s="822">
        <v>5384522422</v>
      </c>
      <c r="K42" s="822">
        <v>5348300211</v>
      </c>
      <c r="L42" s="822">
        <v>5325173315</v>
      </c>
      <c r="M42" s="822">
        <v>5316749713</v>
      </c>
      <c r="N42" s="822">
        <v>5348505314</v>
      </c>
      <c r="O42" s="822">
        <v>5563887112</v>
      </c>
      <c r="P42" s="822">
        <f>AVERAGE(C42:O42)</f>
        <v>5310010036.9230766</v>
      </c>
      <c r="Q42" s="822"/>
    </row>
    <row r="43" spans="1:17">
      <c r="A43" t="s">
        <v>699</v>
      </c>
      <c r="B43" t="s">
        <v>41</v>
      </c>
      <c r="C43" s="822">
        <v>0.1</v>
      </c>
      <c r="D43" s="822"/>
      <c r="E43" s="822"/>
      <c r="F43" s="822"/>
      <c r="G43" s="822"/>
      <c r="H43" s="822"/>
      <c r="I43" s="822"/>
      <c r="J43" s="822"/>
      <c r="K43" s="822"/>
      <c r="L43" s="822"/>
      <c r="M43" s="822"/>
      <c r="N43" s="822"/>
      <c r="O43" s="822"/>
      <c r="P43" s="822">
        <f>AVERAGE(C43:O43)</f>
        <v>0.1</v>
      </c>
      <c r="Q43" s="822"/>
    </row>
    <row r="44" spans="1:17">
      <c r="A44" t="s">
        <v>700</v>
      </c>
      <c r="B44" t="s">
        <v>48</v>
      </c>
      <c r="C44" s="822">
        <v>-13054602</v>
      </c>
      <c r="D44" s="822">
        <v>-13054602</v>
      </c>
      <c r="E44" s="822">
        <v>-13054602</v>
      </c>
      <c r="F44" s="822">
        <v>-13071243</v>
      </c>
      <c r="G44" s="822">
        <v>-13071243</v>
      </c>
      <c r="H44" s="822">
        <v>-13071243</v>
      </c>
      <c r="I44" s="822">
        <v>-13243712</v>
      </c>
      <c r="J44" s="822">
        <v>-13243712</v>
      </c>
      <c r="K44" s="822">
        <v>-13243712</v>
      </c>
      <c r="L44" s="822">
        <v>-13245676</v>
      </c>
      <c r="M44" s="822">
        <v>-13245676</v>
      </c>
      <c r="N44" s="822">
        <v>-13245676</v>
      </c>
      <c r="O44" s="822">
        <v>-13366875</v>
      </c>
      <c r="P44" s="822">
        <f>AVERAGE(C44:O44)</f>
        <v>-13170198</v>
      </c>
    </row>
    <row r="45" spans="1:17">
      <c r="A45" t="s">
        <v>701</v>
      </c>
      <c r="B45" t="s">
        <v>49</v>
      </c>
      <c r="C45" s="822">
        <v>-58396308</v>
      </c>
      <c r="D45" s="822">
        <v>-58374220</v>
      </c>
      <c r="E45" s="822">
        <v>-60193738</v>
      </c>
      <c r="F45" s="822">
        <v>-60171651</v>
      </c>
      <c r="G45" s="822">
        <v>-60149563</v>
      </c>
      <c r="H45" s="822">
        <v>-60127475</v>
      </c>
      <c r="I45" s="822">
        <v>-60105387</v>
      </c>
      <c r="J45" s="822">
        <v>-61229076</v>
      </c>
      <c r="K45" s="822">
        <v>-61206988</v>
      </c>
      <c r="L45" s="822">
        <v>-61184900</v>
      </c>
      <c r="M45" s="822">
        <v>-61274202</v>
      </c>
      <c r="N45" s="822">
        <v>-61250534</v>
      </c>
      <c r="O45" s="822">
        <v>-30245866</v>
      </c>
      <c r="P45" s="822">
        <f>AVERAGE(C45:O45)</f>
        <v>-57993069.846153848</v>
      </c>
    </row>
    <row r="46" spans="1:17">
      <c r="A46" s="144" t="s">
        <v>676</v>
      </c>
      <c r="C46" s="1083"/>
      <c r="D46" s="1083"/>
      <c r="E46" s="1083"/>
      <c r="F46" s="1083"/>
      <c r="G46" s="1083"/>
      <c r="H46" s="1083"/>
      <c r="I46" s="1083"/>
      <c r="J46" s="1083"/>
      <c r="K46" s="1083"/>
      <c r="L46" s="1083"/>
      <c r="M46" s="1083"/>
      <c r="N46" s="1083"/>
      <c r="O46" s="1083"/>
      <c r="P46" s="823">
        <f>P42-P43-P44-P45</f>
        <v>5381173304.6692305</v>
      </c>
    </row>
    <row r="47" spans="1:17">
      <c r="C47" s="107"/>
      <c r="D47" s="107"/>
      <c r="E47" s="107"/>
      <c r="F47" s="107"/>
      <c r="G47" s="107"/>
      <c r="H47" s="107"/>
      <c r="I47" s="107"/>
      <c r="J47" s="107"/>
      <c r="K47" s="107"/>
      <c r="L47" s="107"/>
      <c r="M47" s="107"/>
      <c r="N47" s="107"/>
      <c r="O47" s="107"/>
      <c r="P47" s="822"/>
    </row>
    <row r="48" spans="1:17">
      <c r="C48" s="107"/>
      <c r="D48" s="107"/>
      <c r="E48" s="107"/>
      <c r="F48" s="107"/>
      <c r="G48" s="107"/>
      <c r="H48" s="107"/>
      <c r="I48" s="107"/>
      <c r="J48" s="107"/>
      <c r="K48" s="107"/>
      <c r="L48" s="107"/>
      <c r="M48" s="107"/>
      <c r="N48" s="107"/>
      <c r="O48" s="107"/>
      <c r="P48" s="822"/>
    </row>
    <row r="49" spans="1:17">
      <c r="A49" t="s">
        <v>852</v>
      </c>
      <c r="C49" s="107"/>
      <c r="D49" s="107"/>
      <c r="E49" s="107"/>
      <c r="F49" s="107"/>
      <c r="G49" s="107"/>
      <c r="H49" s="107"/>
      <c r="I49" s="107"/>
      <c r="J49" s="107"/>
      <c r="K49" s="107"/>
      <c r="L49" s="107"/>
      <c r="M49" s="107"/>
      <c r="N49" s="107"/>
      <c r="O49" s="107"/>
      <c r="P49" s="822"/>
    </row>
    <row r="50" spans="1:17">
      <c r="A50" t="s">
        <v>702</v>
      </c>
      <c r="B50" t="s">
        <v>52</v>
      </c>
      <c r="C50" s="1749">
        <v>859037.91</v>
      </c>
      <c r="D50" s="1749">
        <v>859037.91</v>
      </c>
      <c r="E50" s="1749">
        <v>859037.91</v>
      </c>
      <c r="F50" s="1749">
        <v>859037.91</v>
      </c>
      <c r="G50" s="1749">
        <v>859037.91</v>
      </c>
      <c r="H50" s="1749">
        <v>859037.91</v>
      </c>
      <c r="I50" s="1749">
        <v>859037.91</v>
      </c>
      <c r="J50" s="1749">
        <v>859037.91</v>
      </c>
      <c r="K50" s="1749">
        <v>859037.91</v>
      </c>
      <c r="L50" s="1749">
        <v>859037.91</v>
      </c>
      <c r="M50" s="1749">
        <v>859037.91</v>
      </c>
      <c r="N50" s="1749">
        <v>859037.91</v>
      </c>
      <c r="O50" s="1749">
        <v>859037.91</v>
      </c>
      <c r="P50" s="822">
        <f>AVERAGE(C50:O50)</f>
        <v>859037.91</v>
      </c>
      <c r="Q50" s="822"/>
    </row>
    <row r="51" spans="1:17">
      <c r="A51" t="s">
        <v>703</v>
      </c>
      <c r="B51" t="s">
        <v>54</v>
      </c>
      <c r="C51" s="1749">
        <v>478145250</v>
      </c>
      <c r="D51" s="1749">
        <v>478145250</v>
      </c>
      <c r="E51" s="1749">
        <v>478145250</v>
      </c>
      <c r="F51" s="1749">
        <v>478145250</v>
      </c>
      <c r="G51" s="1749">
        <v>478145250</v>
      </c>
      <c r="H51" s="1749">
        <v>478145250</v>
      </c>
      <c r="I51" s="1749">
        <v>478145250</v>
      </c>
      <c r="J51" s="1749">
        <v>478145250</v>
      </c>
      <c r="K51" s="1749">
        <v>478145250</v>
      </c>
      <c r="L51" s="1749">
        <v>478145250</v>
      </c>
      <c r="M51" s="1749">
        <v>478145250</v>
      </c>
      <c r="N51" s="1749">
        <v>478145250</v>
      </c>
      <c r="O51" s="1749">
        <v>478145250</v>
      </c>
      <c r="P51" s="822">
        <f>AVERAGE(C51:O51)</f>
        <v>478145250</v>
      </c>
      <c r="Q51" s="822"/>
    </row>
    <row r="52" spans="1:17">
      <c r="A52" t="s">
        <v>704</v>
      </c>
      <c r="B52" t="s">
        <v>44</v>
      </c>
      <c r="C52" s="1749">
        <v>3164096691</v>
      </c>
      <c r="D52" s="1749">
        <v>3164096691</v>
      </c>
      <c r="E52" s="1749">
        <v>3164096691</v>
      </c>
      <c r="F52" s="1749">
        <v>3164096691</v>
      </c>
      <c r="G52" s="1749">
        <v>3456896691</v>
      </c>
      <c r="H52" s="1749">
        <v>3456896691</v>
      </c>
      <c r="I52" s="1749">
        <v>3456896691</v>
      </c>
      <c r="J52" s="1749">
        <v>3456896691</v>
      </c>
      <c r="K52" s="1749">
        <v>3456896691</v>
      </c>
      <c r="L52" s="1749">
        <v>3456896691</v>
      </c>
      <c r="M52" s="1749">
        <v>3456896691</v>
      </c>
      <c r="N52" s="1749">
        <v>3456896691</v>
      </c>
      <c r="O52" s="1749">
        <v>3456896691</v>
      </c>
      <c r="P52" s="822">
        <f>AVERAGE(C52:O52)</f>
        <v>3366804383.3076925</v>
      </c>
      <c r="Q52" s="822"/>
    </row>
    <row r="53" spans="1:17">
      <c r="A53" t="s">
        <v>470</v>
      </c>
      <c r="B53" t="s">
        <v>45</v>
      </c>
      <c r="C53" s="1749"/>
      <c r="D53" s="1749"/>
      <c r="E53" s="1749"/>
      <c r="F53" s="1749"/>
      <c r="G53" s="1749"/>
      <c r="H53" s="1749"/>
      <c r="I53" s="1749"/>
      <c r="J53" s="1749"/>
      <c r="K53" s="1749"/>
      <c r="L53" s="1749"/>
      <c r="M53" s="1749"/>
      <c r="N53" s="1749"/>
      <c r="O53" s="1749"/>
      <c r="P53" s="822">
        <v>0</v>
      </c>
      <c r="Q53" s="822"/>
    </row>
    <row r="54" spans="1:17">
      <c r="A54" t="s">
        <v>705</v>
      </c>
      <c r="B54" t="s">
        <v>50</v>
      </c>
      <c r="C54" s="1749">
        <v>-7133879.4000000004</v>
      </c>
      <c r="D54" s="1749">
        <v>-7133879.4000000004</v>
      </c>
      <c r="E54" s="1749">
        <v>-7133879.4000000004</v>
      </c>
      <c r="F54" s="1749">
        <v>-7133879.4000000004</v>
      </c>
      <c r="G54" s="1749">
        <v>-7133879.4000000004</v>
      </c>
      <c r="H54" s="1749">
        <v>-7133879.4000000004</v>
      </c>
      <c r="I54" s="1749">
        <v>-7133879.4000000004</v>
      </c>
      <c r="J54" s="1749">
        <v>-7133879.4000000004</v>
      </c>
      <c r="K54" s="1749">
        <v>-7133879.4000000004</v>
      </c>
      <c r="L54" s="1749">
        <v>-7133879.4000000004</v>
      </c>
      <c r="M54" s="1749">
        <v>-7133879.4000000004</v>
      </c>
      <c r="N54" s="1749">
        <v>-7133879.4000000004</v>
      </c>
      <c r="O54" s="1749">
        <v>-7133879.4000000004</v>
      </c>
      <c r="P54" s="107">
        <f>AVERAGE(C54:O54)</f>
        <v>-7133879.4000000013</v>
      </c>
      <c r="Q54" s="822"/>
    </row>
    <row r="55" spans="1:17">
      <c r="A55" t="s">
        <v>706</v>
      </c>
      <c r="B55" t="s">
        <v>53</v>
      </c>
      <c r="C55" s="1836">
        <v>1486273152</v>
      </c>
      <c r="D55" s="1836">
        <v>1563074059</v>
      </c>
      <c r="E55" s="1836">
        <v>1585005177</v>
      </c>
      <c r="F55" s="1836">
        <v>1579189279</v>
      </c>
      <c r="G55" s="1836">
        <v>1564855993</v>
      </c>
      <c r="H55" s="1836">
        <v>1581830671</v>
      </c>
      <c r="I55" s="1836">
        <v>1561733950</v>
      </c>
      <c r="J55" s="1836">
        <v>1530228110</v>
      </c>
      <c r="K55" s="1836">
        <v>1493983811</v>
      </c>
      <c r="L55" s="1836">
        <v>1470836791</v>
      </c>
      <c r="M55" s="1836">
        <v>1462502491</v>
      </c>
      <c r="N55" s="1836">
        <v>1494234424</v>
      </c>
      <c r="O55" s="1836">
        <v>1678732753</v>
      </c>
      <c r="P55" s="107">
        <f>AVERAGE(C55:O55)</f>
        <v>1542498512.3846154</v>
      </c>
      <c r="Q55" s="822"/>
    </row>
    <row r="56" spans="1:17">
      <c r="A56" t="s">
        <v>707</v>
      </c>
      <c r="B56" t="s">
        <v>48</v>
      </c>
      <c r="C56" s="1749">
        <v>-13054602</v>
      </c>
      <c r="D56" s="1749">
        <v>-13054602</v>
      </c>
      <c r="E56" s="1749">
        <v>-13054602</v>
      </c>
      <c r="F56" s="1749">
        <v>-13071243</v>
      </c>
      <c r="G56" s="1749">
        <v>-13071243</v>
      </c>
      <c r="H56" s="1749">
        <v>-13071243</v>
      </c>
      <c r="I56" s="1749">
        <v>-13243712</v>
      </c>
      <c r="J56" s="1749">
        <v>-13243712</v>
      </c>
      <c r="K56" s="1749">
        <v>-13243712</v>
      </c>
      <c r="L56" s="1749">
        <v>-13245676</v>
      </c>
      <c r="M56" s="1749">
        <v>-13245676</v>
      </c>
      <c r="N56" s="1749">
        <v>-13245949</v>
      </c>
      <c r="O56" s="1749">
        <v>-13366875</v>
      </c>
      <c r="P56" s="107">
        <f>AVERAGE(C56:O56)</f>
        <v>-13170219</v>
      </c>
      <c r="Q56" s="822"/>
    </row>
    <row r="57" spans="1:17">
      <c r="A57" t="s">
        <v>708</v>
      </c>
      <c r="B57" t="s">
        <v>49</v>
      </c>
      <c r="C57" s="1749">
        <v>-58396308</v>
      </c>
      <c r="D57" s="1749">
        <v>-58374220</v>
      </c>
      <c r="E57" s="1749">
        <v>-60193738</v>
      </c>
      <c r="F57" s="1749">
        <v>-60171651</v>
      </c>
      <c r="G57" s="1749">
        <v>-60149563</v>
      </c>
      <c r="H57" s="1749">
        <v>-60127475</v>
      </c>
      <c r="I57" s="1749">
        <v>-60105387</v>
      </c>
      <c r="J57" s="1749">
        <v>-61229076</v>
      </c>
      <c r="K57" s="1749">
        <v>-61206988</v>
      </c>
      <c r="L57" s="1749">
        <v>-61184900</v>
      </c>
      <c r="M57" s="1749">
        <v>-61274202</v>
      </c>
      <c r="N57" s="1749">
        <v>-61250534</v>
      </c>
      <c r="O57" s="1749">
        <v>-30245866</v>
      </c>
      <c r="P57" s="107">
        <f>AVERAGE(C57:O57)</f>
        <v>-57993069.846153848</v>
      </c>
      <c r="Q57" s="822"/>
    </row>
    <row r="58" spans="1:17">
      <c r="C58" s="1083">
        <f t="shared" ref="C58:P58" si="3">SUM(C50:C57)</f>
        <v>5050789341.5100002</v>
      </c>
      <c r="D58" s="1083">
        <f t="shared" ref="D58:O58" si="4">SUM(D50:D57)</f>
        <v>5127612336.5100002</v>
      </c>
      <c r="E58" s="1083">
        <f t="shared" si="4"/>
        <v>5147723936.5100002</v>
      </c>
      <c r="F58" s="1083">
        <f t="shared" si="4"/>
        <v>5141913484.5100002</v>
      </c>
      <c r="G58" s="1083">
        <f t="shared" si="4"/>
        <v>5420402286.5100002</v>
      </c>
      <c r="H58" s="1083">
        <f t="shared" si="4"/>
        <v>5437399052.5100002</v>
      </c>
      <c r="I58" s="1083">
        <f t="shared" si="4"/>
        <v>5417151950.5100002</v>
      </c>
      <c r="J58" s="1083">
        <f t="shared" si="4"/>
        <v>5384522421.5100002</v>
      </c>
      <c r="K58" s="1083">
        <f t="shared" si="4"/>
        <v>5348300210.5100002</v>
      </c>
      <c r="L58" s="1083">
        <f t="shared" si="4"/>
        <v>5325173314.5100002</v>
      </c>
      <c r="M58" s="1083">
        <f t="shared" si="4"/>
        <v>5316749712.5100002</v>
      </c>
      <c r="N58" s="1083">
        <f t="shared" si="4"/>
        <v>5348505040.5100002</v>
      </c>
      <c r="O58" s="1083">
        <f t="shared" si="4"/>
        <v>5563887111.5100002</v>
      </c>
      <c r="P58" s="1083">
        <f t="shared" si="3"/>
        <v>5310010015.3561535</v>
      </c>
      <c r="Q58" s="822"/>
    </row>
    <row r="59" spans="1:17">
      <c r="C59" s="107"/>
      <c r="D59" s="107"/>
      <c r="E59" s="107"/>
      <c r="F59" s="107"/>
      <c r="G59" s="107"/>
      <c r="H59" s="107"/>
      <c r="I59" s="107"/>
      <c r="J59" s="107"/>
      <c r="K59" s="107"/>
      <c r="L59" s="107"/>
      <c r="M59" s="107"/>
      <c r="N59" s="107"/>
      <c r="O59" s="107"/>
      <c r="P59" s="107"/>
      <c r="Q59" s="2"/>
    </row>
    <row r="60" spans="1:17">
      <c r="C60" s="822"/>
      <c r="D60" s="822"/>
      <c r="E60" s="822"/>
      <c r="F60" s="822"/>
      <c r="G60" s="822"/>
      <c r="H60" s="822"/>
      <c r="I60" s="822"/>
      <c r="J60" s="822"/>
      <c r="K60" s="822"/>
      <c r="L60" s="822"/>
      <c r="M60" s="822"/>
      <c r="N60" s="822"/>
      <c r="O60" s="822"/>
      <c r="P60" s="822"/>
    </row>
    <row r="61" spans="1:17">
      <c r="C61" s="822"/>
      <c r="D61" s="822"/>
      <c r="E61" s="822"/>
      <c r="F61" s="822"/>
      <c r="G61" s="822"/>
      <c r="H61" s="822"/>
      <c r="I61" s="822"/>
      <c r="J61" s="822"/>
      <c r="K61" s="822"/>
      <c r="L61" s="822"/>
      <c r="M61" s="822"/>
      <c r="N61" s="822"/>
      <c r="O61" s="822"/>
      <c r="P61" s="822"/>
    </row>
    <row r="62" spans="1:17">
      <c r="C62" s="822"/>
      <c r="D62" s="822"/>
      <c r="E62" s="822"/>
      <c r="F62" s="822"/>
      <c r="G62" s="822"/>
      <c r="H62" s="822"/>
      <c r="I62" s="822"/>
      <c r="J62" s="822"/>
      <c r="K62" s="822"/>
      <c r="L62" s="822"/>
      <c r="M62" s="822"/>
      <c r="N62" s="822"/>
      <c r="O62" s="822"/>
      <c r="P62" s="822"/>
    </row>
    <row r="63" spans="1:17">
      <c r="C63" s="822"/>
      <c r="D63" s="822"/>
      <c r="E63" s="822"/>
      <c r="F63" s="822"/>
      <c r="G63" s="822"/>
      <c r="H63" s="822"/>
      <c r="I63" s="822"/>
      <c r="J63" s="822"/>
      <c r="K63" s="822"/>
      <c r="L63" s="822"/>
      <c r="M63" s="822"/>
      <c r="N63" s="822"/>
      <c r="O63" s="822"/>
      <c r="P63" s="822"/>
    </row>
    <row r="64" spans="1:17">
      <c r="C64" s="822"/>
      <c r="D64" s="822"/>
      <c r="E64" s="822"/>
      <c r="F64" s="822"/>
      <c r="G64" s="822"/>
      <c r="H64" s="822"/>
      <c r="I64" s="822"/>
      <c r="J64" s="822"/>
      <c r="K64" s="822"/>
      <c r="L64" s="822"/>
      <c r="M64" s="822"/>
      <c r="N64" s="822"/>
      <c r="O64" s="822"/>
      <c r="P64" s="822"/>
    </row>
    <row r="65" spans="3:16">
      <c r="C65" s="822"/>
      <c r="D65" s="822"/>
      <c r="E65" s="822"/>
      <c r="F65" s="822"/>
      <c r="G65" s="822"/>
      <c r="H65" s="822"/>
      <c r="I65" s="822"/>
      <c r="J65" s="822"/>
      <c r="K65" s="822"/>
      <c r="L65" s="822"/>
      <c r="M65" s="822"/>
      <c r="N65" s="822"/>
      <c r="O65" s="822"/>
      <c r="P65" s="822"/>
    </row>
    <row r="66" spans="3:16">
      <c r="C66" s="822"/>
      <c r="D66" s="822"/>
      <c r="E66" s="822"/>
      <c r="F66" s="822"/>
      <c r="G66" s="822"/>
      <c r="H66" s="822"/>
      <c r="I66" s="822"/>
      <c r="J66" s="822"/>
      <c r="K66" s="822"/>
      <c r="L66" s="822"/>
      <c r="M66" s="822"/>
      <c r="N66" s="822"/>
      <c r="O66" s="822"/>
      <c r="P66" s="822"/>
    </row>
    <row r="67" spans="3:16">
      <c r="C67" s="822"/>
      <c r="D67" s="822"/>
      <c r="E67" s="822"/>
      <c r="F67" s="822"/>
      <c r="G67" s="822"/>
      <c r="H67" s="822"/>
      <c r="I67" s="822"/>
      <c r="J67" s="822"/>
      <c r="K67" s="822"/>
      <c r="L67" s="822"/>
      <c r="M67" s="822"/>
      <c r="N67" s="822"/>
      <c r="O67" s="822"/>
      <c r="P67" s="822"/>
    </row>
    <row r="68" spans="3:16">
      <c r="G68" s="822"/>
      <c r="I68" s="822"/>
      <c r="J68" s="822"/>
      <c r="K68" s="822"/>
      <c r="L68" s="822"/>
    </row>
    <row r="69" spans="3:16">
      <c r="G69" s="822"/>
      <c r="I69" s="822"/>
      <c r="J69" s="822"/>
      <c r="K69" s="822"/>
      <c r="O69" s="822"/>
    </row>
    <row r="70" spans="3:16">
      <c r="G70" s="822"/>
      <c r="I70" s="822"/>
      <c r="J70" s="822"/>
      <c r="K70" s="822"/>
      <c r="N70" s="822"/>
    </row>
    <row r="71" spans="3:16">
      <c r="G71" s="822"/>
      <c r="I71" s="822"/>
      <c r="J71" s="822"/>
      <c r="K71" s="822"/>
      <c r="N71" s="822"/>
      <c r="O71" s="822"/>
    </row>
    <row r="72" spans="3:16">
      <c r="G72" s="822"/>
      <c r="I72" s="822"/>
      <c r="J72" s="822"/>
      <c r="K72" s="822"/>
      <c r="N72" s="822"/>
    </row>
    <row r="73" spans="3:16">
      <c r="G73" s="822"/>
      <c r="I73" s="822"/>
      <c r="J73" s="822"/>
      <c r="K73" s="822"/>
      <c r="O73" s="822"/>
    </row>
    <row r="74" spans="3:16">
      <c r="G74" s="822"/>
      <c r="I74" s="822"/>
      <c r="J74" s="822"/>
      <c r="K74" s="822"/>
      <c r="O74" s="822"/>
    </row>
    <row r="75" spans="3:16">
      <c r="G75" s="822"/>
      <c r="I75" s="822"/>
      <c r="J75" s="822"/>
      <c r="K75" s="822"/>
    </row>
    <row r="76" spans="3:16">
      <c r="G76" s="822"/>
      <c r="I76" s="822"/>
      <c r="J76" s="822"/>
      <c r="K76" s="822"/>
    </row>
    <row r="77" spans="3:16">
      <c r="C77" s="822"/>
      <c r="D77" s="822"/>
      <c r="E77" s="822"/>
      <c r="F77" s="822"/>
      <c r="G77" s="822"/>
      <c r="H77" s="822"/>
      <c r="I77" s="822"/>
      <c r="J77" s="822"/>
      <c r="K77" s="822"/>
      <c r="L77" s="822"/>
      <c r="M77" s="822"/>
      <c r="N77" s="822"/>
      <c r="O77" s="822"/>
      <c r="P77" s="822"/>
    </row>
    <row r="78" spans="3:16">
      <c r="J78" s="822"/>
      <c r="K78" s="822"/>
    </row>
    <row r="79" spans="3:16">
      <c r="J79" s="822"/>
      <c r="K79" s="822"/>
    </row>
    <row r="80" spans="3:16">
      <c r="G80" s="822"/>
      <c r="I80" s="822"/>
      <c r="J80" s="822"/>
      <c r="K80" s="822"/>
    </row>
    <row r="81" spans="1:25">
      <c r="A81" s="821"/>
      <c r="C81" s="822"/>
      <c r="D81" s="822"/>
      <c r="E81" s="822"/>
      <c r="F81" s="822"/>
      <c r="G81" s="822"/>
      <c r="H81" s="822"/>
      <c r="I81" s="822"/>
      <c r="J81" s="822"/>
      <c r="K81" s="822"/>
      <c r="L81" s="822"/>
      <c r="M81" s="822"/>
      <c r="N81" s="822"/>
      <c r="O81" s="822"/>
      <c r="P81" s="822"/>
    </row>
    <row r="82" spans="1:25">
      <c r="A82" s="97"/>
      <c r="B82" s="97"/>
      <c r="C82" s="887"/>
      <c r="D82" s="887"/>
      <c r="E82" s="887"/>
      <c r="F82" s="887"/>
      <c r="G82" s="887"/>
      <c r="H82" s="887"/>
      <c r="I82" s="887"/>
      <c r="J82" s="887"/>
      <c r="K82" s="887"/>
      <c r="L82" s="887"/>
      <c r="M82" s="887"/>
      <c r="N82" s="887"/>
      <c r="O82" s="887"/>
      <c r="P82" s="887"/>
      <c r="Q82" s="97"/>
      <c r="R82" s="97"/>
      <c r="S82" s="97"/>
      <c r="T82" s="97"/>
      <c r="U82" s="97"/>
      <c r="V82" s="97"/>
      <c r="W82" s="97"/>
      <c r="X82" s="97"/>
      <c r="Y82" s="97"/>
    </row>
    <row r="83" spans="1:25">
      <c r="A83" s="97"/>
      <c r="B83" s="97"/>
      <c r="C83" s="887"/>
      <c r="D83" s="887"/>
      <c r="E83" s="887"/>
      <c r="F83" s="887"/>
      <c r="G83" s="887"/>
      <c r="H83" s="887"/>
      <c r="I83" s="887"/>
      <c r="J83" s="887"/>
      <c r="K83" s="887"/>
      <c r="L83" s="887"/>
      <c r="M83" s="887"/>
      <c r="N83" s="887"/>
      <c r="O83" s="887"/>
      <c r="P83" s="887"/>
      <c r="Q83" s="97"/>
      <c r="R83" s="97"/>
      <c r="S83" s="97"/>
      <c r="T83" s="97"/>
      <c r="U83" s="97"/>
      <c r="V83" s="97"/>
      <c r="W83" s="97"/>
      <c r="X83" s="97"/>
      <c r="Y83" s="97"/>
    </row>
    <row r="84" spans="1:25">
      <c r="A84" s="97"/>
      <c r="B84" s="97"/>
      <c r="C84" s="887"/>
      <c r="D84" s="887"/>
      <c r="E84" s="887"/>
      <c r="F84" s="887"/>
      <c r="G84" s="887"/>
      <c r="H84" s="887"/>
      <c r="I84" s="887"/>
      <c r="J84" s="887"/>
      <c r="K84" s="887"/>
      <c r="L84" s="887"/>
      <c r="M84" s="887"/>
      <c r="N84" s="887"/>
      <c r="O84" s="887"/>
      <c r="P84" s="887"/>
      <c r="Q84" s="97"/>
      <c r="R84" s="97"/>
      <c r="S84" s="97"/>
      <c r="T84" s="97"/>
      <c r="U84" s="97"/>
      <c r="V84" s="97"/>
      <c r="W84" s="97"/>
      <c r="X84" s="97"/>
      <c r="Y84" s="97"/>
    </row>
    <row r="85" spans="1:25">
      <c r="A85" s="97"/>
      <c r="B85" s="97"/>
      <c r="C85" s="887"/>
      <c r="D85" s="887"/>
      <c r="E85" s="887"/>
      <c r="F85" s="887"/>
      <c r="G85" s="887"/>
      <c r="H85" s="887"/>
      <c r="I85" s="887"/>
      <c r="J85" s="887"/>
      <c r="K85" s="887"/>
      <c r="L85" s="887"/>
      <c r="M85" s="887"/>
      <c r="N85" s="887"/>
      <c r="O85" s="887"/>
      <c r="P85" s="887"/>
      <c r="Q85" s="97"/>
      <c r="R85" s="97"/>
      <c r="S85" s="97"/>
      <c r="T85" s="97"/>
      <c r="U85" s="97"/>
      <c r="V85" s="97"/>
      <c r="W85" s="97"/>
      <c r="X85" s="97"/>
      <c r="Y85" s="97"/>
    </row>
    <row r="86" spans="1:25">
      <c r="A86" s="97"/>
      <c r="B86" s="97"/>
      <c r="C86" s="887"/>
      <c r="D86" s="887"/>
      <c r="E86" s="887"/>
      <c r="F86" s="887"/>
      <c r="G86" s="887"/>
      <c r="H86" s="887"/>
      <c r="I86" s="887"/>
      <c r="J86" s="887"/>
      <c r="K86" s="887"/>
      <c r="L86" s="887"/>
      <c r="M86" s="887"/>
      <c r="N86" s="887"/>
      <c r="O86" s="887"/>
      <c r="P86" s="887"/>
      <c r="Q86" s="97"/>
      <c r="R86" s="97"/>
      <c r="S86" s="97"/>
      <c r="T86" s="97"/>
      <c r="U86" s="97"/>
      <c r="V86" s="97"/>
      <c r="W86" s="97"/>
      <c r="X86" s="97"/>
      <c r="Y86" s="97"/>
    </row>
    <row r="87" spans="1:25">
      <c r="A87" s="97"/>
      <c r="B87" s="97"/>
      <c r="C87" s="887"/>
      <c r="D87" s="887"/>
      <c r="E87" s="887"/>
      <c r="F87" s="887"/>
      <c r="G87" s="887"/>
      <c r="H87" s="887"/>
      <c r="I87" s="887"/>
      <c r="J87" s="887"/>
      <c r="K87" s="887"/>
      <c r="L87" s="887"/>
      <c r="M87" s="887"/>
      <c r="N87" s="887"/>
      <c r="O87" s="887"/>
      <c r="P87" s="887"/>
      <c r="Q87" s="97"/>
      <c r="R87" s="97"/>
      <c r="S87" s="97"/>
      <c r="T87" s="97"/>
      <c r="U87" s="97"/>
      <c r="V87" s="97"/>
      <c r="W87" s="97"/>
      <c r="X87" s="97"/>
      <c r="Y87" s="97"/>
    </row>
    <row r="88" spans="1:25">
      <c r="A88" s="97"/>
      <c r="B88" s="97"/>
      <c r="C88" s="887"/>
      <c r="D88" s="887"/>
      <c r="E88" s="887"/>
      <c r="F88" s="887"/>
      <c r="G88" s="887"/>
      <c r="H88" s="887"/>
      <c r="I88" s="887"/>
      <c r="J88" s="887"/>
      <c r="K88" s="887"/>
      <c r="L88" s="887"/>
      <c r="M88" s="887"/>
      <c r="N88" s="887"/>
      <c r="O88" s="887"/>
      <c r="P88" s="887"/>
      <c r="Q88" s="97"/>
      <c r="R88" s="97"/>
      <c r="S88" s="97"/>
      <c r="T88" s="97"/>
      <c r="U88" s="97"/>
      <c r="V88" s="97"/>
      <c r="W88" s="97"/>
      <c r="X88" s="97"/>
      <c r="Y88" s="97"/>
    </row>
    <row r="89" spans="1:25">
      <c r="A89" s="97"/>
      <c r="B89" s="97"/>
      <c r="C89" s="887"/>
      <c r="D89" s="887"/>
      <c r="E89" s="887"/>
      <c r="F89" s="887"/>
      <c r="G89" s="887"/>
      <c r="H89" s="887"/>
      <c r="I89" s="887"/>
      <c r="J89" s="887"/>
      <c r="K89" s="887"/>
      <c r="L89" s="887"/>
      <c r="M89" s="887"/>
      <c r="N89" s="887"/>
      <c r="O89" s="887"/>
      <c r="P89" s="887"/>
      <c r="Q89" s="97"/>
      <c r="R89" s="97"/>
      <c r="S89" s="97"/>
      <c r="T89" s="97"/>
      <c r="U89" s="97"/>
      <c r="V89" s="97"/>
      <c r="W89" s="97"/>
      <c r="X89" s="97"/>
      <c r="Y89" s="97"/>
    </row>
    <row r="90" spans="1:25">
      <c r="A90" s="97"/>
      <c r="B90" s="97"/>
      <c r="C90" s="887"/>
      <c r="D90" s="887"/>
      <c r="E90" s="887"/>
      <c r="F90" s="887"/>
      <c r="G90" s="887"/>
      <c r="H90" s="887"/>
      <c r="I90" s="887"/>
      <c r="J90" s="887"/>
      <c r="K90" s="887"/>
      <c r="L90" s="887"/>
      <c r="M90" s="887"/>
      <c r="N90" s="887"/>
      <c r="O90" s="887"/>
      <c r="P90" s="887"/>
      <c r="Q90" s="97"/>
      <c r="R90" s="97"/>
      <c r="S90" s="97"/>
      <c r="T90" s="97"/>
      <c r="U90" s="97"/>
      <c r="V90" s="97"/>
      <c r="W90" s="97"/>
      <c r="X90" s="97"/>
      <c r="Y90" s="97"/>
    </row>
    <row r="91" spans="1:25">
      <c r="A91" s="97"/>
      <c r="B91" s="97"/>
      <c r="C91" s="887"/>
      <c r="D91" s="887"/>
      <c r="E91" s="887"/>
      <c r="F91" s="887"/>
      <c r="G91" s="887"/>
      <c r="H91" s="887"/>
      <c r="I91" s="887"/>
      <c r="J91" s="887"/>
      <c r="K91" s="887"/>
      <c r="L91" s="887"/>
      <c r="M91" s="887"/>
      <c r="N91" s="887"/>
      <c r="O91" s="887"/>
      <c r="P91" s="887"/>
      <c r="Q91" s="97"/>
      <c r="R91" s="97"/>
      <c r="S91" s="97"/>
      <c r="T91" s="97"/>
      <c r="U91" s="97"/>
      <c r="V91" s="97"/>
      <c r="W91" s="97"/>
      <c r="X91" s="97"/>
      <c r="Y91" s="97"/>
    </row>
    <row r="92" spans="1:25">
      <c r="A92" s="97"/>
      <c r="B92" s="97"/>
      <c r="C92" s="887"/>
      <c r="D92" s="887"/>
      <c r="E92" s="887"/>
      <c r="F92" s="887"/>
      <c r="G92" s="887"/>
      <c r="H92" s="887"/>
      <c r="I92" s="887"/>
      <c r="J92" s="887"/>
      <c r="K92" s="887"/>
      <c r="L92" s="887"/>
      <c r="M92" s="887"/>
      <c r="N92" s="887"/>
      <c r="O92" s="887"/>
      <c r="P92" s="887"/>
      <c r="Q92" s="97"/>
      <c r="R92" s="97"/>
      <c r="S92" s="97"/>
      <c r="T92" s="97"/>
      <c r="U92" s="97"/>
      <c r="V92" s="97"/>
      <c r="W92" s="97"/>
      <c r="X92" s="97"/>
      <c r="Y92" s="97"/>
    </row>
    <row r="93" spans="1:25">
      <c r="A93" s="97"/>
      <c r="B93" s="97"/>
      <c r="C93" s="887"/>
      <c r="D93" s="887"/>
      <c r="E93" s="887"/>
      <c r="F93" s="887"/>
      <c r="G93" s="887"/>
      <c r="H93" s="887"/>
      <c r="I93" s="887"/>
      <c r="J93" s="887"/>
      <c r="K93" s="887"/>
      <c r="L93" s="887"/>
      <c r="M93" s="887"/>
      <c r="N93" s="887"/>
      <c r="O93" s="887"/>
      <c r="P93" s="887"/>
      <c r="Q93" s="97"/>
      <c r="R93" s="97"/>
      <c r="S93" s="97"/>
      <c r="T93" s="97"/>
      <c r="U93" s="97"/>
      <c r="V93" s="97"/>
      <c r="W93" s="97"/>
      <c r="X93" s="97"/>
      <c r="Y93" s="97"/>
    </row>
    <row r="94" spans="1:25">
      <c r="A94" s="97"/>
      <c r="B94" s="97"/>
      <c r="C94" s="887"/>
      <c r="D94" s="887"/>
      <c r="E94" s="887"/>
      <c r="F94" s="887"/>
      <c r="G94" s="887"/>
      <c r="H94" s="887"/>
      <c r="I94" s="887"/>
      <c r="J94" s="887"/>
      <c r="K94" s="887"/>
      <c r="L94" s="887"/>
      <c r="M94" s="887"/>
      <c r="N94" s="887"/>
      <c r="O94" s="887"/>
      <c r="P94" s="887"/>
      <c r="Q94" s="97"/>
      <c r="R94" s="97"/>
      <c r="S94" s="97"/>
      <c r="T94" s="97"/>
      <c r="U94" s="97"/>
      <c r="V94" s="97"/>
      <c r="W94" s="97"/>
      <c r="X94" s="97"/>
      <c r="Y94" s="97"/>
    </row>
    <row r="95" spans="1:25">
      <c r="A95" s="97"/>
      <c r="B95" s="97"/>
      <c r="C95" s="887"/>
      <c r="D95" s="887"/>
      <c r="E95" s="887"/>
      <c r="F95" s="887"/>
      <c r="G95" s="887"/>
      <c r="H95" s="887"/>
      <c r="I95" s="887"/>
      <c r="J95" s="887"/>
      <c r="K95" s="887"/>
      <c r="L95" s="887"/>
      <c r="M95" s="887"/>
      <c r="N95" s="887"/>
      <c r="O95" s="887"/>
      <c r="P95" s="887"/>
      <c r="Q95" s="97"/>
      <c r="R95" s="97"/>
      <c r="S95" s="97"/>
      <c r="T95" s="97"/>
      <c r="U95" s="97"/>
      <c r="V95" s="97"/>
      <c r="W95" s="97"/>
      <c r="X95" s="97"/>
      <c r="Y95" s="97"/>
    </row>
    <row r="96" spans="1:25">
      <c r="A96" s="97"/>
      <c r="B96" s="97"/>
      <c r="C96" s="887"/>
      <c r="D96" s="887"/>
      <c r="E96" s="887"/>
      <c r="F96" s="887"/>
      <c r="G96" s="887"/>
      <c r="H96" s="887"/>
      <c r="I96" s="887"/>
      <c r="J96" s="887"/>
      <c r="K96" s="887"/>
      <c r="L96" s="887"/>
      <c r="M96" s="887"/>
      <c r="N96" s="887"/>
      <c r="O96" s="887"/>
      <c r="P96" s="887"/>
      <c r="Q96" s="97"/>
      <c r="R96" s="97"/>
      <c r="S96" s="97"/>
      <c r="T96" s="97"/>
      <c r="U96" s="97"/>
      <c r="V96" s="97"/>
      <c r="W96" s="97"/>
      <c r="X96" s="97"/>
      <c r="Y96" s="97"/>
    </row>
    <row r="97" spans="1:25">
      <c r="A97" s="97"/>
      <c r="B97" s="97"/>
      <c r="C97" s="887"/>
      <c r="D97" s="887"/>
      <c r="E97" s="887"/>
      <c r="F97" s="887"/>
      <c r="G97" s="887"/>
      <c r="H97" s="887"/>
      <c r="I97" s="887"/>
      <c r="J97" s="887"/>
      <c r="K97" s="887"/>
      <c r="L97" s="887"/>
      <c r="M97" s="887"/>
      <c r="N97" s="887"/>
      <c r="O97" s="887"/>
      <c r="P97" s="887"/>
      <c r="Q97" s="97"/>
      <c r="R97" s="97"/>
      <c r="S97" s="97"/>
      <c r="T97" s="97"/>
      <c r="U97" s="97"/>
      <c r="V97" s="97"/>
      <c r="W97" s="97"/>
      <c r="X97" s="97"/>
      <c r="Y97" s="97"/>
    </row>
    <row r="98" spans="1:25">
      <c r="A98" s="97"/>
      <c r="B98" s="97"/>
      <c r="C98" s="887"/>
      <c r="D98" s="887"/>
      <c r="E98" s="887"/>
      <c r="F98" s="887"/>
      <c r="G98" s="887"/>
      <c r="H98" s="887"/>
      <c r="I98" s="887"/>
      <c r="J98" s="887"/>
      <c r="K98" s="887"/>
      <c r="L98" s="887"/>
      <c r="M98" s="887"/>
      <c r="N98" s="887"/>
      <c r="O98" s="887"/>
      <c r="P98" s="887"/>
      <c r="Q98" s="97"/>
      <c r="R98" s="97"/>
      <c r="S98" s="97"/>
      <c r="T98" s="97"/>
      <c r="U98" s="97"/>
      <c r="V98" s="97"/>
      <c r="W98" s="97"/>
      <c r="X98" s="97"/>
      <c r="Y98" s="97"/>
    </row>
    <row r="99" spans="1:25">
      <c r="A99" s="97"/>
      <c r="B99" s="97"/>
      <c r="C99" s="887"/>
      <c r="D99" s="887"/>
      <c r="E99" s="887"/>
      <c r="F99" s="887"/>
      <c r="G99" s="887"/>
      <c r="H99" s="887"/>
      <c r="I99" s="887"/>
      <c r="J99" s="887"/>
      <c r="K99" s="887"/>
      <c r="L99" s="887"/>
      <c r="M99" s="887"/>
      <c r="N99" s="887"/>
      <c r="O99" s="887"/>
      <c r="P99" s="887"/>
      <c r="Q99" s="97"/>
      <c r="R99" s="97"/>
      <c r="S99" s="97"/>
      <c r="T99" s="97"/>
      <c r="U99" s="97"/>
      <c r="V99" s="97"/>
      <c r="W99" s="97"/>
      <c r="X99" s="97"/>
      <c r="Y99" s="97"/>
    </row>
    <row r="100" spans="1: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row>
    <row r="101" spans="1: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row>
    <row r="103" spans="1:25" ht="15.75">
      <c r="A103" s="97"/>
      <c r="B103" s="97"/>
      <c r="C103" s="372"/>
      <c r="D103" s="654"/>
      <c r="E103" s="654"/>
      <c r="F103" s="654"/>
      <c r="G103" s="897"/>
      <c r="H103" s="654"/>
      <c r="I103" s="653"/>
      <c r="J103" s="652"/>
      <c r="K103" s="652"/>
      <c r="L103" s="652"/>
      <c r="M103" s="830"/>
      <c r="N103" s="97"/>
      <c r="O103" s="97"/>
      <c r="P103" s="97"/>
      <c r="Q103" s="97"/>
      <c r="R103" s="97"/>
      <c r="S103" s="97"/>
      <c r="T103" s="97"/>
      <c r="U103" s="97"/>
      <c r="V103" s="97"/>
      <c r="W103" s="97"/>
      <c r="X103" s="97"/>
      <c r="Y103" s="97"/>
    </row>
    <row r="104" spans="1:25" ht="15.75">
      <c r="A104" s="97"/>
      <c r="B104" s="97"/>
      <c r="C104" s="373"/>
      <c r="D104" s="23"/>
      <c r="E104" s="69"/>
      <c r="F104" s="69"/>
      <c r="G104" s="898"/>
      <c r="H104" s="650"/>
      <c r="I104" s="343"/>
      <c r="J104" s="342"/>
      <c r="K104" s="667"/>
      <c r="L104" s="88"/>
      <c r="M104" s="88"/>
      <c r="N104" s="97"/>
      <c r="O104" s="97"/>
      <c r="P104" s="97"/>
      <c r="Q104" s="97"/>
      <c r="R104" s="97"/>
      <c r="S104" s="97"/>
      <c r="T104" s="97"/>
      <c r="U104" s="97"/>
      <c r="V104" s="97"/>
      <c r="W104" s="97"/>
      <c r="X104" s="97"/>
      <c r="Y104" s="97"/>
    </row>
    <row r="105" spans="1:25" ht="15.75">
      <c r="A105" s="887"/>
      <c r="B105" s="97"/>
      <c r="C105" s="427"/>
      <c r="D105" s="100"/>
      <c r="E105" s="831"/>
      <c r="F105" s="672"/>
      <c r="G105" s="898"/>
      <c r="H105" s="393"/>
      <c r="I105" s="328"/>
      <c r="J105" s="393"/>
      <c r="K105" s="25"/>
      <c r="L105" s="328"/>
      <c r="M105" s="88"/>
      <c r="N105" s="97"/>
      <c r="O105" s="97"/>
      <c r="P105" s="97"/>
      <c r="Q105" s="97"/>
      <c r="R105" s="97"/>
      <c r="S105" s="97"/>
      <c r="T105" s="97"/>
      <c r="U105" s="97"/>
      <c r="V105" s="97"/>
      <c r="W105" s="97"/>
      <c r="X105" s="97"/>
      <c r="Y105" s="97"/>
    </row>
    <row r="106" spans="1:25" ht="15.75">
      <c r="A106" s="887"/>
      <c r="B106" s="97"/>
      <c r="C106" s="411"/>
      <c r="D106" s="710"/>
      <c r="E106" s="710"/>
      <c r="F106" s="710"/>
      <c r="G106" s="651"/>
      <c r="H106" s="710"/>
      <c r="I106" s="710"/>
      <c r="J106" s="710"/>
      <c r="K106" s="710"/>
      <c r="L106" s="710"/>
      <c r="M106" s="727"/>
      <c r="N106" s="97"/>
      <c r="O106" s="97"/>
      <c r="P106" s="97"/>
      <c r="Q106" s="97"/>
      <c r="R106" s="97"/>
      <c r="S106" s="97"/>
      <c r="T106" s="97"/>
      <c r="U106" s="97"/>
      <c r="V106" s="97"/>
      <c r="W106" s="97"/>
      <c r="X106" s="97"/>
      <c r="Y106" s="97"/>
    </row>
    <row r="107" spans="1:25" ht="15.75">
      <c r="A107" s="887"/>
      <c r="B107" s="97"/>
      <c r="C107" s="411"/>
      <c r="D107" s="899"/>
      <c r="E107" s="710"/>
      <c r="F107" s="710"/>
      <c r="G107" s="651"/>
      <c r="H107" s="710"/>
      <c r="I107" s="710"/>
      <c r="J107" s="710"/>
      <c r="K107" s="710"/>
      <c r="L107" s="710"/>
      <c r="M107" s="727"/>
      <c r="N107" s="97"/>
      <c r="O107" s="97"/>
      <c r="P107" s="97"/>
      <c r="Q107" s="97"/>
      <c r="R107" s="97"/>
      <c r="S107" s="97"/>
      <c r="T107" s="97"/>
      <c r="U107" s="97"/>
      <c r="V107" s="97"/>
      <c r="W107" s="97"/>
      <c r="X107" s="97"/>
      <c r="Y107" s="97"/>
    </row>
    <row r="108" spans="1:25" ht="15.75">
      <c r="A108" s="887"/>
      <c r="B108" s="97"/>
      <c r="C108" s="411"/>
      <c r="D108" s="900"/>
      <c r="E108" s="710"/>
      <c r="F108" s="710"/>
      <c r="G108" s="651"/>
      <c r="H108" s="710"/>
      <c r="I108" s="710"/>
      <c r="J108" s="710"/>
      <c r="K108" s="710"/>
      <c r="L108" s="710"/>
      <c r="M108" s="727"/>
      <c r="N108" s="97"/>
      <c r="O108" s="97"/>
      <c r="P108" s="97"/>
      <c r="Q108" s="97"/>
      <c r="R108" s="97"/>
      <c r="S108" s="97"/>
      <c r="T108" s="97"/>
      <c r="U108" s="97"/>
      <c r="V108" s="97"/>
      <c r="W108" s="97"/>
      <c r="X108" s="97"/>
      <c r="Y108" s="97"/>
    </row>
    <row r="109" spans="1:25" ht="15.75">
      <c r="A109" s="887"/>
      <c r="B109" s="97"/>
      <c r="C109" s="411"/>
      <c r="D109" s="899"/>
      <c r="E109" s="710"/>
      <c r="F109" s="710"/>
      <c r="G109" s="651"/>
      <c r="H109" s="710"/>
      <c r="I109" s="710"/>
      <c r="J109" s="710"/>
      <c r="K109" s="710"/>
      <c r="L109" s="710"/>
      <c r="M109" s="727"/>
      <c r="N109" s="97"/>
      <c r="O109" s="97"/>
      <c r="P109" s="97"/>
      <c r="Q109" s="97"/>
      <c r="R109" s="97"/>
      <c r="S109" s="97"/>
      <c r="T109" s="97"/>
      <c r="U109" s="97"/>
      <c r="V109" s="97"/>
      <c r="W109" s="97"/>
      <c r="X109" s="97"/>
      <c r="Y109" s="97"/>
    </row>
    <row r="110" spans="1:25" ht="15.75">
      <c r="A110" s="887"/>
      <c r="B110" s="97"/>
      <c r="C110" s="411"/>
      <c r="D110" s="899"/>
      <c r="E110" s="710"/>
      <c r="F110" s="710"/>
      <c r="G110" s="651"/>
      <c r="H110" s="710"/>
      <c r="I110" s="710"/>
      <c r="J110" s="710"/>
      <c r="K110" s="710"/>
      <c r="L110" s="710"/>
      <c r="M110" s="727"/>
      <c r="N110" s="97"/>
      <c r="O110" s="97"/>
      <c r="P110" s="97"/>
      <c r="Q110" s="97"/>
      <c r="R110" s="97"/>
      <c r="S110" s="97"/>
      <c r="T110" s="97"/>
      <c r="U110" s="97"/>
      <c r="V110" s="97"/>
      <c r="W110" s="97"/>
      <c r="X110" s="97"/>
      <c r="Y110" s="97"/>
    </row>
    <row r="111" spans="1:25" ht="15.75">
      <c r="A111" s="887"/>
      <c r="B111" s="97"/>
      <c r="C111" s="411"/>
      <c r="D111" s="899"/>
      <c r="E111" s="710"/>
      <c r="F111" s="710"/>
      <c r="G111" s="651"/>
      <c r="H111" s="710"/>
      <c r="I111" s="710"/>
      <c r="J111" s="710"/>
      <c r="K111" s="710"/>
      <c r="L111" s="710"/>
      <c r="M111" s="727"/>
      <c r="N111" s="97"/>
      <c r="O111" s="97"/>
      <c r="P111" s="97"/>
      <c r="Q111" s="97"/>
      <c r="R111" s="97"/>
      <c r="S111" s="97"/>
      <c r="T111" s="97"/>
      <c r="U111" s="97"/>
      <c r="V111" s="97"/>
      <c r="W111" s="97"/>
      <c r="X111" s="97"/>
      <c r="Y111" s="97"/>
    </row>
    <row r="112" spans="1:25" ht="15.75">
      <c r="A112" s="887"/>
      <c r="B112" s="97"/>
      <c r="C112" s="411"/>
      <c r="D112" s="710"/>
      <c r="E112" s="710"/>
      <c r="F112" s="710"/>
      <c r="G112" s="651"/>
      <c r="H112" s="710"/>
      <c r="I112" s="710"/>
      <c r="J112" s="710"/>
      <c r="K112" s="710"/>
      <c r="L112" s="710"/>
      <c r="M112" s="727"/>
      <c r="N112" s="97"/>
      <c r="O112" s="97"/>
      <c r="P112" s="97"/>
      <c r="Q112" s="97"/>
      <c r="R112" s="97"/>
      <c r="S112" s="97"/>
      <c r="T112" s="97"/>
      <c r="U112" s="97"/>
      <c r="V112" s="97"/>
      <c r="W112" s="97"/>
      <c r="X112" s="97"/>
      <c r="Y112" s="97"/>
    </row>
    <row r="113" spans="1:25" ht="15.75">
      <c r="A113" s="887"/>
      <c r="B113" s="97"/>
      <c r="C113" s="411"/>
      <c r="D113" s="710"/>
      <c r="E113" s="710"/>
      <c r="F113" s="710"/>
      <c r="G113" s="651"/>
      <c r="H113" s="710"/>
      <c r="I113" s="710"/>
      <c r="J113" s="710"/>
      <c r="K113" s="710"/>
      <c r="L113" s="710"/>
      <c r="M113" s="727"/>
      <c r="N113" s="97"/>
      <c r="O113" s="97"/>
      <c r="P113" s="97"/>
      <c r="Q113" s="97"/>
      <c r="R113" s="97"/>
      <c r="S113" s="97"/>
      <c r="T113" s="97"/>
      <c r="U113" s="97"/>
      <c r="V113" s="97"/>
      <c r="W113" s="97"/>
      <c r="X113" s="97"/>
      <c r="Y113" s="97"/>
    </row>
    <row r="114" spans="1:25" ht="15.75">
      <c r="A114" s="887"/>
      <c r="B114" s="97"/>
      <c r="C114" s="411"/>
      <c r="D114" s="900"/>
      <c r="E114" s="710"/>
      <c r="F114" s="710"/>
      <c r="G114" s="651"/>
      <c r="H114" s="710"/>
      <c r="I114" s="710"/>
      <c r="J114" s="710"/>
      <c r="K114" s="710"/>
      <c r="L114" s="710"/>
      <c r="M114" s="727"/>
      <c r="N114" s="97"/>
      <c r="O114" s="97"/>
      <c r="P114" s="97"/>
      <c r="Q114" s="97"/>
      <c r="R114" s="97"/>
      <c r="S114" s="97"/>
      <c r="T114" s="97"/>
      <c r="U114" s="97"/>
      <c r="V114" s="97"/>
      <c r="W114" s="97"/>
      <c r="X114" s="97"/>
      <c r="Y114" s="97"/>
    </row>
    <row r="115" spans="1:25" ht="15.75">
      <c r="A115" s="887"/>
      <c r="B115" s="97"/>
      <c r="C115" s="411"/>
      <c r="D115" s="710"/>
      <c r="E115" s="710"/>
      <c r="F115" s="710"/>
      <c r="G115" s="651"/>
      <c r="H115" s="710"/>
      <c r="I115" s="710"/>
      <c r="J115" s="710"/>
      <c r="K115" s="710"/>
      <c r="L115" s="710"/>
      <c r="M115" s="727"/>
      <c r="N115" s="97"/>
      <c r="O115" s="97"/>
      <c r="P115" s="97"/>
      <c r="Q115" s="97"/>
      <c r="R115" s="97"/>
      <c r="S115" s="97"/>
      <c r="T115" s="97"/>
      <c r="U115" s="97"/>
      <c r="V115" s="97"/>
      <c r="W115" s="97"/>
      <c r="X115" s="97"/>
      <c r="Y115" s="97"/>
    </row>
    <row r="116" spans="1:25" ht="15.75">
      <c r="A116" s="887"/>
      <c r="B116" s="97"/>
      <c r="C116" s="411"/>
      <c r="D116" s="710"/>
      <c r="E116" s="710"/>
      <c r="F116" s="710"/>
      <c r="G116" s="651"/>
      <c r="H116" s="710"/>
      <c r="I116" s="710"/>
      <c r="J116" s="710"/>
      <c r="K116" s="710"/>
      <c r="L116" s="710"/>
      <c r="M116" s="727"/>
      <c r="N116" s="97"/>
      <c r="O116" s="97"/>
      <c r="P116" s="97"/>
      <c r="Q116" s="97"/>
      <c r="R116" s="97"/>
      <c r="S116" s="97"/>
      <c r="T116" s="97"/>
      <c r="U116" s="97"/>
      <c r="V116" s="97"/>
      <c r="W116" s="97"/>
      <c r="X116" s="97"/>
      <c r="Y116" s="97"/>
    </row>
    <row r="117" spans="1:25" ht="15.75">
      <c r="A117" s="887"/>
      <c r="B117" s="97"/>
      <c r="C117" s="411"/>
      <c r="D117" s="832"/>
      <c r="E117" s="832"/>
      <c r="F117" s="832"/>
      <c r="G117" s="651"/>
      <c r="H117" s="832"/>
      <c r="I117" s="832"/>
      <c r="J117" s="832"/>
      <c r="K117" s="832"/>
      <c r="L117" s="832"/>
      <c r="M117" s="727"/>
      <c r="N117" s="97"/>
      <c r="O117" s="97"/>
      <c r="P117" s="97"/>
      <c r="Q117" s="97"/>
      <c r="R117" s="97"/>
      <c r="S117" s="97"/>
      <c r="T117" s="97"/>
      <c r="U117" s="97"/>
      <c r="V117" s="97"/>
      <c r="W117" s="97"/>
      <c r="X117" s="97"/>
      <c r="Y117" s="97"/>
    </row>
    <row r="118" spans="1:25" ht="15.75">
      <c r="A118" s="97"/>
      <c r="B118" s="97"/>
      <c r="C118" s="411"/>
      <c r="D118" s="901"/>
      <c r="E118" s="726"/>
      <c r="F118" s="726"/>
      <c r="G118" s="726"/>
      <c r="H118" s="655"/>
      <c r="I118" s="651"/>
      <c r="J118" s="656"/>
      <c r="K118" s="727"/>
      <c r="L118" s="727"/>
      <c r="M118" s="727"/>
      <c r="N118" s="97"/>
      <c r="O118" s="97"/>
      <c r="P118" s="97"/>
      <c r="Q118" s="97"/>
      <c r="R118" s="97"/>
      <c r="S118" s="97"/>
      <c r="T118" s="97"/>
      <c r="U118" s="97"/>
      <c r="V118" s="97"/>
      <c r="W118" s="97"/>
      <c r="X118" s="97"/>
      <c r="Y118" s="97"/>
    </row>
    <row r="119" spans="1:25" ht="15.75">
      <c r="A119" s="726"/>
      <c r="B119" s="97"/>
      <c r="C119" s="411"/>
      <c r="D119" s="726"/>
      <c r="E119" s="726"/>
      <c r="F119" s="726"/>
      <c r="G119" s="726"/>
      <c r="H119" s="726"/>
      <c r="I119" s="726"/>
      <c r="J119" s="726"/>
      <c r="K119" s="726"/>
      <c r="L119" s="726"/>
      <c r="M119" s="726"/>
      <c r="N119" s="97"/>
      <c r="O119" s="97"/>
      <c r="P119" s="97"/>
      <c r="Q119" s="97"/>
      <c r="R119" s="97"/>
      <c r="S119" s="97"/>
      <c r="T119" s="97"/>
      <c r="U119" s="97"/>
      <c r="V119" s="97"/>
      <c r="W119" s="97"/>
      <c r="X119" s="97"/>
      <c r="Y119" s="97"/>
    </row>
    <row r="120" spans="1:25">
      <c r="A120" s="726"/>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row>
    <row r="121" spans="1: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row>
    <row r="122" spans="1: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row>
    <row r="123" spans="1: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row>
    <row r="124" spans="1: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row>
  </sheetData>
  <phoneticPr fontId="73" type="noConversion"/>
  <pageMargins left="0.25" right="0.25" top="0.5" bottom="0.5" header="0.25" footer="0.25"/>
  <pageSetup paperSize="5" scale="6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election activeCell="H18" sqref="H18"/>
    </sheetView>
  </sheetViews>
  <sheetFormatPr defaultColWidth="8.7109375" defaultRowHeight="12.75"/>
  <cols>
    <col min="1" max="1" width="5.28515625" style="1900" customWidth="1"/>
    <col min="2" max="2" width="33.85546875" style="1900" customWidth="1"/>
    <col min="3" max="3" width="11.28515625" style="1900" customWidth="1"/>
    <col min="4" max="4" width="16" style="1900" customWidth="1"/>
    <col min="5" max="5" width="16.42578125" style="1900" customWidth="1"/>
    <col min="6" max="6" width="19" style="1900" customWidth="1"/>
    <col min="7" max="11" width="15.7109375" style="1900" customWidth="1"/>
    <col min="12" max="12" width="16.7109375" style="1900" customWidth="1"/>
    <col min="13" max="16384" width="8.7109375" style="1900"/>
  </cols>
  <sheetData>
    <row r="1" spans="1:14" ht="18.75">
      <c r="A1" s="1898" t="s">
        <v>1252</v>
      </c>
      <c r="B1" s="1857"/>
      <c r="C1" s="1899"/>
      <c r="D1" s="1899"/>
      <c r="E1" s="1899"/>
      <c r="F1" s="1899"/>
      <c r="G1" s="1899"/>
      <c r="H1" s="1899"/>
      <c r="I1" s="1899"/>
    </row>
    <row r="2" spans="1:14" ht="15.75">
      <c r="A2" s="1901"/>
      <c r="B2" s="1899"/>
      <c r="C2" s="1899"/>
      <c r="D2" s="1899"/>
      <c r="E2" s="1899"/>
      <c r="F2" s="1899"/>
      <c r="G2" s="1899"/>
      <c r="H2" s="1899"/>
      <c r="I2" s="1899"/>
    </row>
    <row r="3" spans="1:14" ht="31.5" customHeight="1">
      <c r="A3" s="2032" t="s">
        <v>1288</v>
      </c>
      <c r="B3" s="2032"/>
      <c r="C3" s="2032"/>
      <c r="D3" s="2032"/>
      <c r="E3" s="2032"/>
      <c r="F3" s="2032"/>
      <c r="G3" s="2032"/>
      <c r="H3" s="2032"/>
      <c r="I3" s="2032"/>
      <c r="J3" s="2032"/>
      <c r="K3" s="2032"/>
      <c r="L3" s="2032"/>
    </row>
    <row r="4" spans="1:14">
      <c r="A4" s="1902"/>
      <c r="B4" s="1903"/>
      <c r="C4" s="1903"/>
      <c r="D4" s="1903"/>
      <c r="E4" s="1903"/>
      <c r="F4" s="1903"/>
      <c r="G4" s="1903"/>
      <c r="H4" s="1903"/>
      <c r="I4" s="1903"/>
      <c r="J4" s="1903"/>
      <c r="K4" s="1903"/>
    </row>
    <row r="5" spans="1:14" ht="14.65" customHeight="1">
      <c r="A5" s="1904" t="s">
        <v>1302</v>
      </c>
      <c r="B5" s="1903"/>
      <c r="C5" s="1903"/>
      <c r="D5" s="1903"/>
      <c r="E5" s="1903"/>
      <c r="F5" s="1903"/>
      <c r="G5" s="1903"/>
      <c r="H5" s="1903"/>
      <c r="I5" s="1903"/>
      <c r="J5" s="1903"/>
      <c r="K5" s="1903"/>
    </row>
    <row r="6" spans="1:14" ht="34.5" customHeight="1">
      <c r="A6" s="2032" t="s">
        <v>1303</v>
      </c>
      <c r="B6" s="2032"/>
      <c r="C6" s="2032"/>
      <c r="D6" s="2032"/>
      <c r="E6" s="2032"/>
      <c r="F6" s="2032"/>
      <c r="G6" s="2032"/>
      <c r="H6" s="2032"/>
      <c r="I6" s="2032"/>
      <c r="J6" s="2032"/>
      <c r="K6" s="2032"/>
      <c r="L6" s="2032"/>
    </row>
    <row r="7" spans="1:14">
      <c r="A7" s="1902"/>
      <c r="B7" s="1945"/>
      <c r="C7" s="1945"/>
      <c r="D7" s="1945"/>
      <c r="E7" s="1945"/>
      <c r="F7" s="1899"/>
      <c r="G7" s="1945"/>
      <c r="H7" s="1945"/>
      <c r="I7" s="1945"/>
      <c r="J7" s="1945"/>
      <c r="K7" s="1945"/>
      <c r="L7" s="1945"/>
      <c r="M7" s="1899"/>
      <c r="N7" s="1899"/>
    </row>
    <row r="8" spans="1:14">
      <c r="A8" s="1902"/>
      <c r="B8" s="1905" t="s">
        <v>263</v>
      </c>
      <c r="C8" s="1905" t="s">
        <v>264</v>
      </c>
      <c r="D8" s="1906" t="s">
        <v>356</v>
      </c>
      <c r="E8" s="1906" t="s">
        <v>265</v>
      </c>
      <c r="F8" s="1906" t="s">
        <v>266</v>
      </c>
      <c r="G8" s="1906" t="s">
        <v>262</v>
      </c>
      <c r="H8" s="1906" t="s">
        <v>355</v>
      </c>
      <c r="I8" s="1906" t="s">
        <v>569</v>
      </c>
      <c r="J8" s="1906" t="s">
        <v>570</v>
      </c>
      <c r="K8" s="1906" t="s">
        <v>962</v>
      </c>
      <c r="L8" s="1906" t="s">
        <v>963</v>
      </c>
      <c r="M8" s="1903"/>
    </row>
    <row r="9" spans="1:14" ht="63.75">
      <c r="A9" s="1907"/>
      <c r="B9" s="1908" t="s">
        <v>1253</v>
      </c>
      <c r="C9" s="1909" t="s">
        <v>1304</v>
      </c>
      <c r="D9" s="1910" t="s">
        <v>1305</v>
      </c>
      <c r="E9" s="1909" t="s">
        <v>1306</v>
      </c>
      <c r="F9" s="1909" t="s">
        <v>1254</v>
      </c>
      <c r="G9" s="1909" t="s">
        <v>1289</v>
      </c>
      <c r="H9" s="1909" t="s">
        <v>1290</v>
      </c>
      <c r="I9" s="1910" t="s">
        <v>1291</v>
      </c>
      <c r="J9" s="1870" t="s">
        <v>1342</v>
      </c>
      <c r="K9" s="1870" t="s">
        <v>1343</v>
      </c>
      <c r="L9" s="1870" t="s">
        <v>1344</v>
      </c>
    </row>
    <row r="10" spans="1:14">
      <c r="A10" s="1911"/>
      <c r="B10" s="1899"/>
      <c r="C10" s="1899"/>
      <c r="D10" s="1899"/>
      <c r="E10" s="1899"/>
      <c r="F10" s="1899"/>
      <c r="G10" s="1912"/>
      <c r="H10" s="1912"/>
      <c r="I10" s="1913"/>
      <c r="J10"/>
      <c r="K10"/>
      <c r="L10"/>
    </row>
    <row r="11" spans="1:14">
      <c r="A11" s="1911">
        <v>1</v>
      </c>
      <c r="B11" s="1899" t="s">
        <v>1249</v>
      </c>
      <c r="C11" s="1911">
        <v>282</v>
      </c>
      <c r="D11" s="1911">
        <v>254</v>
      </c>
      <c r="E11" s="1911">
        <v>411.1</v>
      </c>
      <c r="F11" s="1914" t="s">
        <v>1264</v>
      </c>
      <c r="G11" s="1915">
        <v>-1351358581.5130451</v>
      </c>
      <c r="H11" s="1915">
        <v>-808671362.47831202</v>
      </c>
      <c r="I11" s="1916">
        <v>-542687219.03473306</v>
      </c>
      <c r="J11" s="1917">
        <v>-401203211.81343615</v>
      </c>
      <c r="K11" s="1917">
        <v>22068250.916707218</v>
      </c>
      <c r="L11" s="445">
        <v>-100782711.12444693</v>
      </c>
    </row>
    <row r="12" spans="1:14">
      <c r="A12" s="1911">
        <v>2</v>
      </c>
      <c r="B12" s="1899" t="s">
        <v>1250</v>
      </c>
      <c r="C12" s="1911">
        <v>282</v>
      </c>
      <c r="D12" s="1911">
        <v>254</v>
      </c>
      <c r="E12" s="1911">
        <v>411.1</v>
      </c>
      <c r="F12" s="1914" t="s">
        <v>1264</v>
      </c>
      <c r="G12" s="1915">
        <v>-83085672.230144978</v>
      </c>
      <c r="H12" s="1915">
        <v>-50044547.799883381</v>
      </c>
      <c r="I12" s="1916">
        <v>-33041124.430261597</v>
      </c>
      <c r="J12" s="125">
        <v>-38755106.068379998</v>
      </c>
      <c r="K12" s="1917">
        <v>1219191.4668943584</v>
      </c>
      <c r="L12" s="445">
        <v>-9977901.3497620001</v>
      </c>
    </row>
    <row r="13" spans="1:14">
      <c r="A13" s="1911">
        <v>3</v>
      </c>
      <c r="B13" s="1899" t="s">
        <v>1251</v>
      </c>
      <c r="C13" s="1911">
        <v>190</v>
      </c>
      <c r="D13" s="1911">
        <v>182.3</v>
      </c>
      <c r="E13" s="1911">
        <v>410.1</v>
      </c>
      <c r="F13" s="1918" t="s">
        <v>1292</v>
      </c>
      <c r="G13" s="1919">
        <v>31411462.702959999</v>
      </c>
      <c r="H13" s="1915">
        <v>18846877.621776</v>
      </c>
      <c r="I13" s="1916">
        <v>12564585.081184</v>
      </c>
      <c r="J13" s="125">
        <v>0</v>
      </c>
      <c r="K13" s="1917">
        <v>0</v>
      </c>
      <c r="L13" s="445">
        <v>0</v>
      </c>
    </row>
    <row r="14" spans="1:14">
      <c r="A14" s="1911">
        <v>4</v>
      </c>
      <c r="B14" s="1899" t="s">
        <v>1251</v>
      </c>
      <c r="C14" s="1911">
        <v>283</v>
      </c>
      <c r="D14" s="1911">
        <v>254</v>
      </c>
      <c r="E14" s="1911">
        <v>411.1</v>
      </c>
      <c r="F14" s="1918" t="s">
        <v>1292</v>
      </c>
      <c r="G14" s="1919">
        <v>-121037047.67049998</v>
      </c>
      <c r="H14" s="1915">
        <v>-72622228.602299988</v>
      </c>
      <c r="I14" s="1916">
        <v>-48414819.068199992</v>
      </c>
      <c r="J14" s="125">
        <v>0</v>
      </c>
      <c r="K14" s="1917">
        <v>0</v>
      </c>
      <c r="L14" s="445">
        <v>0</v>
      </c>
    </row>
    <row r="15" spans="1:14" ht="13.5" thickBot="1">
      <c r="A15" s="1911">
        <v>5</v>
      </c>
      <c r="B15" s="1920" t="s">
        <v>1267</v>
      </c>
      <c r="C15" s="1920"/>
      <c r="D15" s="1920"/>
      <c r="E15" s="1920"/>
      <c r="F15" s="1920"/>
      <c r="G15" s="1921">
        <f t="shared" ref="G15:H15" si="0">SUM(G11:G14)</f>
        <v>-1524069838.7107301</v>
      </c>
      <c r="H15" s="1921">
        <f t="shared" si="0"/>
        <v>-912491261.25871944</v>
      </c>
      <c r="I15" s="1921">
        <f>SUM(I11:I14)</f>
        <v>-611578577.45201063</v>
      </c>
      <c r="J15" s="1921">
        <f>SUM(J11:J14)</f>
        <v>-439958317.88181615</v>
      </c>
      <c r="K15" s="1921">
        <f>SUM(K11:K14)</f>
        <v>23287442.383601576</v>
      </c>
      <c r="L15" s="1921">
        <f>SUM(L11:L14)</f>
        <v>-110760612.47420892</v>
      </c>
    </row>
    <row r="16" spans="1:14" ht="13.5" thickTop="1">
      <c r="A16" s="1911"/>
      <c r="B16" s="1922"/>
      <c r="C16" s="1922"/>
      <c r="D16" s="1922"/>
      <c r="E16" s="1922"/>
      <c r="F16" s="1922"/>
      <c r="G16" s="1922"/>
      <c r="H16" s="1923"/>
      <c r="I16" s="1916"/>
      <c r="J16" s="1916"/>
      <c r="K16" s="1916"/>
    </row>
    <row r="17" spans="1:12">
      <c r="J17" s="1924"/>
    </row>
    <row r="18" spans="1:12">
      <c r="A18" s="1900" t="s">
        <v>405</v>
      </c>
      <c r="B18" s="1925"/>
      <c r="C18" s="1925"/>
      <c r="D18" s="1925"/>
      <c r="E18" s="1925"/>
      <c r="F18" s="1925"/>
      <c r="G18" s="1925"/>
      <c r="H18" s="1925"/>
      <c r="I18" s="1925"/>
    </row>
    <row r="19" spans="1:12" ht="138.75" customHeight="1">
      <c r="A19" s="1926" t="s">
        <v>1217</v>
      </c>
      <c r="B19" s="2031" t="s">
        <v>1307</v>
      </c>
      <c r="C19" s="2031"/>
      <c r="D19" s="2031"/>
      <c r="E19" s="2031"/>
      <c r="F19" s="2031"/>
      <c r="G19" s="2031"/>
      <c r="H19" s="2031"/>
      <c r="I19" s="2031"/>
      <c r="J19" s="2031"/>
      <c r="K19" s="2031"/>
      <c r="L19" s="2031"/>
    </row>
    <row r="20" spans="1:12" ht="27" customHeight="1">
      <c r="A20" s="1926" t="s">
        <v>1218</v>
      </c>
      <c r="B20" s="2031" t="s">
        <v>1265</v>
      </c>
      <c r="C20" s="2031"/>
      <c r="D20" s="2031"/>
      <c r="E20" s="2031"/>
      <c r="F20" s="2031"/>
      <c r="G20" s="2031"/>
      <c r="H20" s="2031"/>
      <c r="I20" s="2031"/>
      <c r="J20" s="2031"/>
      <c r="K20" s="2031"/>
      <c r="L20" s="2031"/>
    </row>
    <row r="21" spans="1:12" ht="12.75" customHeight="1">
      <c r="A21" s="1926" t="s">
        <v>1219</v>
      </c>
      <c r="B21" s="2031" t="s">
        <v>1266</v>
      </c>
      <c r="C21" s="2031"/>
      <c r="D21" s="2031"/>
      <c r="E21" s="2031"/>
      <c r="F21" s="2031"/>
      <c r="G21" s="2031"/>
      <c r="H21" s="2031"/>
      <c r="I21" s="2031"/>
      <c r="J21" s="2031"/>
      <c r="K21" s="2031"/>
      <c r="L21" s="2031"/>
    </row>
    <row r="22" spans="1:12" ht="38.450000000000003" customHeight="1">
      <c r="A22" s="1926" t="s">
        <v>1220</v>
      </c>
      <c r="B22" s="2031" t="s">
        <v>1308</v>
      </c>
      <c r="C22" s="2031"/>
      <c r="D22" s="2031"/>
      <c r="E22" s="2031"/>
      <c r="F22" s="2031"/>
      <c r="G22" s="2031"/>
      <c r="H22" s="2031"/>
      <c r="I22" s="2031"/>
      <c r="J22" s="2031"/>
      <c r="K22" s="2031"/>
      <c r="L22" s="2031"/>
    </row>
    <row r="23" spans="1:12" s="1927" customFormat="1">
      <c r="A23" s="1926" t="s">
        <v>1309</v>
      </c>
      <c r="B23" s="1927" t="s">
        <v>1310</v>
      </c>
      <c r="C23" s="1928"/>
      <c r="D23" s="1928"/>
    </row>
    <row r="24" spans="1:12" s="1927" customFormat="1">
      <c r="A24" s="1929"/>
      <c r="B24" s="1928"/>
      <c r="C24" s="1928"/>
      <c r="D24" s="1928"/>
    </row>
    <row r="25" spans="1:12" s="1927" customFormat="1">
      <c r="B25" s="1930"/>
      <c r="C25" s="1930"/>
      <c r="D25" s="1930"/>
    </row>
    <row r="26" spans="1:12" s="1927" customFormat="1">
      <c r="B26" s="1930"/>
      <c r="C26" s="1930"/>
      <c r="D26" s="1930"/>
    </row>
    <row r="27" spans="1:12" s="1927" customFormat="1">
      <c r="B27" s="1930"/>
      <c r="C27" s="1930"/>
      <c r="D27" s="1930"/>
    </row>
    <row r="28" spans="1:12" s="1927" customFormat="1">
      <c r="B28" s="1930"/>
      <c r="C28" s="1930"/>
      <c r="D28" s="1930"/>
    </row>
    <row r="29" spans="1:12" s="1927" customFormat="1">
      <c r="B29" s="1930"/>
      <c r="C29" s="1930"/>
      <c r="D29" s="1930"/>
    </row>
    <row r="30" spans="1:12" s="1927" customFormat="1">
      <c r="B30" s="1930"/>
      <c r="C30" s="1930"/>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320"/>
  <sheetViews>
    <sheetView tabSelected="1" zoomScale="75" zoomScaleNormal="75" zoomScaleSheetLayoutView="50" workbookViewId="0">
      <pane ySplit="6" topLeftCell="A155" activePane="bottomLeft" state="frozen"/>
      <selection pane="bottomLeft" activeCell="J295" sqref="J295:L295"/>
    </sheetView>
  </sheetViews>
  <sheetFormatPr defaultColWidth="11.5703125" defaultRowHeight="15"/>
  <cols>
    <col min="1" max="1" width="10" style="5" customWidth="1"/>
    <col min="2" max="2" width="5.28515625" style="5" customWidth="1"/>
    <col min="3" max="3" width="54.42578125" style="31" customWidth="1"/>
    <col min="4" max="4" width="27.28515625" style="12" customWidth="1"/>
    <col min="5" max="5" width="22.7109375" style="12" customWidth="1"/>
    <col min="6" max="6" width="34.5703125" style="12" customWidth="1"/>
    <col min="7" max="7" width="3" customWidth="1"/>
    <col min="8" max="8" width="26.140625" style="12" customWidth="1"/>
    <col min="9" max="9" width="2.42578125" style="12" customWidth="1"/>
    <col min="10" max="10" width="22.7109375" style="12" customWidth="1"/>
    <col min="11" max="11" width="24.7109375" style="424" customWidth="1"/>
    <col min="12" max="12" width="23.28515625" style="12" customWidth="1"/>
    <col min="13" max="13" width="8.28515625" style="15" customWidth="1"/>
    <col min="14" max="14" width="19.5703125" style="12" bestFit="1" customWidth="1"/>
    <col min="15" max="15" width="21" style="12" bestFit="1" customWidth="1"/>
    <col min="16" max="16" width="17.5703125" style="12" bestFit="1" customWidth="1"/>
    <col min="17" max="16384" width="11.5703125" style="12"/>
  </cols>
  <sheetData>
    <row r="1" spans="1:13" ht="23.25" customHeight="1">
      <c r="A1" s="437" t="s">
        <v>862</v>
      </c>
      <c r="C1" s="5"/>
      <c r="K1" s="26"/>
    </row>
    <row r="2" spans="1:13" ht="24" customHeight="1" thickBot="1">
      <c r="A2" s="92"/>
      <c r="C2" s="5"/>
      <c r="J2" s="855"/>
      <c r="K2" s="855"/>
      <c r="L2" s="855"/>
    </row>
    <row r="3" spans="1:13" ht="68.25" customHeight="1">
      <c r="A3" s="802" t="s">
        <v>447</v>
      </c>
      <c r="B3" s="803"/>
      <c r="C3" s="803"/>
      <c r="D3" s="803"/>
      <c r="E3" s="804"/>
      <c r="F3" s="805" t="s">
        <v>162</v>
      </c>
      <c r="H3" s="1055" t="s">
        <v>474</v>
      </c>
      <c r="I3" s="810"/>
      <c r="J3" s="810" t="s">
        <v>973</v>
      </c>
      <c r="K3" s="810" t="s">
        <v>437</v>
      </c>
      <c r="L3" s="811" t="s">
        <v>438</v>
      </c>
      <c r="M3" s="1555"/>
    </row>
    <row r="4" spans="1:13" s="1" customFormat="1" ht="42" customHeight="1" thickBot="1">
      <c r="A4" s="806" t="s">
        <v>1083</v>
      </c>
      <c r="B4" s="807"/>
      <c r="C4" s="807"/>
      <c r="D4" s="807"/>
      <c r="E4" s="808" t="s">
        <v>889</v>
      </c>
      <c r="F4" s="809"/>
      <c r="H4" s="812">
        <v>2024</v>
      </c>
      <c r="I4" s="1056"/>
      <c r="J4" s="813"/>
      <c r="K4" s="813"/>
      <c r="L4" s="814"/>
      <c r="M4" s="77"/>
    </row>
    <row r="5" spans="1:13" s="76" customFormat="1" ht="0.75" customHeight="1">
      <c r="A5" s="94" t="s">
        <v>662</v>
      </c>
      <c r="B5" s="376"/>
      <c r="C5" s="376"/>
      <c r="D5" s="376"/>
      <c r="E5" s="377"/>
      <c r="F5" s="95"/>
      <c r="H5" s="95"/>
      <c r="J5" s="500"/>
      <c r="M5" s="865"/>
    </row>
    <row r="6" spans="1:13" s="15" customFormat="1" ht="15.75" customHeight="1" thickBot="1">
      <c r="A6" s="30" t="s">
        <v>798</v>
      </c>
      <c r="B6" s="29"/>
      <c r="C6" s="40"/>
      <c r="D6" s="40"/>
      <c r="E6" s="378"/>
      <c r="F6" s="41"/>
      <c r="G6" s="45"/>
      <c r="H6" s="46"/>
      <c r="I6" s="45"/>
      <c r="J6" s="910"/>
      <c r="K6" s="45"/>
      <c r="L6" s="45"/>
      <c r="M6" s="866"/>
    </row>
    <row r="7" spans="1:13" s="15" customFormat="1" ht="15.75" customHeight="1">
      <c r="A7" s="942"/>
      <c r="B7" s="943"/>
      <c r="C7" s="943"/>
      <c r="D7" s="943"/>
      <c r="E7" s="944"/>
      <c r="F7" s="1020"/>
      <c r="G7" s="945"/>
      <c r="H7" s="946"/>
      <c r="I7" s="947"/>
      <c r="J7" s="948"/>
      <c r="K7" s="948"/>
      <c r="L7" s="949"/>
      <c r="M7" s="426"/>
    </row>
    <row r="8" spans="1:13" ht="15.75" customHeight="1">
      <c r="A8" s="950"/>
      <c r="B8" s="11" t="s">
        <v>804</v>
      </c>
      <c r="C8" s="21"/>
      <c r="D8" s="21"/>
      <c r="E8" s="382"/>
      <c r="F8" s="1021"/>
      <c r="G8" s="97"/>
      <c r="H8" s="902"/>
      <c r="I8" s="426"/>
      <c r="J8" s="502"/>
      <c r="K8" s="502"/>
      <c r="L8" s="951"/>
      <c r="M8" s="426"/>
    </row>
    <row r="9" spans="1:13" ht="15.75" customHeight="1">
      <c r="A9" s="952">
        <v>1</v>
      </c>
      <c r="B9" s="23"/>
      <c r="C9" s="36" t="s">
        <v>757</v>
      </c>
      <c r="D9" s="953"/>
      <c r="E9" s="74"/>
      <c r="F9" s="1021" t="s">
        <v>603</v>
      </c>
      <c r="G9" s="97"/>
      <c r="H9" s="1433">
        <v>11362474</v>
      </c>
      <c r="I9" s="668"/>
      <c r="J9" s="1434">
        <f>H9</f>
        <v>11362474</v>
      </c>
      <c r="K9" s="1434">
        <v>0</v>
      </c>
      <c r="L9" s="1955">
        <f t="shared" ref="L9:L11" si="0">K9</f>
        <v>0</v>
      </c>
      <c r="M9" s="426"/>
    </row>
    <row r="10" spans="1:13">
      <c r="A10" s="952">
        <f>+A9+1</f>
        <v>2</v>
      </c>
      <c r="B10" s="23"/>
      <c r="C10" s="36" t="s">
        <v>758</v>
      </c>
      <c r="D10" s="36"/>
      <c r="E10" s="74"/>
      <c r="F10" s="1022" t="s">
        <v>604</v>
      </c>
      <c r="G10" s="97"/>
      <c r="H10" s="1433">
        <v>148329739</v>
      </c>
      <c r="I10" s="426"/>
      <c r="J10" s="1434">
        <f>H10</f>
        <v>148329739</v>
      </c>
      <c r="K10" s="1434">
        <v>0</v>
      </c>
      <c r="L10" s="1955">
        <f t="shared" si="0"/>
        <v>0</v>
      </c>
      <c r="M10" s="426"/>
    </row>
    <row r="11" spans="1:13" ht="15.75" customHeight="1">
      <c r="A11" s="952">
        <f>+A10+1</f>
        <v>3</v>
      </c>
      <c r="B11" s="23"/>
      <c r="C11" s="36" t="s">
        <v>799</v>
      </c>
      <c r="D11" s="36"/>
      <c r="E11" s="74"/>
      <c r="F11" s="1022" t="s">
        <v>605</v>
      </c>
      <c r="G11" s="97"/>
      <c r="H11" s="1433">
        <v>44342732</v>
      </c>
      <c r="I11" s="426"/>
      <c r="J11" s="1434">
        <f>H11</f>
        <v>44342732</v>
      </c>
      <c r="K11" s="1434">
        <v>0.01</v>
      </c>
      <c r="L11" s="1955">
        <f t="shared" si="0"/>
        <v>0.01</v>
      </c>
      <c r="M11" s="426"/>
    </row>
    <row r="12" spans="1:13" ht="15.75" customHeight="1">
      <c r="A12" s="952">
        <f>+A11+1</f>
        <v>4</v>
      </c>
      <c r="B12" s="23"/>
      <c r="C12" s="434" t="s">
        <v>850</v>
      </c>
      <c r="D12" s="380"/>
      <c r="E12" s="388"/>
      <c r="F12" s="1059" t="str">
        <f>"(Line "&amp;A10&amp;" - "&amp;A11&amp;")"</f>
        <v>(Line 2 - 3)</v>
      </c>
      <c r="G12" s="1018"/>
      <c r="H12" s="1060">
        <f>+H10-H11</f>
        <v>103987007</v>
      </c>
      <c r="I12" s="1061"/>
      <c r="J12" s="1060">
        <f>+J10-J11</f>
        <v>103987007</v>
      </c>
      <c r="K12" s="1060">
        <f>+K10-K11</f>
        <v>-0.01</v>
      </c>
      <c r="L12" s="954">
        <f>+L10-L11</f>
        <v>-0.01</v>
      </c>
      <c r="M12" s="426"/>
    </row>
    <row r="13" spans="1:13" ht="32.25" customHeight="1" thickBot="1">
      <c r="A13" s="952">
        <v>5</v>
      </c>
      <c r="B13" s="9" t="s">
        <v>825</v>
      </c>
      <c r="C13" s="9"/>
      <c r="D13" s="42"/>
      <c r="E13" s="379"/>
      <c r="F13" s="1057" t="str">
        <f>"(Line "&amp;A9&amp;" / "&amp;A12&amp;")"</f>
        <v>(Line 1 / 4)</v>
      </c>
      <c r="G13" s="1058"/>
      <c r="H13" s="503">
        <f>+H9/H12</f>
        <v>0.10926820886382468</v>
      </c>
      <c r="I13" s="1063"/>
      <c r="J13" s="503">
        <f>+J9/J12</f>
        <v>0.10926820886382468</v>
      </c>
      <c r="K13" s="503">
        <f>+K9/K12</f>
        <v>0</v>
      </c>
      <c r="L13" s="955">
        <f>+L9/L12</f>
        <v>0</v>
      </c>
      <c r="M13" s="426"/>
    </row>
    <row r="14" spans="1:13" ht="16.5" customHeight="1" thickTop="1">
      <c r="A14" s="952"/>
      <c r="B14" s="23"/>
      <c r="C14" s="11"/>
      <c r="D14" s="25"/>
      <c r="E14" s="956"/>
      <c r="F14" s="1024"/>
      <c r="G14" s="97"/>
      <c r="H14" s="903"/>
      <c r="I14" s="426"/>
      <c r="J14" s="502"/>
      <c r="K14" s="502"/>
      <c r="L14" s="951"/>
      <c r="M14" s="426"/>
    </row>
    <row r="15" spans="1:13" ht="15.75" customHeight="1">
      <c r="A15" s="957"/>
      <c r="B15" s="11" t="s">
        <v>841</v>
      </c>
      <c r="C15" s="21"/>
      <c r="D15" s="26"/>
      <c r="E15" s="61"/>
      <c r="F15" s="1025"/>
      <c r="G15" s="97"/>
      <c r="H15" s="904"/>
      <c r="I15" s="426"/>
      <c r="J15" s="502"/>
      <c r="K15" s="502"/>
      <c r="L15" s="951"/>
      <c r="M15" s="426"/>
    </row>
    <row r="16" spans="1:13" ht="15.75" customHeight="1">
      <c r="A16" s="638">
        <f>+A13+1</f>
        <v>6</v>
      </c>
      <c r="B16" s="26"/>
      <c r="C16" s="440" t="s">
        <v>858</v>
      </c>
      <c r="D16" s="35"/>
      <c r="E16" s="73" t="str">
        <f>"(Note "&amp;B$298&amp;")"</f>
        <v>(Note B)</v>
      </c>
      <c r="F16" s="1026" t="s">
        <v>667</v>
      </c>
      <c r="G16" s="145"/>
      <c r="H16" s="907">
        <f>'5 - Cost Support'!F28</f>
        <v>12174573796.538462</v>
      </c>
      <c r="I16" s="937"/>
      <c r="J16" s="1014">
        <f>H16</f>
        <v>12174573796.538462</v>
      </c>
      <c r="K16" s="1014">
        <f>J16</f>
        <v>12174573796.538462</v>
      </c>
      <c r="L16" s="1015">
        <f>K16</f>
        <v>12174573796.538462</v>
      </c>
      <c r="M16" s="426"/>
    </row>
    <row r="17" spans="1:13" ht="15.75" customHeight="1">
      <c r="A17" s="638">
        <f>+A16+1</f>
        <v>7</v>
      </c>
      <c r="B17" s="26"/>
      <c r="C17" s="36" t="s">
        <v>803</v>
      </c>
      <c r="D17" s="959"/>
      <c r="E17" s="74"/>
      <c r="F17" s="1027" t="str">
        <f>"(Sum Line "&amp;A16&amp;")"</f>
        <v>(Sum Line 6)</v>
      </c>
      <c r="G17" s="97"/>
      <c r="H17" s="508">
        <f>SUM(H16:H16)</f>
        <v>12174573796.538462</v>
      </c>
      <c r="I17" s="426"/>
      <c r="J17" s="508">
        <f>SUM(J16:J16)</f>
        <v>12174573796.538462</v>
      </c>
      <c r="K17" s="508">
        <f>SUM(K16:K16)</f>
        <v>12174573796.538462</v>
      </c>
      <c r="L17" s="973">
        <f>SUM(L16:L16)</f>
        <v>12174573796.538462</v>
      </c>
      <c r="M17" s="426"/>
    </row>
    <row r="18" spans="1:13" ht="15.75" customHeight="1">
      <c r="A18" s="638">
        <f>+A17+1</f>
        <v>8</v>
      </c>
      <c r="B18" s="26"/>
      <c r="C18" s="36" t="s">
        <v>755</v>
      </c>
      <c r="D18" s="21"/>
      <c r="E18" s="61"/>
      <c r="F18" s="1022" t="s">
        <v>667</v>
      </c>
      <c r="G18" s="97"/>
      <c r="H18" s="508">
        <f>+'5 - Cost Support'!F59</f>
        <v>5527770204.867692</v>
      </c>
      <c r="I18" s="426"/>
      <c r="J18" s="908">
        <f>H18</f>
        <v>5527770204.867692</v>
      </c>
      <c r="K18" s="908">
        <f>J18</f>
        <v>5527770204.867692</v>
      </c>
      <c r="L18" s="958">
        <f>K18</f>
        <v>5527770204.867692</v>
      </c>
      <c r="M18" s="426"/>
    </row>
    <row r="19" spans="1:13" ht="15.75" customHeight="1">
      <c r="A19" s="638">
        <f>+A18+1</f>
        <v>9</v>
      </c>
      <c r="B19" s="21"/>
      <c r="C19" s="19" t="s">
        <v>802</v>
      </c>
      <c r="D19" s="20"/>
      <c r="E19" s="62"/>
      <c r="F19" s="1028" t="str">
        <f>"(Line "&amp;A18&amp;")"</f>
        <v>(Line 8)</v>
      </c>
      <c r="G19" s="490"/>
      <c r="H19" s="1016">
        <f>SUM(H18:H18)</f>
        <v>5527770204.867692</v>
      </c>
      <c r="I19" s="1017"/>
      <c r="J19" s="1016">
        <f>SUM(J18:J18)</f>
        <v>5527770204.867692</v>
      </c>
      <c r="K19" s="1016">
        <f>SUM(K18:K18)</f>
        <v>5527770204.867692</v>
      </c>
      <c r="L19" s="954">
        <f>SUM(L18:L18)</f>
        <v>5527770204.867692</v>
      </c>
      <c r="M19" s="1556"/>
    </row>
    <row r="20" spans="1:13" ht="15.75" customHeight="1">
      <c r="A20" s="952">
        <f>+A19+1</f>
        <v>10</v>
      </c>
      <c r="B20" s="26"/>
      <c r="C20" s="18" t="s">
        <v>835</v>
      </c>
      <c r="D20" s="18"/>
      <c r="E20" s="62"/>
      <c r="F20" s="1021" t="str">
        <f>"(Line "&amp;A17&amp;" - "&amp;A19&amp;")"</f>
        <v>(Line 7 - 9)</v>
      </c>
      <c r="G20" s="97"/>
      <c r="H20" s="508">
        <f>+H17-H19</f>
        <v>6646803591.6707697</v>
      </c>
      <c r="I20" s="426"/>
      <c r="J20" s="508">
        <f>+J17-J19</f>
        <v>6646803591.6707697</v>
      </c>
      <c r="K20" s="508">
        <f>+K17-K19</f>
        <v>6646803591.6707697</v>
      </c>
      <c r="L20" s="954">
        <f>+L17-L19</f>
        <v>6646803591.6707697</v>
      </c>
      <c r="M20" s="1556"/>
    </row>
    <row r="21" spans="1:13" ht="15.75" customHeight="1">
      <c r="A21" s="957"/>
      <c r="B21" s="26"/>
      <c r="C21" s="26"/>
      <c r="D21" s="26"/>
      <c r="E21" s="61"/>
      <c r="F21" s="1025"/>
      <c r="G21" s="97"/>
      <c r="H21" s="904"/>
      <c r="I21" s="426"/>
      <c r="J21" s="501"/>
      <c r="K21" s="501"/>
      <c r="L21" s="960"/>
      <c r="M21" s="1556"/>
    </row>
    <row r="22" spans="1:13" ht="15.75" customHeight="1">
      <c r="A22" s="638">
        <f>+A20+1</f>
        <v>11</v>
      </c>
      <c r="B22" s="26"/>
      <c r="C22" s="26" t="s">
        <v>800</v>
      </c>
      <c r="D22" s="959"/>
      <c r="E22" s="61"/>
      <c r="F22" s="1029" t="str">
        <f>"(Line "&amp;A43&amp;")"</f>
        <v>(Line 25)</v>
      </c>
      <c r="G22" s="104"/>
      <c r="H22" s="504">
        <f>+H43</f>
        <v>2218003553.7110519</v>
      </c>
      <c r="I22" s="426"/>
      <c r="J22" s="504">
        <f>+J43-J78</f>
        <v>2018989872.4802825</v>
      </c>
      <c r="K22" s="1954">
        <f>+K43-K78</f>
        <v>99262153.84615384</v>
      </c>
      <c r="L22" s="961">
        <f>+L43-L78</f>
        <v>94802615.384615391</v>
      </c>
      <c r="M22" s="1556"/>
    </row>
    <row r="23" spans="1:13" ht="16.5" customHeight="1" thickBot="1">
      <c r="A23" s="952">
        <f>+A22+1</f>
        <v>12</v>
      </c>
      <c r="B23" s="10" t="s">
        <v>743</v>
      </c>
      <c r="C23" s="10"/>
      <c r="D23" s="38"/>
      <c r="E23" s="63"/>
      <c r="F23" s="1023" t="str">
        <f>"(Line "&amp;A22&amp;" / "&amp;A17&amp;")"</f>
        <v>(Line 11 / 7)</v>
      </c>
      <c r="G23" s="1019"/>
      <c r="H23" s="503">
        <f>+H22/(H17)</f>
        <v>0.18218326084989409</v>
      </c>
      <c r="I23" s="1063"/>
      <c r="J23" s="503">
        <f>+J22/(J17)</f>
        <v>0.1658365956970364</v>
      </c>
      <c r="K23" s="503">
        <f>+K22/(K17)</f>
        <v>8.153234396950846E-3</v>
      </c>
      <c r="L23" s="955">
        <f>+L22/(L17)</f>
        <v>7.7869350474979388E-3</v>
      </c>
      <c r="M23" s="1556"/>
    </row>
    <row r="24" spans="1:13" ht="16.5" customHeight="1" thickTop="1">
      <c r="A24" s="957"/>
      <c r="B24" s="21"/>
      <c r="C24" s="21"/>
      <c r="D24" s="21"/>
      <c r="E24" s="61"/>
      <c r="F24" s="1022"/>
      <c r="G24" s="104"/>
      <c r="H24" s="904"/>
      <c r="I24" s="426"/>
      <c r="J24" s="501"/>
      <c r="K24" s="501"/>
      <c r="L24" s="960"/>
      <c r="M24" s="36"/>
    </row>
    <row r="25" spans="1:13" ht="15.75" customHeight="1">
      <c r="A25" s="638">
        <f>+A23+1</f>
        <v>13</v>
      </c>
      <c r="B25" s="23"/>
      <c r="C25" s="393" t="s">
        <v>801</v>
      </c>
      <c r="D25" s="25"/>
      <c r="E25" s="956"/>
      <c r="F25" s="1029" t="str">
        <f>"(Line "&amp;A61&amp;"-44)"</f>
        <v>(Line 37-44)</v>
      </c>
      <c r="G25" s="104"/>
      <c r="H25" s="504">
        <f>+H61-H78</f>
        <v>1446666594.7118683</v>
      </c>
      <c r="I25" s="426"/>
      <c r="J25" s="504">
        <f>+J61-J78</f>
        <v>1383127748.558022</v>
      </c>
      <c r="K25" s="504">
        <f>+K61-K78</f>
        <v>21336000</v>
      </c>
      <c r="L25" s="961">
        <f>+L61-L78</f>
        <v>42202846.15384616</v>
      </c>
      <c r="M25" s="36"/>
    </row>
    <row r="26" spans="1:13" ht="16.5" customHeight="1" thickBot="1">
      <c r="A26" s="952">
        <f>+A25+1</f>
        <v>14</v>
      </c>
      <c r="B26" s="10" t="s">
        <v>836</v>
      </c>
      <c r="C26" s="10"/>
      <c r="D26" s="38"/>
      <c r="E26" s="63"/>
      <c r="F26" s="1030" t="str">
        <f>"(Line "&amp;A25&amp;" / "&amp;A20&amp;")"</f>
        <v>(Line 13 / 10)</v>
      </c>
      <c r="G26" s="1019"/>
      <c r="H26" s="503">
        <f>+H25/H20</f>
        <v>0.21764846437236576</v>
      </c>
      <c r="I26" s="1063"/>
      <c r="J26" s="503">
        <f>+J25/J20</f>
        <v>0.20808915586000534</v>
      </c>
      <c r="K26" s="503">
        <f>+K25/K20</f>
        <v>3.2099639632403956E-3</v>
      </c>
      <c r="L26" s="955">
        <f>+L25/L20</f>
        <v>6.3493445491200184E-3</v>
      </c>
      <c r="M26" s="36"/>
    </row>
    <row r="27" spans="1:13" ht="16.5" customHeight="1" thickTop="1">
      <c r="A27" s="962"/>
      <c r="B27" s="23"/>
      <c r="C27" s="11"/>
      <c r="D27" s="25"/>
      <c r="E27" s="956"/>
      <c r="F27" s="1024"/>
      <c r="G27" s="97"/>
      <c r="H27" s="521"/>
      <c r="I27" s="426"/>
      <c r="J27" s="1062"/>
      <c r="K27" s="502"/>
      <c r="L27" s="951"/>
      <c r="M27" s="426"/>
    </row>
    <row r="28" spans="1:13" s="15" customFormat="1" ht="15.75" customHeight="1">
      <c r="A28" s="963" t="s">
        <v>834</v>
      </c>
      <c r="B28" s="29"/>
      <c r="C28" s="40"/>
      <c r="D28" s="40"/>
      <c r="E28" s="378"/>
      <c r="F28" s="1031"/>
      <c r="G28" s="41"/>
      <c r="H28" s="905"/>
      <c r="I28" s="964"/>
      <c r="J28" s="505"/>
      <c r="K28" s="505"/>
      <c r="L28" s="965"/>
      <c r="M28" s="426"/>
    </row>
    <row r="29" spans="1:13" s="15" customFormat="1" ht="15.75" customHeight="1">
      <c r="A29" s="966"/>
      <c r="B29" s="43"/>
      <c r="C29" s="25"/>
      <c r="D29" s="25"/>
      <c r="E29" s="377"/>
      <c r="F29" s="1022"/>
      <c r="G29" s="36"/>
      <c r="H29" s="906"/>
      <c r="I29" s="426"/>
      <c r="J29" s="501"/>
      <c r="K29" s="501"/>
      <c r="L29" s="960"/>
      <c r="M29" s="426"/>
    </row>
    <row r="30" spans="1:13" ht="15.75" customHeight="1">
      <c r="A30" s="970"/>
      <c r="B30" s="11" t="str">
        <f>"Plant In Service  (Note "&amp;B311&amp;")"</f>
        <v>Plant In Service  (Note O)</v>
      </c>
      <c r="C30" s="25"/>
      <c r="D30" s="25"/>
      <c r="E30" s="956"/>
      <c r="F30" s="1027"/>
      <c r="G30" s="104"/>
      <c r="H30" s="508"/>
      <c r="I30" s="426"/>
      <c r="J30" s="501"/>
      <c r="K30" s="501"/>
      <c r="L30" s="960"/>
      <c r="M30" s="426"/>
    </row>
    <row r="31" spans="1:13" ht="15.75" customHeight="1">
      <c r="A31" s="638">
        <f>+A26+1</f>
        <v>15</v>
      </c>
      <c r="B31" s="69"/>
      <c r="C31" s="393" t="s">
        <v>829</v>
      </c>
      <c r="D31" s="25"/>
      <c r="E31" s="71" t="str">
        <f>"(Note "&amp;B$298&amp;")"</f>
        <v>(Note B)</v>
      </c>
      <c r="F31" s="1027" t="s">
        <v>667</v>
      </c>
      <c r="G31" s="104"/>
      <c r="H31" s="508">
        <f>'5 - Cost Support'!F9</f>
        <v>2032990461.5384614</v>
      </c>
      <c r="I31" s="426"/>
      <c r="J31" s="501">
        <f>'5 - Cost Support'!G9</f>
        <v>1838925692.3076923</v>
      </c>
      <c r="K31" s="501">
        <f>'5 - Cost Support'!H9</f>
        <v>99262153.84615384</v>
      </c>
      <c r="L31" s="960">
        <f>'5 - Cost Support'!I9</f>
        <v>94802615.384615391</v>
      </c>
      <c r="M31" s="426"/>
    </row>
    <row r="32" spans="1:13" ht="15.75" customHeight="1">
      <c r="A32" s="638">
        <f>+A31+1</f>
        <v>16</v>
      </c>
      <c r="B32" s="69"/>
      <c r="C32" s="402" t="s">
        <v>645</v>
      </c>
      <c r="D32" s="441"/>
      <c r="E32" s="636"/>
      <c r="F32" s="1033" t="s">
        <v>665</v>
      </c>
      <c r="G32" s="147"/>
      <c r="H32" s="907">
        <f>SUM(J32:L32)</f>
        <v>49336191.583333336</v>
      </c>
      <c r="I32" s="937"/>
      <c r="J32" s="529">
        <f>'6 - Est and True up'!J178</f>
        <v>49336191.583333336</v>
      </c>
      <c r="K32" s="529">
        <v>0</v>
      </c>
      <c r="L32" s="967">
        <v>0</v>
      </c>
      <c r="M32" s="941"/>
    </row>
    <row r="33" spans="1:13" ht="15.75" customHeight="1">
      <c r="A33" s="638">
        <f>+A32+1</f>
        <v>17</v>
      </c>
      <c r="B33" s="69"/>
      <c r="C33" s="11" t="s">
        <v>644</v>
      </c>
      <c r="D33" s="25"/>
      <c r="E33" s="71"/>
      <c r="F33" s="1027" t="str">
        <f>"(Line "&amp;A31&amp;" + "&amp;A32&amp;")"</f>
        <v>(Line 15 + 16)</v>
      </c>
      <c r="G33" s="104"/>
      <c r="H33" s="908">
        <f>+H31+H32</f>
        <v>2082326653.1217947</v>
      </c>
      <c r="I33" s="426"/>
      <c r="J33" s="908">
        <f>+J31+J32</f>
        <v>1888261883.8910255</v>
      </c>
      <c r="K33" s="908">
        <f>+K31+K32</f>
        <v>99262153.84615384</v>
      </c>
      <c r="L33" s="958">
        <f>+L31+L32</f>
        <v>94802615.384615391</v>
      </c>
      <c r="M33" s="426"/>
    </row>
    <row r="34" spans="1:13" ht="15.75" customHeight="1">
      <c r="A34" s="638"/>
      <c r="B34" s="69"/>
      <c r="C34" s="11"/>
      <c r="D34" s="25"/>
      <c r="E34" s="71"/>
      <c r="F34" s="1027"/>
      <c r="G34" s="104"/>
      <c r="H34" s="908"/>
      <c r="I34" s="426"/>
      <c r="J34" s="501"/>
      <c r="K34" s="501"/>
      <c r="L34" s="960"/>
      <c r="M34" s="426"/>
    </row>
    <row r="35" spans="1:13" ht="15.75" customHeight="1">
      <c r="A35" s="638">
        <f>+A33+1</f>
        <v>18</v>
      </c>
      <c r="B35" s="69"/>
      <c r="C35" s="393" t="s">
        <v>255</v>
      </c>
      <c r="D35" s="25"/>
      <c r="E35" s="71"/>
      <c r="F35" s="1027" t="s">
        <v>667</v>
      </c>
      <c r="G35" s="104"/>
      <c r="H35" s="508">
        <f>J35</f>
        <v>655035931.95659995</v>
      </c>
      <c r="I35" s="426"/>
      <c r="J35" s="501">
        <f>'5 - Cost Support'!H31</f>
        <v>655035931.95659995</v>
      </c>
      <c r="K35" s="501">
        <f>J35</f>
        <v>655035931.95659995</v>
      </c>
      <c r="L35" s="960">
        <f>K35</f>
        <v>655035931.95659995</v>
      </c>
      <c r="M35" s="426"/>
    </row>
    <row r="36" spans="1:13" ht="15.75" customHeight="1">
      <c r="A36" s="638">
        <f>A35+1</f>
        <v>19</v>
      </c>
      <c r="B36" s="69"/>
      <c r="C36" s="402" t="s">
        <v>208</v>
      </c>
      <c r="D36" s="441"/>
      <c r="E36" s="73"/>
      <c r="F36" s="1029"/>
      <c r="G36" s="147"/>
      <c r="H36" s="1720">
        <v>0.12209229286559851</v>
      </c>
      <c r="I36" s="937"/>
      <c r="J36" s="1720">
        <v>0.12209229286559851</v>
      </c>
      <c r="K36" s="1179"/>
      <c r="L36" s="1180"/>
      <c r="M36" s="426"/>
    </row>
    <row r="37" spans="1:13" ht="15.75" customHeight="1">
      <c r="A37" s="638">
        <f>A36+1</f>
        <v>20</v>
      </c>
      <c r="B37" s="69"/>
      <c r="C37" s="393" t="s">
        <v>209</v>
      </c>
      <c r="D37" s="25"/>
      <c r="E37" s="71"/>
      <c r="F37" s="1027"/>
      <c r="G37" s="104"/>
      <c r="H37" s="508">
        <f>H35*H36</f>
        <v>79974838.841935456</v>
      </c>
      <c r="I37" s="426"/>
      <c r="J37" s="508">
        <f>J35*J36</f>
        <v>79974838.841935456</v>
      </c>
      <c r="K37" s="508">
        <f>K35*K36</f>
        <v>0</v>
      </c>
      <c r="L37" s="973">
        <f>L35*L36</f>
        <v>0</v>
      </c>
      <c r="M37" s="426"/>
    </row>
    <row r="38" spans="1:13" ht="15.75" customHeight="1">
      <c r="A38" s="638">
        <f>A37+1</f>
        <v>21</v>
      </c>
      <c r="B38" s="69"/>
      <c r="C38" s="393" t="s">
        <v>828</v>
      </c>
      <c r="D38" s="25"/>
      <c r="E38" s="74"/>
      <c r="F38" s="1029" t="s">
        <v>667</v>
      </c>
      <c r="G38" s="147"/>
      <c r="H38" s="907">
        <f>+'5 - Cost Support'!F20+'5 - Cost Support'!F16</f>
        <v>509773724</v>
      </c>
      <c r="I38" s="937"/>
      <c r="J38" s="529">
        <f>$H$38</f>
        <v>509773724</v>
      </c>
      <c r="K38" s="529">
        <f>$H$38</f>
        <v>509773724</v>
      </c>
      <c r="L38" s="967">
        <f>$H$38</f>
        <v>509773724</v>
      </c>
      <c r="M38" s="426"/>
    </row>
    <row r="39" spans="1:13" ht="15.75" customHeight="1">
      <c r="A39" s="638">
        <f>+A38+1</f>
        <v>22</v>
      </c>
      <c r="B39" s="69"/>
      <c r="C39" s="434" t="s">
        <v>357</v>
      </c>
      <c r="D39" s="17"/>
      <c r="E39" s="66"/>
      <c r="F39" s="1027" t="str">
        <f>"(Line"&amp;A38&amp;")"</f>
        <v>(Line21)</v>
      </c>
      <c r="G39" s="104"/>
      <c r="H39" s="508">
        <f>+H38</f>
        <v>509773724</v>
      </c>
      <c r="I39" s="426"/>
      <c r="J39" s="508">
        <f>+J38</f>
        <v>509773724</v>
      </c>
      <c r="K39" s="508">
        <f>+K38</f>
        <v>509773724</v>
      </c>
      <c r="L39" s="973">
        <f>+L38</f>
        <v>509773724</v>
      </c>
      <c r="M39" s="426"/>
    </row>
    <row r="40" spans="1:13" ht="15.75" customHeight="1">
      <c r="A40" s="638">
        <f>+A39+1</f>
        <v>23</v>
      </c>
      <c r="B40" s="69"/>
      <c r="C40" s="390" t="s">
        <v>842</v>
      </c>
      <c r="D40" s="393"/>
      <c r="E40" s="956"/>
      <c r="F40" s="1029" t="str">
        <f>"(Line "&amp;A$13&amp;")"</f>
        <v>(Line 5)</v>
      </c>
      <c r="G40" s="147"/>
      <c r="H40" s="1064">
        <f>+H13</f>
        <v>0.10926820886382468</v>
      </c>
      <c r="I40" s="937"/>
      <c r="J40" s="711">
        <f>+$J$13</f>
        <v>0.10926820886382468</v>
      </c>
      <c r="K40" s="711">
        <v>0</v>
      </c>
      <c r="L40" s="968">
        <v>0</v>
      </c>
      <c r="M40" s="426"/>
    </row>
    <row r="41" spans="1:13" ht="15.75" customHeight="1">
      <c r="A41" s="638">
        <f>+A40+1</f>
        <v>24</v>
      </c>
      <c r="B41" s="36"/>
      <c r="C41" s="8" t="s">
        <v>361</v>
      </c>
      <c r="D41" s="19"/>
      <c r="E41" s="388"/>
      <c r="F41" s="1027" t="str">
        <f>"(Line  + ("&amp;A39&amp;" * "&amp;A40&amp;"))"</f>
        <v>(Line  + (22 * 23))</v>
      </c>
      <c r="G41" s="104"/>
      <c r="H41" s="908">
        <f>+H39*H40</f>
        <v>55702061.747321717</v>
      </c>
      <c r="I41" s="426"/>
      <c r="J41" s="908">
        <f>+J39*J40</f>
        <v>55702061.747321717</v>
      </c>
      <c r="K41" s="908">
        <f>+K39*K40</f>
        <v>0</v>
      </c>
      <c r="L41" s="969">
        <f>+L39*L40</f>
        <v>0</v>
      </c>
      <c r="M41" s="426"/>
    </row>
    <row r="42" spans="1:13" ht="15.75" customHeight="1">
      <c r="A42" s="970"/>
      <c r="B42" s="36"/>
      <c r="C42" s="11"/>
      <c r="D42" s="36"/>
      <c r="E42" s="74"/>
      <c r="F42" s="1022"/>
      <c r="G42" s="104"/>
      <c r="H42" s="508"/>
      <c r="I42" s="426"/>
      <c r="J42" s="501"/>
      <c r="K42" s="501"/>
      <c r="L42" s="960"/>
      <c r="M42" s="426"/>
    </row>
    <row r="43" spans="1:13" s="1" customFormat="1" ht="16.5" customHeight="1" thickBot="1">
      <c r="A43" s="638">
        <f>+A41+1</f>
        <v>25</v>
      </c>
      <c r="B43" s="1181" t="s">
        <v>805</v>
      </c>
      <c r="C43" s="1181"/>
      <c r="D43" s="1181"/>
      <c r="E43" s="1182"/>
      <c r="F43" s="1035" t="str">
        <f>"(Line "&amp;A33&amp;" + "&amp;A37&amp;" + "&amp;A41&amp;")"</f>
        <v>(Line 17 + 20 + 24)</v>
      </c>
      <c r="G43" s="1181"/>
      <c r="H43" s="507">
        <f>+H41+H33+H37</f>
        <v>2218003553.7110519</v>
      </c>
      <c r="I43" s="1065"/>
      <c r="J43" s="507">
        <f>+J41+J33+J37</f>
        <v>2023938784.4802825</v>
      </c>
      <c r="K43" s="507">
        <f>+K41+K33+K37</f>
        <v>99262153.84615384</v>
      </c>
      <c r="L43" s="972">
        <f>+L41+L33+L37</f>
        <v>94802615.384615391</v>
      </c>
      <c r="M43" s="971"/>
    </row>
    <row r="44" spans="1:13" ht="16.5" customHeight="1" thickTop="1">
      <c r="A44" s="970"/>
      <c r="B44" s="36"/>
      <c r="C44" s="36"/>
      <c r="D44" s="36"/>
      <c r="E44" s="74"/>
      <c r="F44" s="1022"/>
      <c r="G44" s="104"/>
      <c r="H44" s="904"/>
      <c r="I44" s="426"/>
      <c r="J44" s="501"/>
      <c r="K44" s="501"/>
      <c r="L44" s="960"/>
      <c r="M44" s="426"/>
    </row>
    <row r="45" spans="1:13" ht="15.75" customHeight="1">
      <c r="A45" s="638"/>
      <c r="B45" s="11" t="s">
        <v>793</v>
      </c>
      <c r="C45" s="11"/>
      <c r="D45" s="328"/>
      <c r="E45" s="956"/>
      <c r="F45" s="1027"/>
      <c r="G45" s="104"/>
      <c r="H45" s="508"/>
      <c r="I45" s="426"/>
      <c r="J45" s="501"/>
      <c r="K45" s="501"/>
      <c r="L45" s="960"/>
      <c r="M45" s="426"/>
    </row>
    <row r="46" spans="1:13" ht="15.75" customHeight="1">
      <c r="A46" s="970"/>
      <c r="B46" s="25"/>
      <c r="C46" s="25"/>
      <c r="D46" s="25"/>
      <c r="E46" s="74"/>
      <c r="F46" s="1027"/>
      <c r="G46" s="104"/>
      <c r="H46" s="508"/>
      <c r="I46" s="426"/>
      <c r="J46" s="501"/>
      <c r="K46" s="501"/>
      <c r="L46" s="960"/>
      <c r="M46" s="426"/>
    </row>
    <row r="47" spans="1:13" ht="15.75" customHeight="1">
      <c r="A47" s="638">
        <f>+A43+1</f>
        <v>26</v>
      </c>
      <c r="B47" s="69"/>
      <c r="C47" s="402" t="s">
        <v>857</v>
      </c>
      <c r="D47" s="441"/>
      <c r="E47" s="73" t="str">
        <f>"(Note "&amp;B$298&amp;")"</f>
        <v>(Note B)</v>
      </c>
      <c r="F47" s="1029" t="s">
        <v>667</v>
      </c>
      <c r="G47" s="147"/>
      <c r="H47" s="529">
        <f>'5 - Cost Support'!F38</f>
        <v>704529881.86769235</v>
      </c>
      <c r="I47" s="937"/>
      <c r="J47" s="529">
        <f>'5 - Cost Support'!G38</f>
        <v>574003958.79076922</v>
      </c>
      <c r="K47" s="529">
        <f>'5 - Cost Support'!H38</f>
        <v>77926153.84615384</v>
      </c>
      <c r="L47" s="967">
        <f>'5 - Cost Support'!I38</f>
        <v>52599769.230769232</v>
      </c>
      <c r="M47" s="426"/>
    </row>
    <row r="48" spans="1:13" s="15" customFormat="1" ht="15.75" customHeight="1">
      <c r="A48" s="638">
        <f>A47+1</f>
        <v>27</v>
      </c>
      <c r="B48" s="69"/>
      <c r="C48" s="11" t="s">
        <v>281</v>
      </c>
      <c r="D48" s="71"/>
      <c r="E48" s="36"/>
      <c r="F48" s="1032" t="str">
        <f>"(Line "&amp;A47&amp;")"</f>
        <v>(Line 26)</v>
      </c>
      <c r="G48" s="36"/>
      <c r="H48" s="508">
        <f>+H47</f>
        <v>704529881.86769235</v>
      </c>
      <c r="I48" s="426"/>
      <c r="J48" s="508">
        <f>+J47</f>
        <v>574003958.79076922</v>
      </c>
      <c r="K48" s="508">
        <f>+K47</f>
        <v>77926153.84615384</v>
      </c>
      <c r="L48" s="973">
        <f>+L47</f>
        <v>52599769.230769232</v>
      </c>
      <c r="M48" s="426"/>
    </row>
    <row r="49" spans="1:13" s="15" customFormat="1" ht="15.75" customHeight="1">
      <c r="A49" s="638"/>
      <c r="B49" s="69"/>
      <c r="C49" s="393"/>
      <c r="D49" s="71"/>
      <c r="E49" s="36"/>
      <c r="F49" s="1027"/>
      <c r="G49" s="36"/>
      <c r="H49" s="508"/>
      <c r="I49" s="426"/>
      <c r="J49" s="508"/>
      <c r="K49" s="508"/>
      <c r="L49" s="973"/>
      <c r="M49" s="426"/>
    </row>
    <row r="50" spans="1:13" s="15" customFormat="1" ht="15.75" customHeight="1">
      <c r="A50" s="638">
        <f>A48+1</f>
        <v>28</v>
      </c>
      <c r="B50" s="69"/>
      <c r="C50" s="393" t="s">
        <v>256</v>
      </c>
      <c r="D50" s="71"/>
      <c r="E50" s="34"/>
      <c r="F50" s="1027" t="s">
        <v>667</v>
      </c>
      <c r="G50" s="36"/>
      <c r="H50" s="501">
        <f>'5 - Cost Support'!$H$62</f>
        <v>297992509.69129997</v>
      </c>
      <c r="I50" s="426"/>
      <c r="J50" s="501">
        <f>'5 - Cost Support'!$H$62</f>
        <v>297992509.69129997</v>
      </c>
      <c r="K50" s="501"/>
      <c r="L50" s="960"/>
      <c r="M50" s="426"/>
    </row>
    <row r="51" spans="1:13" s="15" customFormat="1" ht="15.75" customHeight="1">
      <c r="A51" s="638">
        <f>A50+1</f>
        <v>29</v>
      </c>
      <c r="B51" s="69"/>
      <c r="C51" s="402" t="s">
        <v>208</v>
      </c>
      <c r="D51" s="73"/>
      <c r="E51" s="32"/>
      <c r="F51" s="1029"/>
      <c r="G51" s="440"/>
      <c r="H51" s="1942">
        <v>0.10540272554384801</v>
      </c>
      <c r="I51" s="937"/>
      <c r="J51" s="1942">
        <v>0.10540272554384801</v>
      </c>
      <c r="K51" s="529"/>
      <c r="L51" s="967"/>
      <c r="M51" s="426"/>
    </row>
    <row r="52" spans="1:13" s="15" customFormat="1" ht="15.75" customHeight="1">
      <c r="A52" s="638">
        <f>A51+1</f>
        <v>30</v>
      </c>
      <c r="B52" s="69"/>
      <c r="C52" s="393" t="s">
        <v>209</v>
      </c>
      <c r="D52" s="71"/>
      <c r="E52" s="34"/>
      <c r="F52" s="1027"/>
      <c r="G52" s="36"/>
      <c r="H52" s="501">
        <f>H50*H51</f>
        <v>31409222.71311456</v>
      </c>
      <c r="I52" s="426"/>
      <c r="J52" s="501">
        <f>J50*J51</f>
        <v>31409222.71311456</v>
      </c>
      <c r="K52" s="501"/>
      <c r="L52" s="960"/>
      <c r="M52" s="426"/>
    </row>
    <row r="53" spans="1:13" ht="15.75" customHeight="1">
      <c r="A53" s="638">
        <f>+A52+1</f>
        <v>31</v>
      </c>
      <c r="B53" s="69"/>
      <c r="C53" s="393" t="s">
        <v>914</v>
      </c>
      <c r="D53" s="25"/>
      <c r="E53" s="74"/>
      <c r="F53" s="1027" t="s">
        <v>667</v>
      </c>
      <c r="G53" s="104"/>
      <c r="H53" s="508">
        <f>+'5 - Cost Support'!F51</f>
        <v>212736630</v>
      </c>
      <c r="I53" s="426"/>
      <c r="J53" s="501">
        <f>$H$53</f>
        <v>212736630</v>
      </c>
      <c r="K53" s="501">
        <f>$H$53</f>
        <v>212736630</v>
      </c>
      <c r="L53" s="960">
        <f>$H$53</f>
        <v>212736630</v>
      </c>
      <c r="M53" s="426"/>
    </row>
    <row r="54" spans="1:13" ht="15.75" customHeight="1">
      <c r="A54" s="638">
        <f>+A53+1</f>
        <v>32</v>
      </c>
      <c r="B54" s="69"/>
      <c r="C54" s="402" t="s">
        <v>278</v>
      </c>
      <c r="D54" s="441"/>
      <c r="E54" s="636"/>
      <c r="F54" s="1029" t="s">
        <v>667</v>
      </c>
      <c r="G54" s="147"/>
      <c r="H54" s="907">
        <f>+'5 - Cost Support'!F47</f>
        <v>65925780</v>
      </c>
      <c r="I54" s="937"/>
      <c r="J54" s="529">
        <f>$H$54</f>
        <v>65925780</v>
      </c>
      <c r="K54" s="529">
        <f>$H$54</f>
        <v>65925780</v>
      </c>
      <c r="L54" s="967">
        <f>$H$54</f>
        <v>65925780</v>
      </c>
      <c r="M54" s="426"/>
    </row>
    <row r="55" spans="1:13" ht="15.75" customHeight="1">
      <c r="A55" s="638">
        <f>+A54+1</f>
        <v>33</v>
      </c>
      <c r="B55" s="23"/>
      <c r="C55" s="381" t="s">
        <v>802</v>
      </c>
      <c r="D55" s="21"/>
      <c r="E55" s="382"/>
      <c r="F55" s="1021" t="str">
        <f>"(Sum Lines "&amp;A53&amp;" to "&amp;A54&amp;")"</f>
        <v>(Sum Lines 31 to 32)</v>
      </c>
      <c r="G55" s="97"/>
      <c r="H55" s="508">
        <f>SUM(H53:H54)</f>
        <v>278662410</v>
      </c>
      <c r="I55" s="426"/>
      <c r="J55" s="508">
        <f>SUM(J53:J54)</f>
        <v>278662410</v>
      </c>
      <c r="K55" s="508">
        <f>SUM(K53:K54)</f>
        <v>278662410</v>
      </c>
      <c r="L55" s="973">
        <f>SUM(L53:L54)</f>
        <v>278662410</v>
      </c>
      <c r="M55" s="426"/>
    </row>
    <row r="56" spans="1:13" ht="15.75" customHeight="1">
      <c r="A56" s="638">
        <f>+A55+1</f>
        <v>34</v>
      </c>
      <c r="B56" s="23"/>
      <c r="C56" s="381" t="str">
        <f>+C40</f>
        <v>Wage &amp; Salary Allocation Factor</v>
      </c>
      <c r="D56" s="21"/>
      <c r="E56" s="382"/>
      <c r="F56" s="1034" t="str">
        <f>"(Line "&amp;A$13&amp;")"</f>
        <v>(Line 5)</v>
      </c>
      <c r="G56" s="145"/>
      <c r="H56" s="711">
        <f>+H13</f>
        <v>0.10926820886382468</v>
      </c>
      <c r="I56" s="937"/>
      <c r="J56" s="711">
        <f>+$J$13</f>
        <v>0.10926820886382468</v>
      </c>
      <c r="K56" s="711">
        <v>0</v>
      </c>
      <c r="L56" s="975">
        <v>0</v>
      </c>
      <c r="M56" s="426"/>
    </row>
    <row r="57" spans="1:13" ht="15.75" customHeight="1">
      <c r="A57" s="638">
        <f>+A56+1</f>
        <v>35</v>
      </c>
      <c r="B57" s="26"/>
      <c r="C57" s="28" t="s">
        <v>358</v>
      </c>
      <c r="D57" s="18"/>
      <c r="E57" s="62"/>
      <c r="F57" s="1021" t="str">
        <f>"(Line "&amp;A55&amp;" * "&amp;A56&amp;")"</f>
        <v>(Line 33 * 34)</v>
      </c>
      <c r="G57" s="97"/>
      <c r="H57" s="908">
        <f>+H56*H55</f>
        <v>30448942.418376748</v>
      </c>
      <c r="I57" s="426"/>
      <c r="J57" s="908">
        <f>+J56*J55</f>
        <v>30448942.418376748</v>
      </c>
      <c r="K57" s="506">
        <f>+K56*K55</f>
        <v>0</v>
      </c>
      <c r="L57" s="969">
        <f>+L56*L55</f>
        <v>0</v>
      </c>
      <c r="M57" s="426"/>
    </row>
    <row r="58" spans="1:13" ht="15.75" customHeight="1">
      <c r="A58" s="970"/>
      <c r="B58" s="26"/>
      <c r="C58" s="26"/>
      <c r="D58" s="26"/>
      <c r="E58" s="61"/>
      <c r="F58" s="1025"/>
      <c r="G58" s="97"/>
      <c r="H58" s="909"/>
      <c r="I58" s="426"/>
      <c r="J58" s="501"/>
      <c r="K58" s="501"/>
      <c r="L58" s="960"/>
      <c r="M58" s="426"/>
    </row>
    <row r="59" spans="1:13" ht="16.5" customHeight="1" thickBot="1">
      <c r="A59" s="638">
        <f>+A57+1</f>
        <v>36</v>
      </c>
      <c r="B59" s="10" t="s">
        <v>830</v>
      </c>
      <c r="C59" s="10"/>
      <c r="D59" s="10"/>
      <c r="E59" s="64"/>
      <c r="F59" s="1036" t="str">
        <f>"(Line "&amp;A48&amp;" + "&amp;A57&amp;")"</f>
        <v>(Line 27 + 35)</v>
      </c>
      <c r="G59" s="1066"/>
      <c r="H59" s="507">
        <f>+H57+H48+H52</f>
        <v>766388046.99918365</v>
      </c>
      <c r="I59" s="1063"/>
      <c r="J59" s="507">
        <f>+J57+J48+J52</f>
        <v>635862123.92226052</v>
      </c>
      <c r="K59" s="507">
        <f>+K57+K48+K52</f>
        <v>77926153.84615384</v>
      </c>
      <c r="L59" s="972">
        <f>+L57+L48+L52</f>
        <v>52599769.230769232</v>
      </c>
      <c r="M59" s="426"/>
    </row>
    <row r="60" spans="1:13" ht="16.5" customHeight="1" thickTop="1">
      <c r="A60" s="970"/>
      <c r="B60" s="26"/>
      <c r="C60" s="26"/>
      <c r="D60" s="26"/>
      <c r="E60" s="61"/>
      <c r="F60" s="1025"/>
      <c r="G60" s="97"/>
      <c r="H60" s="504"/>
      <c r="I60" s="426"/>
      <c r="J60" s="504"/>
      <c r="K60" s="904"/>
      <c r="L60" s="976"/>
      <c r="M60" s="426"/>
    </row>
    <row r="61" spans="1:13" ht="16.5" customHeight="1" thickBot="1">
      <c r="A61" s="638">
        <f>+A59+1</f>
        <v>37</v>
      </c>
      <c r="B61" s="10" t="s">
        <v>832</v>
      </c>
      <c r="C61" s="10"/>
      <c r="D61" s="10"/>
      <c r="E61" s="64"/>
      <c r="F61" s="1036" t="str">
        <f>"(Line "&amp;A43&amp;" - "&amp;A59&amp;")"</f>
        <v>(Line 25 - 36)</v>
      </c>
      <c r="G61" s="1066"/>
      <c r="H61" s="507">
        <f>+H43-H59</f>
        <v>1451615506.7118683</v>
      </c>
      <c r="I61" s="1063"/>
      <c r="J61" s="507">
        <f>+J43-J59</f>
        <v>1388076660.558022</v>
      </c>
      <c r="K61" s="507">
        <f>+K43-K59</f>
        <v>21336000</v>
      </c>
      <c r="L61" s="972">
        <f>+L43-L59</f>
        <v>42202846.15384616</v>
      </c>
      <c r="M61" s="426"/>
    </row>
    <row r="62" spans="1:13" ht="16.5" customHeight="1" thickTop="1">
      <c r="A62" s="957"/>
      <c r="B62" s="26"/>
      <c r="C62" s="26"/>
      <c r="D62" s="26"/>
      <c r="E62" s="61"/>
      <c r="F62" s="1025"/>
      <c r="G62" s="97"/>
      <c r="H62" s="515"/>
      <c r="I62" s="426"/>
      <c r="J62" s="502"/>
      <c r="K62" s="502"/>
      <c r="L62" s="951"/>
      <c r="M62" s="426"/>
    </row>
    <row r="63" spans="1:13" ht="16.5" customHeight="1">
      <c r="A63" s="963" t="s">
        <v>806</v>
      </c>
      <c r="B63" s="40"/>
      <c r="C63" s="40"/>
      <c r="D63" s="40"/>
      <c r="E63" s="378"/>
      <c r="F63" s="1031"/>
      <c r="G63" s="977"/>
      <c r="H63" s="910"/>
      <c r="I63" s="964"/>
      <c r="J63" s="505"/>
      <c r="K63" s="505"/>
      <c r="L63" s="965"/>
      <c r="M63" s="426"/>
    </row>
    <row r="64" spans="1:13" ht="15.75" customHeight="1" thickBot="1">
      <c r="A64" s="978"/>
      <c r="B64" s="979"/>
      <c r="C64" s="979"/>
      <c r="D64" s="979"/>
      <c r="E64" s="61"/>
      <c r="F64" s="1025"/>
      <c r="G64" s="97"/>
      <c r="H64" s="827"/>
      <c r="I64" s="426"/>
      <c r="J64" s="502"/>
      <c r="K64" s="502"/>
      <c r="L64" s="951"/>
      <c r="M64" s="426"/>
    </row>
    <row r="65" spans="1:13" ht="15.75" customHeight="1">
      <c r="A65" s="1170"/>
      <c r="B65" s="1171" t="s">
        <v>948</v>
      </c>
      <c r="C65" s="1172"/>
      <c r="D65" s="945"/>
      <c r="E65" s="1173"/>
      <c r="F65" s="1174"/>
      <c r="G65" s="1175"/>
      <c r="H65" s="1176"/>
      <c r="I65" s="947"/>
      <c r="J65" s="1177"/>
      <c r="K65" s="1177"/>
      <c r="L65" s="1178"/>
      <c r="M65" s="426"/>
    </row>
    <row r="66" spans="1:13" ht="15.75" customHeight="1">
      <c r="A66" s="970">
        <f>+A61+1</f>
        <v>38</v>
      </c>
      <c r="B66" s="102"/>
      <c r="C66" s="21" t="s">
        <v>137</v>
      </c>
      <c r="D66" s="36"/>
      <c r="E66" s="438"/>
      <c r="F66" s="1033" t="s">
        <v>666</v>
      </c>
      <c r="G66" s="788"/>
      <c r="H66" s="907">
        <f>'1 - ADIT'!I16</f>
        <v>-216838266.8315194</v>
      </c>
      <c r="I66" s="937"/>
      <c r="J66" s="907">
        <f>H66</f>
        <v>-216838266.8315194</v>
      </c>
      <c r="K66" s="509"/>
      <c r="L66" s="974"/>
      <c r="M66" s="426"/>
    </row>
    <row r="67" spans="1:13" s="15" customFormat="1" ht="15.75" customHeight="1">
      <c r="A67" s="638">
        <f>+A66+1</f>
        <v>39</v>
      </c>
      <c r="B67" s="36"/>
      <c r="C67" s="383" t="s">
        <v>819</v>
      </c>
      <c r="D67" s="19"/>
      <c r="E67" s="712"/>
      <c r="F67" s="1027" t="str">
        <f>"(Line "&amp;A66&amp;")"</f>
        <v>(Line 38)</v>
      </c>
      <c r="G67" s="36"/>
      <c r="H67" s="912">
        <f>+H66</f>
        <v>-216838266.8315194</v>
      </c>
      <c r="I67" s="426"/>
      <c r="J67" s="912">
        <f>+J66</f>
        <v>-216838266.8315194</v>
      </c>
      <c r="K67" s="501">
        <v>0</v>
      </c>
      <c r="L67" s="960">
        <v>0</v>
      </c>
      <c r="M67" s="426"/>
    </row>
    <row r="68" spans="1:13" ht="16.5" customHeight="1">
      <c r="A68" s="970"/>
      <c r="B68" s="36"/>
      <c r="C68" s="102"/>
      <c r="D68" s="36"/>
      <c r="E68" s="74"/>
      <c r="F68" s="1022"/>
      <c r="G68" s="97"/>
      <c r="H68" s="911"/>
      <c r="I68" s="426"/>
      <c r="J68" s="502"/>
      <c r="K68" s="502"/>
      <c r="L68" s="951"/>
      <c r="M68" s="426"/>
    </row>
    <row r="69" spans="1:13" ht="16.5" customHeight="1">
      <c r="A69" s="970">
        <f>+A67+1</f>
        <v>40</v>
      </c>
      <c r="B69" s="77" t="s">
        <v>768</v>
      </c>
      <c r="C69" s="102"/>
      <c r="D69" s="74" t="s">
        <v>717</v>
      </c>
      <c r="E69" s="25" t="str">
        <f>"(Notes "&amp;$B$297&amp;" &amp; "&amp;B305&amp;")"</f>
        <v>(Notes A &amp; I)</v>
      </c>
      <c r="F69" s="1022" t="s">
        <v>666</v>
      </c>
      <c r="G69" s="104"/>
      <c r="H69" s="1425">
        <f>+'1 - ADIT'!I129</f>
        <v>0</v>
      </c>
      <c r="I69" s="426"/>
      <c r="J69" s="501">
        <v>0</v>
      </c>
      <c r="K69" s="501">
        <v>0</v>
      </c>
      <c r="L69" s="960">
        <v>0</v>
      </c>
      <c r="M69" s="426"/>
    </row>
    <row r="70" spans="1:13" ht="16.5" customHeight="1">
      <c r="A70" s="970"/>
      <c r="B70" s="36"/>
      <c r="C70" s="102"/>
      <c r="D70" s="36"/>
      <c r="E70" s="74"/>
      <c r="F70" s="1022"/>
      <c r="G70" s="97"/>
      <c r="H70" s="911"/>
      <c r="I70" s="426"/>
      <c r="J70" s="502"/>
      <c r="K70" s="502"/>
      <c r="L70" s="951"/>
      <c r="M70" s="426"/>
    </row>
    <row r="71" spans="1:13" s="15" customFormat="1" ht="15.75" customHeight="1">
      <c r="A71" s="638"/>
      <c r="B71" s="77" t="s">
        <v>716</v>
      </c>
      <c r="C71" s="102"/>
      <c r="D71" s="36"/>
      <c r="E71" s="74"/>
      <c r="F71" s="1027"/>
      <c r="G71" s="36"/>
      <c r="H71" s="912"/>
      <c r="I71" s="426"/>
      <c r="J71" s="501"/>
      <c r="K71" s="501"/>
      <c r="L71" s="960"/>
      <c r="M71" s="426"/>
    </row>
    <row r="72" spans="1:13" ht="15.75" customHeight="1">
      <c r="A72" s="970">
        <f>+A69+1</f>
        <v>41</v>
      </c>
      <c r="B72" s="36"/>
      <c r="C72" s="102" t="s">
        <v>861</v>
      </c>
      <c r="D72" s="36"/>
      <c r="E72" s="74" t="s">
        <v>717</v>
      </c>
      <c r="F72" s="1022" t="s">
        <v>667</v>
      </c>
      <c r="G72" s="104"/>
      <c r="H72" s="912">
        <f>-'5 - Cost Support'!L198</f>
        <v>-4189055.9765718859</v>
      </c>
      <c r="I72" s="426"/>
      <c r="J72" s="912">
        <f>-'5 - Cost Support'!L198</f>
        <v>-4189055.9765718859</v>
      </c>
      <c r="K72" s="501">
        <v>0</v>
      </c>
      <c r="L72" s="960">
        <v>0</v>
      </c>
      <c r="M72" s="25"/>
    </row>
    <row r="73" spans="1:13">
      <c r="A73" s="638"/>
      <c r="B73" s="981"/>
      <c r="C73" s="25"/>
      <c r="D73" s="25"/>
      <c r="E73" s="74"/>
      <c r="F73" s="1037"/>
      <c r="G73" s="104"/>
      <c r="H73" s="904"/>
      <c r="I73" s="426"/>
      <c r="J73" s="501"/>
      <c r="K73" s="501"/>
      <c r="L73" s="960"/>
      <c r="M73" s="426"/>
    </row>
    <row r="74" spans="1:13" ht="15.75">
      <c r="A74" s="638"/>
      <c r="B74" s="102" t="s">
        <v>794</v>
      </c>
      <c r="C74" s="390"/>
      <c r="D74" s="25"/>
      <c r="E74" s="74"/>
      <c r="F74" s="1038"/>
      <c r="G74" s="104"/>
      <c r="H74" s="904"/>
      <c r="I74" s="426"/>
      <c r="J74" s="501"/>
      <c r="K74" s="501"/>
      <c r="L74" s="960"/>
      <c r="M74" s="426"/>
    </row>
    <row r="75" spans="1:13" ht="15.75" customHeight="1">
      <c r="A75" s="638">
        <f>+A72+1</f>
        <v>42</v>
      </c>
      <c r="B75" s="982"/>
      <c r="C75" s="57" t="s">
        <v>718</v>
      </c>
      <c r="D75" s="73"/>
      <c r="E75" s="1164" t="s">
        <v>113</v>
      </c>
      <c r="F75" s="1040" t="s">
        <v>667</v>
      </c>
      <c r="G75" s="790"/>
      <c r="H75" s="914">
        <f>+'5 - Cost Support'!L208</f>
        <v>4922403.9652532851</v>
      </c>
      <c r="I75" s="937"/>
      <c r="J75" s="914">
        <f>+'5 - Cost Support'!L208</f>
        <v>4922403.9652532851</v>
      </c>
      <c r="K75" s="529"/>
      <c r="L75" s="967"/>
      <c r="M75" s="426"/>
    </row>
    <row r="76" spans="1:13" ht="15.75" customHeight="1">
      <c r="A76" s="638">
        <f>+A75+1</f>
        <v>43</v>
      </c>
      <c r="B76" s="981"/>
      <c r="C76" s="77" t="s">
        <v>767</v>
      </c>
      <c r="D76" s="25"/>
      <c r="E76" s="69"/>
      <c r="F76" s="1027" t="str">
        <f>"(Line "&amp;A75&amp;")"</f>
        <v>(Line 42)</v>
      </c>
      <c r="G76" s="104"/>
      <c r="H76" s="912">
        <f>+H75</f>
        <v>4922403.9652532851</v>
      </c>
      <c r="I76" s="426"/>
      <c r="J76" s="912">
        <f>+J75</f>
        <v>4922403.9652532851</v>
      </c>
      <c r="K76" s="501">
        <v>0</v>
      </c>
      <c r="L76" s="960">
        <v>0</v>
      </c>
      <c r="M76" s="426"/>
    </row>
    <row r="77" spans="1:13" ht="16.5" customHeight="1">
      <c r="A77" s="638"/>
      <c r="B77" s="981"/>
      <c r="C77" s="77"/>
      <c r="D77" s="25"/>
      <c r="E77" s="69"/>
      <c r="F77" s="1027"/>
      <c r="G77" s="104"/>
      <c r="H77" s="912"/>
      <c r="I77" s="426"/>
      <c r="J77" s="501"/>
      <c r="K77" s="501"/>
      <c r="L77" s="960"/>
      <c r="M77" s="426"/>
    </row>
    <row r="78" spans="1:13" ht="15.75">
      <c r="A78" s="638">
        <f>+A76+1</f>
        <v>44</v>
      </c>
      <c r="B78" s="11" t="s">
        <v>284</v>
      </c>
      <c r="C78" s="25"/>
      <c r="D78" s="713"/>
      <c r="E78" s="71" t="str">
        <f>"(Note "&amp;B$299&amp;")"</f>
        <v>(Note C)</v>
      </c>
      <c r="F78" s="1027" t="str">
        <f>+F72</f>
        <v>Attachment 5</v>
      </c>
      <c r="G78" s="104"/>
      <c r="H78" s="908">
        <f>+'5 - Cost Support'!I79</f>
        <v>4948912</v>
      </c>
      <c r="I78" s="36"/>
      <c r="J78" s="519">
        <f>+H78</f>
        <v>4948912</v>
      </c>
      <c r="K78" s="501">
        <v>0</v>
      </c>
      <c r="L78" s="960">
        <v>0</v>
      </c>
      <c r="M78" s="426"/>
    </row>
    <row r="79" spans="1:13" ht="15.75">
      <c r="A79" s="638"/>
      <c r="B79" s="11"/>
      <c r="C79" s="25"/>
      <c r="D79" s="713"/>
      <c r="E79" s="71"/>
      <c r="F79" s="1027"/>
      <c r="G79" s="104"/>
      <c r="H79" s="908"/>
      <c r="I79" s="36"/>
      <c r="J79" s="519"/>
      <c r="K79" s="501"/>
      <c r="L79" s="960"/>
      <c r="M79" s="426"/>
    </row>
    <row r="80" spans="1:13" ht="15.75">
      <c r="A80" s="638">
        <f>+A78+1</f>
        <v>45</v>
      </c>
      <c r="B80" s="11" t="s">
        <v>108</v>
      </c>
      <c r="C80" s="25"/>
      <c r="D80" s="713"/>
      <c r="E80" s="71"/>
      <c r="F80" s="1027"/>
      <c r="G80" s="104"/>
      <c r="H80" s="1119">
        <v>0</v>
      </c>
      <c r="I80" s="1120"/>
      <c r="J80" s="1121">
        <v>0</v>
      </c>
      <c r="K80" s="501"/>
      <c r="L80" s="960"/>
      <c r="M80" s="426"/>
    </row>
    <row r="81" spans="1:13" ht="15.75">
      <c r="A81" s="638">
        <f>+A80+1</f>
        <v>46</v>
      </c>
      <c r="B81" s="11" t="s">
        <v>96</v>
      </c>
      <c r="C81" s="25"/>
      <c r="D81" s="713"/>
      <c r="E81" s="71"/>
      <c r="F81" s="1027"/>
      <c r="G81" s="791"/>
      <c r="H81" s="1167">
        <v>0</v>
      </c>
      <c r="I81" s="1168"/>
      <c r="J81" s="1168">
        <v>0</v>
      </c>
      <c r="K81" s="1169"/>
      <c r="L81" s="1122"/>
      <c r="M81" s="426"/>
    </row>
    <row r="82" spans="1:13" ht="15.75" customHeight="1">
      <c r="A82" s="638"/>
      <c r="B82" s="981"/>
      <c r="C82" s="77"/>
      <c r="D82" s="25"/>
      <c r="E82" s="69"/>
      <c r="F82" s="1027"/>
      <c r="G82" s="104"/>
      <c r="H82" s="912"/>
      <c r="I82" s="426"/>
      <c r="J82" s="501"/>
      <c r="K82" s="501"/>
      <c r="L82" s="960"/>
      <c r="M82" s="426"/>
    </row>
    <row r="83" spans="1:13" ht="15.75" customHeight="1">
      <c r="A83" s="638"/>
      <c r="B83" s="102" t="s">
        <v>792</v>
      </c>
      <c r="C83" s="36"/>
      <c r="D83" s="36"/>
      <c r="E83" s="983"/>
      <c r="F83" s="1039"/>
      <c r="G83" s="104"/>
      <c r="H83" s="913"/>
      <c r="I83" s="426"/>
      <c r="J83" s="501"/>
      <c r="K83" s="501"/>
      <c r="L83" s="960"/>
      <c r="M83" s="426"/>
    </row>
    <row r="84" spans="1:13" ht="15.75" customHeight="1">
      <c r="A84" s="970">
        <f>+A81+1</f>
        <v>47</v>
      </c>
      <c r="B84" s="36"/>
      <c r="C84" s="36" t="s">
        <v>809</v>
      </c>
      <c r="D84" s="25"/>
      <c r="E84" s="71" t="str">
        <f>"(Note "&amp;B$297&amp;")"</f>
        <v>(Note A)</v>
      </c>
      <c r="F84" s="1046" t="s">
        <v>667</v>
      </c>
      <c r="G84" s="1165"/>
      <c r="H84" s="1037">
        <f>'5 - Cost Support'!Q214</f>
        <v>-598412.07692307688</v>
      </c>
      <c r="I84" s="426"/>
      <c r="J84" s="501">
        <f>H84</f>
        <v>-598412.07692307688</v>
      </c>
      <c r="K84" s="501">
        <f>J84</f>
        <v>-598412.07692307688</v>
      </c>
      <c r="L84" s="960">
        <f>K84</f>
        <v>-598412.07692307688</v>
      </c>
      <c r="M84" s="426"/>
    </row>
    <row r="85" spans="1:13" s="15" customFormat="1" ht="15.75" customHeight="1">
      <c r="A85" s="638">
        <f>+A84+1</f>
        <v>48</v>
      </c>
      <c r="B85" s="981"/>
      <c r="C85" s="57" t="s">
        <v>842</v>
      </c>
      <c r="D85" s="32"/>
      <c r="E85" s="65"/>
      <c r="F85" s="1029" t="str">
        <f>"(Line "&amp;A$13&amp;")"</f>
        <v>(Line 5)</v>
      </c>
      <c r="G85" s="1053"/>
      <c r="H85" s="917">
        <f>+H13</f>
        <v>0.10926820886382468</v>
      </c>
      <c r="I85" s="937"/>
      <c r="J85" s="711">
        <f>+$J$13</f>
        <v>0.10926820886382468</v>
      </c>
      <c r="K85" s="711"/>
      <c r="L85" s="975"/>
      <c r="M85" s="426"/>
    </row>
    <row r="86" spans="1:13" ht="15.75" customHeight="1">
      <c r="A86" s="638">
        <f>+A85+1</f>
        <v>49</v>
      </c>
      <c r="B86" s="981"/>
      <c r="C86" s="390" t="s">
        <v>856</v>
      </c>
      <c r="D86" s="25"/>
      <c r="E86" s="74"/>
      <c r="F86" s="1027" t="str">
        <f>"(Line "&amp;A84&amp;" * "&amp;A85&amp;")"</f>
        <v>(Line 47 * 48)</v>
      </c>
      <c r="G86" s="104"/>
      <c r="H86" s="911">
        <f>+H84*H85</f>
        <v>-65387.415807865887</v>
      </c>
      <c r="I86" s="426"/>
      <c r="J86" s="911">
        <f>+J84*J85</f>
        <v>-65387.415807865887</v>
      </c>
      <c r="K86" s="1394">
        <f>+K84*K85</f>
        <v>0</v>
      </c>
      <c r="L86" s="1395">
        <f>+L84*L85</f>
        <v>0</v>
      </c>
      <c r="M86" s="426"/>
    </row>
    <row r="87" spans="1:13" ht="15.75" customHeight="1">
      <c r="A87" s="638">
        <f>+A86+1</f>
        <v>50</v>
      </c>
      <c r="B87" s="981"/>
      <c r="C87" s="390" t="s">
        <v>783</v>
      </c>
      <c r="D87" s="25"/>
      <c r="E87" s="984"/>
      <c r="F87" s="1040" t="s">
        <v>667</v>
      </c>
      <c r="G87" s="790"/>
      <c r="H87" s="914">
        <f>'5 - Cost Support'!Q215</f>
        <v>1201289.3076923077</v>
      </c>
      <c r="I87" s="937"/>
      <c r="J87" s="914">
        <f>'5 - Cost Support'!Q215</f>
        <v>1201289.3076923077</v>
      </c>
      <c r="K87" s="1396">
        <v>0</v>
      </c>
      <c r="L87" s="1397">
        <v>0</v>
      </c>
      <c r="M87" s="426"/>
    </row>
    <row r="88" spans="1:13" ht="18" customHeight="1">
      <c r="A88" s="638">
        <f>+A87+1</f>
        <v>51</v>
      </c>
      <c r="B88" s="981"/>
      <c r="C88" s="384" t="s">
        <v>791</v>
      </c>
      <c r="D88" s="50"/>
      <c r="E88" s="1166"/>
      <c r="F88" s="1027" t="str">
        <f>"(Line "&amp;A86&amp;" + "&amp;A87&amp;")"</f>
        <v>(Line 49 + 50)</v>
      </c>
      <c r="G88" s="104"/>
      <c r="H88" s="519">
        <f>SUM(H86:H87)</f>
        <v>1135901.891884442</v>
      </c>
      <c r="I88" s="426"/>
      <c r="J88" s="519">
        <f>SUM(J86:J87)</f>
        <v>1135901.891884442</v>
      </c>
      <c r="K88" s="1398">
        <f>SUM(K86:K87)</f>
        <v>0</v>
      </c>
      <c r="L88" s="1399">
        <f>SUM(L86:L87)</f>
        <v>0</v>
      </c>
      <c r="M88" s="426"/>
    </row>
    <row r="89" spans="1:13" ht="15.75" customHeight="1">
      <c r="A89" s="638"/>
      <c r="B89" s="981"/>
      <c r="C89" s="390"/>
      <c r="D89" s="21"/>
      <c r="E89" s="23"/>
      <c r="F89" s="1041"/>
      <c r="G89" s="97"/>
      <c r="H89" s="827"/>
      <c r="I89" s="426"/>
      <c r="J89" s="502"/>
      <c r="K89" s="1400"/>
      <c r="L89" s="1401"/>
      <c r="M89" s="426"/>
    </row>
    <row r="90" spans="1:13" ht="15.75" customHeight="1">
      <c r="A90" s="638"/>
      <c r="B90" s="102" t="s">
        <v>795</v>
      </c>
      <c r="C90" s="36"/>
      <c r="D90" s="25"/>
      <c r="E90" s="74"/>
      <c r="F90" s="1039"/>
      <c r="G90" s="104"/>
      <c r="H90" s="904"/>
      <c r="I90" s="426"/>
      <c r="J90" s="501"/>
      <c r="K90" s="1121"/>
      <c r="L90" s="1402"/>
      <c r="M90" s="426"/>
    </row>
    <row r="91" spans="1:13" ht="15.75" customHeight="1">
      <c r="A91" s="638">
        <f>+A88+1</f>
        <v>52</v>
      </c>
      <c r="B91" s="981"/>
      <c r="C91" s="390" t="s">
        <v>853</v>
      </c>
      <c r="D91" s="34"/>
      <c r="E91" s="74"/>
      <c r="F91" s="1027" t="str">
        <f>"(Line "&amp;A$135&amp;")"</f>
        <v>(Line 82)</v>
      </c>
      <c r="G91" s="104"/>
      <c r="H91" s="911">
        <f>+H135</f>
        <v>43352561.681967586</v>
      </c>
      <c r="I91" s="426"/>
      <c r="J91" s="911">
        <f>+J135</f>
        <v>39157186.684858277</v>
      </c>
      <c r="K91" s="1121">
        <v>0</v>
      </c>
      <c r="L91" s="1402">
        <v>0</v>
      </c>
      <c r="M91" s="426"/>
    </row>
    <row r="92" spans="1:13" ht="15.75" customHeight="1">
      <c r="A92" s="638">
        <f>+A91+1</f>
        <v>53</v>
      </c>
      <c r="B92" s="981"/>
      <c r="C92" s="34" t="s">
        <v>109</v>
      </c>
      <c r="D92" s="34"/>
      <c r="E92" s="71" t="s">
        <v>519</v>
      </c>
      <c r="F92" s="1040"/>
      <c r="G92" s="790"/>
      <c r="H92" s="1161">
        <v>0</v>
      </c>
      <c r="I92" s="1162">
        <v>0</v>
      </c>
      <c r="J92" s="1163">
        <f>$H$92</f>
        <v>0</v>
      </c>
      <c r="K92" s="1396">
        <f>$H$92</f>
        <v>0</v>
      </c>
      <c r="L92" s="1402">
        <f>$H$92</f>
        <v>0</v>
      </c>
      <c r="M92" s="426"/>
    </row>
    <row r="93" spans="1:13" s="1" customFormat="1" ht="16.5" customHeight="1">
      <c r="A93" s="638">
        <f>+A92+1</f>
        <v>54</v>
      </c>
      <c r="B93" s="985"/>
      <c r="C93" s="383" t="s">
        <v>782</v>
      </c>
      <c r="D93" s="385"/>
      <c r="E93" s="386"/>
      <c r="F93" s="1027" t="str">
        <f>"(Line "&amp;A91&amp;" * "&amp;A92&amp;")"</f>
        <v>(Line 52 * 53)</v>
      </c>
      <c r="G93" s="443"/>
      <c r="H93" s="1403">
        <f>+H91*H92</f>
        <v>0</v>
      </c>
      <c r="I93" s="1409"/>
      <c r="J93" s="1403">
        <f>+J91*J92</f>
        <v>0</v>
      </c>
      <c r="K93" s="1403">
        <f>+K91*K92</f>
        <v>0</v>
      </c>
      <c r="L93" s="1404">
        <f>+L91*L92</f>
        <v>0</v>
      </c>
      <c r="M93" s="971"/>
    </row>
    <row r="94" spans="1:13" s="1" customFormat="1" ht="15.75" customHeight="1">
      <c r="A94" s="638"/>
      <c r="B94" s="985"/>
      <c r="C94" s="102"/>
      <c r="D94" s="387"/>
      <c r="E94" s="68"/>
      <c r="F94" s="1021"/>
      <c r="G94" s="443"/>
      <c r="H94" s="912"/>
      <c r="I94" s="971"/>
      <c r="J94" s="510"/>
      <c r="K94" s="1405"/>
      <c r="L94" s="1406"/>
      <c r="M94" s="971"/>
    </row>
    <row r="95" spans="1:13" s="1" customFormat="1" ht="15.75" customHeight="1">
      <c r="A95" s="986"/>
      <c r="B95" s="102" t="s">
        <v>140</v>
      </c>
      <c r="C95" s="443"/>
      <c r="D95" s="387"/>
      <c r="E95" s="443"/>
      <c r="F95" s="1021"/>
      <c r="G95" s="443"/>
      <c r="H95" s="912"/>
      <c r="I95" s="971"/>
      <c r="J95" s="510"/>
      <c r="K95" s="1405"/>
      <c r="L95" s="1406"/>
      <c r="M95" s="971"/>
    </row>
    <row r="96" spans="1:13" ht="15.75" customHeight="1">
      <c r="A96" s="638">
        <f>+A93+1</f>
        <v>55</v>
      </c>
      <c r="B96" s="26"/>
      <c r="C96" s="36" t="s">
        <v>144</v>
      </c>
      <c r="D96" s="26"/>
      <c r="E96" s="71" t="str">
        <f>"(Note "&amp;B$310&amp;")"</f>
        <v>(Note N)</v>
      </c>
      <c r="F96" s="1022" t="s">
        <v>667</v>
      </c>
      <c r="G96" s="97"/>
      <c r="H96" s="504">
        <f>J96+K96+L96</f>
        <v>0</v>
      </c>
      <c r="I96" s="426"/>
      <c r="J96" s="502">
        <f>'5 - Cost Support'!J224</f>
        <v>0</v>
      </c>
      <c r="K96" s="1400">
        <v>0</v>
      </c>
      <c r="L96" s="1401">
        <v>0</v>
      </c>
      <c r="M96" s="426"/>
    </row>
    <row r="97" spans="1:13" ht="15.75" customHeight="1">
      <c r="A97" s="957">
        <f>+A96+1</f>
        <v>56</v>
      </c>
      <c r="B97" s="26"/>
      <c r="C97" s="440" t="s">
        <v>646</v>
      </c>
      <c r="D97" s="96"/>
      <c r="E97" s="118" t="str">
        <f>+E96</f>
        <v>(Note N)</v>
      </c>
      <c r="F97" s="1026" t="s">
        <v>667</v>
      </c>
      <c r="G97" s="788"/>
      <c r="H97" s="529">
        <f>J97+K97+L97</f>
        <v>0</v>
      </c>
      <c r="I97" s="937"/>
      <c r="J97" s="529">
        <f>'5 - Cost Support'!J229</f>
        <v>0</v>
      </c>
      <c r="K97" s="1396">
        <v>0</v>
      </c>
      <c r="L97" s="1397">
        <v>0</v>
      </c>
      <c r="M97" s="426"/>
    </row>
    <row r="98" spans="1:13" ht="15.75" customHeight="1">
      <c r="A98" s="957">
        <f>+A97+1</f>
        <v>57</v>
      </c>
      <c r="B98" s="26"/>
      <c r="C98" s="26" t="s">
        <v>153</v>
      </c>
      <c r="D98" s="26"/>
      <c r="E98" s="61"/>
      <c r="F98" s="1021" t="str">
        <f>"(Line "&amp;A96&amp;" - "&amp;A97&amp;")"</f>
        <v>(Line 55 - 56)</v>
      </c>
      <c r="G98" s="97"/>
      <c r="H98" s="519">
        <f>+H96-H97</f>
        <v>0</v>
      </c>
      <c r="I98" s="426"/>
      <c r="J98" s="519">
        <f>+J96-J97</f>
        <v>0</v>
      </c>
      <c r="K98" s="1398">
        <f>+K96-K97</f>
        <v>0</v>
      </c>
      <c r="L98" s="1407">
        <f>+L96-L97</f>
        <v>0</v>
      </c>
      <c r="M98" s="426"/>
    </row>
    <row r="99" spans="1:13" ht="15.75" customHeight="1">
      <c r="A99" s="957"/>
      <c r="B99" s="26"/>
      <c r="C99" s="26"/>
      <c r="D99" s="26"/>
      <c r="E99" s="61"/>
      <c r="F99" s="1025"/>
      <c r="G99" s="97"/>
      <c r="H99" s="827"/>
      <c r="I99" s="426"/>
      <c r="J99" s="502"/>
      <c r="K99" s="1400"/>
      <c r="L99" s="1401"/>
      <c r="M99" s="426"/>
    </row>
    <row r="100" spans="1:13" ht="16.5" customHeight="1" thickBot="1">
      <c r="A100" s="957">
        <f>+A98+1</f>
        <v>58</v>
      </c>
      <c r="B100" s="10" t="s">
        <v>843</v>
      </c>
      <c r="C100" s="10"/>
      <c r="D100" s="10"/>
      <c r="E100" s="64"/>
      <c r="F100" s="1042" t="str">
        <f>"(Line "&amp;A67&amp;" + "&amp;A69&amp;" + "&amp;A72&amp;" + "&amp;A76&amp;" + "&amp;A78&amp;" + "&amp;A80&amp;" + "&amp;A81&amp;" + "&amp;A88&amp;" + "&amp;A93&amp;" - "&amp;A98&amp;" )"</f>
        <v>(Line 39 + 40 + 41 + 43 + 44 + 45 + 46 + 51 + 54 - 57 )</v>
      </c>
      <c r="G100" s="1052"/>
      <c r="H100" s="507">
        <f>SUM(H67,H72,H76,H78,H88,H93+H80+H81)-H98+H69</f>
        <v>-210020104.95095354</v>
      </c>
      <c r="I100" s="1063"/>
      <c r="J100" s="507">
        <f>SUM(J67,J72,J76,J78,J88,J93+J80+J81)-J98+J69</f>
        <v>-210020104.95095354</v>
      </c>
      <c r="K100" s="1408">
        <f>SUM(K67,K72,K76,K78,K88,K93+K80+K81)-K98+K69</f>
        <v>0</v>
      </c>
      <c r="L100" s="1408">
        <f>SUM(L67,L72,L76,L78,L88,L93+L80+L81)-L98+L69</f>
        <v>0</v>
      </c>
      <c r="M100" s="426"/>
    </row>
    <row r="101" spans="1:13" ht="16.5" customHeight="1" thickTop="1">
      <c r="A101" s="957"/>
      <c r="B101" s="26"/>
      <c r="C101" s="26"/>
      <c r="D101" s="26"/>
      <c r="E101" s="61"/>
      <c r="F101" s="1025"/>
      <c r="G101" s="97"/>
      <c r="H101" s="827"/>
      <c r="I101" s="426"/>
      <c r="J101" s="502"/>
      <c r="K101" s="502"/>
      <c r="L101" s="951"/>
      <c r="M101" s="426"/>
    </row>
    <row r="102" spans="1:13" ht="16.5" customHeight="1" thickBot="1">
      <c r="A102" s="952">
        <f>+A100+1</f>
        <v>59</v>
      </c>
      <c r="B102" s="10" t="s">
        <v>837</v>
      </c>
      <c r="C102" s="10"/>
      <c r="D102" s="10"/>
      <c r="E102" s="64"/>
      <c r="F102" s="1030" t="str">
        <f>"(Line "&amp;A61&amp;" + "&amp;A100&amp;")"</f>
        <v>(Line 37 + 58)</v>
      </c>
      <c r="G102" s="514"/>
      <c r="H102" s="511">
        <f>+H61+H100</f>
        <v>1241595401.7609148</v>
      </c>
      <c r="I102" s="1063"/>
      <c r="J102" s="511">
        <f>+J61+J100</f>
        <v>1178056555.6070685</v>
      </c>
      <c r="K102" s="511">
        <f>+K61+K100</f>
        <v>21336000</v>
      </c>
      <c r="L102" s="988">
        <f>+L61+L100</f>
        <v>42202846.15384616</v>
      </c>
      <c r="M102" s="426"/>
    </row>
    <row r="103" spans="1:13" ht="16.5" customHeight="1" thickTop="1" thickBot="1">
      <c r="A103" s="1123"/>
      <c r="B103" s="1124"/>
      <c r="C103" s="1124"/>
      <c r="D103" s="1124"/>
      <c r="E103" s="1125"/>
      <c r="F103" s="1126"/>
      <c r="G103" s="888"/>
      <c r="H103" s="1127"/>
      <c r="I103" s="1128"/>
      <c r="J103" s="1129">
        <f>J102/$H$102</f>
        <v>0.9488248377339904</v>
      </c>
      <c r="K103" s="1129">
        <f>K102/$H$102</f>
        <v>1.7184341992359055E-2</v>
      </c>
      <c r="L103" s="1130">
        <f>L102/$H$102</f>
        <v>3.3990820273650517E-2</v>
      </c>
      <c r="M103" s="426"/>
    </row>
    <row r="104" spans="1:13" s="15" customFormat="1" ht="15.75" customHeight="1" thickBot="1">
      <c r="A104" s="963" t="s">
        <v>895</v>
      </c>
      <c r="B104" s="29"/>
      <c r="C104" s="990"/>
      <c r="D104" s="40"/>
      <c r="E104" s="378"/>
      <c r="F104" s="1031"/>
      <c r="G104" s="41"/>
      <c r="H104" s="905"/>
      <c r="I104" s="964"/>
      <c r="J104" s="505"/>
      <c r="K104" s="505"/>
      <c r="L104" s="965"/>
      <c r="M104" s="426"/>
    </row>
    <row r="105" spans="1:13" s="15" customFormat="1" ht="15.75" customHeight="1">
      <c r="A105" s="1561"/>
      <c r="B105" s="943"/>
      <c r="C105" s="943"/>
      <c r="D105" s="943"/>
      <c r="E105" s="944"/>
      <c r="F105" s="1020"/>
      <c r="G105" s="945"/>
      <c r="H105" s="946"/>
      <c r="I105" s="947"/>
      <c r="J105" s="948"/>
      <c r="K105" s="948"/>
      <c r="L105" s="949"/>
      <c r="M105" s="426"/>
    </row>
    <row r="106" spans="1:13" ht="15.75" customHeight="1">
      <c r="A106" s="952"/>
      <c r="B106" s="11" t="s">
        <v>824</v>
      </c>
      <c r="C106" s="21"/>
      <c r="D106" s="326"/>
      <c r="E106" s="382"/>
      <c r="F106" s="1025"/>
      <c r="G106" s="97"/>
      <c r="H106" s="902"/>
      <c r="I106" s="426"/>
      <c r="J106" s="502"/>
      <c r="K106" s="502"/>
      <c r="L106" s="951"/>
      <c r="M106" s="426"/>
    </row>
    <row r="107" spans="1:13" ht="15.75" customHeight="1">
      <c r="A107" s="638">
        <f>+A102+1</f>
        <v>60</v>
      </c>
      <c r="B107" s="23"/>
      <c r="C107" s="393" t="s">
        <v>824</v>
      </c>
      <c r="D107" s="25"/>
      <c r="E107" s="74"/>
      <c r="F107" s="1027" t="s">
        <v>606</v>
      </c>
      <c r="G107" s="104"/>
      <c r="H107" s="1433">
        <v>188603880</v>
      </c>
      <c r="I107" s="991"/>
      <c r="J107" s="1434">
        <f>H107-K107-L107</f>
        <v>180792167.40000001</v>
      </c>
      <c r="K107" s="1434">
        <v>6301064.5999999996</v>
      </c>
      <c r="L107" s="1434">
        <v>1510648</v>
      </c>
      <c r="M107" s="426"/>
    </row>
    <row r="108" spans="1:13" ht="15.75" customHeight="1">
      <c r="A108" s="638">
        <f>+A107+1</f>
        <v>61</v>
      </c>
      <c r="B108" s="69"/>
      <c r="C108" s="393" t="s">
        <v>748</v>
      </c>
      <c r="D108" s="25"/>
      <c r="E108" s="74"/>
      <c r="F108" s="1027" t="s">
        <v>749</v>
      </c>
      <c r="G108" s="104"/>
      <c r="H108" s="1433">
        <f>+J108+K108+L108</f>
        <v>0</v>
      </c>
      <c r="I108" s="991"/>
      <c r="J108" s="1434">
        <v>0</v>
      </c>
      <c r="K108" s="501"/>
      <c r="L108" s="960"/>
      <c r="M108" s="426"/>
    </row>
    <row r="109" spans="1:13" ht="15.75" customHeight="1">
      <c r="A109" s="638">
        <f>+A108+1</f>
        <v>62</v>
      </c>
      <c r="B109" s="69"/>
      <c r="C109" s="393" t="s">
        <v>300</v>
      </c>
      <c r="D109" s="25"/>
      <c r="E109" s="74"/>
      <c r="F109" s="1027" t="s">
        <v>301</v>
      </c>
      <c r="G109" s="104"/>
      <c r="H109" s="508">
        <f>J109+K109+L109</f>
        <v>7880467.7978835898</v>
      </c>
      <c r="I109" s="991"/>
      <c r="J109" s="501">
        <f>+'Sch 1'!E18</f>
        <v>7880467.7978835898</v>
      </c>
      <c r="K109" s="501"/>
      <c r="L109" s="960"/>
      <c r="M109" s="426"/>
    </row>
    <row r="110" spans="1:13" ht="15.75" customHeight="1">
      <c r="A110" s="638">
        <f>+A109+1</f>
        <v>63</v>
      </c>
      <c r="B110" s="23"/>
      <c r="C110" s="393" t="s">
        <v>896</v>
      </c>
      <c r="D110" s="21"/>
      <c r="E110" s="980" t="s">
        <v>855</v>
      </c>
      <c r="F110" s="1029" t="s">
        <v>667</v>
      </c>
      <c r="G110" s="790"/>
      <c r="H110" s="907">
        <f>'5 - Cost Support'!K247</f>
        <v>161236365</v>
      </c>
      <c r="I110" s="1054"/>
      <c r="J110" s="529">
        <f>'5 - Cost Support'!K243</f>
        <v>156192725</v>
      </c>
      <c r="K110" s="529">
        <f>'5 - Cost Support'!K244</f>
        <v>5043640</v>
      </c>
      <c r="L110" s="1000">
        <f>'5 - Cost Support'!K245</f>
        <v>0</v>
      </c>
      <c r="M110" s="426"/>
    </row>
    <row r="111" spans="1:13" ht="15.75" customHeight="1">
      <c r="A111" s="638">
        <f>+A110+1</f>
        <v>64</v>
      </c>
      <c r="B111" s="25"/>
      <c r="C111" s="8" t="s">
        <v>824</v>
      </c>
      <c r="D111" s="17"/>
      <c r="E111" s="66"/>
      <c r="F111" s="1027" t="str">
        <f>"(Line "&amp;A107&amp;" - "&amp;A110&amp;")"</f>
        <v>(Line 60 - 63)</v>
      </c>
      <c r="G111" s="104"/>
      <c r="H111" s="908">
        <f>+H107+H108-H110-H109</f>
        <v>19487047.202116411</v>
      </c>
      <c r="I111" s="991"/>
      <c r="J111" s="908">
        <f>+J107+J108-J110-J109</f>
        <v>16718974.602116417</v>
      </c>
      <c r="K111" s="908">
        <f>+K107+K108-K110-K109</f>
        <v>1257424.5999999996</v>
      </c>
      <c r="L111" s="969">
        <f>+L107+L108-L110-L109</f>
        <v>1510648</v>
      </c>
      <c r="M111" s="426"/>
    </row>
    <row r="112" spans="1:13" ht="15.75" customHeight="1">
      <c r="A112" s="638"/>
      <c r="B112" s="69"/>
      <c r="C112" s="11"/>
      <c r="D112" s="25"/>
      <c r="E112" s="956"/>
      <c r="F112" s="1043"/>
      <c r="G112" s="104"/>
      <c r="H112" s="903"/>
      <c r="I112" s="991"/>
      <c r="J112" s="501"/>
      <c r="K112" s="501"/>
      <c r="L112" s="960"/>
      <c r="M112" s="426"/>
    </row>
    <row r="113" spans="1:13" ht="15.75" customHeight="1">
      <c r="A113" s="638"/>
      <c r="B113" s="11" t="s">
        <v>359</v>
      </c>
      <c r="C113" s="25"/>
      <c r="D113" s="25"/>
      <c r="E113" s="956"/>
      <c r="F113" s="1043"/>
      <c r="G113" s="104"/>
      <c r="H113" s="903"/>
      <c r="I113" s="991"/>
      <c r="J113" s="501"/>
      <c r="K113" s="501"/>
      <c r="L113" s="960"/>
      <c r="M113" s="426"/>
    </row>
    <row r="114" spans="1:13" ht="15.75" customHeight="1">
      <c r="A114" s="638">
        <f>+A111+1</f>
        <v>65</v>
      </c>
      <c r="B114" s="69"/>
      <c r="C114" s="393" t="s">
        <v>827</v>
      </c>
      <c r="D114" s="25"/>
      <c r="E114" s="74"/>
      <c r="F114" s="1027" t="s">
        <v>607</v>
      </c>
      <c r="G114" s="104"/>
      <c r="H114" s="1433">
        <v>180473521</v>
      </c>
      <c r="I114" s="991"/>
      <c r="J114" s="501"/>
      <c r="K114" s="501"/>
      <c r="L114" s="960"/>
      <c r="M114" s="426"/>
    </row>
    <row r="115" spans="1:13" ht="15.75" customHeight="1">
      <c r="A115" s="638">
        <f>+A114+1</f>
        <v>66</v>
      </c>
      <c r="B115" s="69"/>
      <c r="C115" s="393" t="s">
        <v>463</v>
      </c>
      <c r="D115" s="25"/>
      <c r="E115" s="74"/>
      <c r="F115" s="1027" t="s">
        <v>667</v>
      </c>
      <c r="G115" s="104"/>
      <c r="H115" s="508">
        <f>'5 - Cost Support'!I86</f>
        <v>121636</v>
      </c>
      <c r="I115" s="991"/>
      <c r="J115" s="501"/>
      <c r="K115" s="501"/>
      <c r="L115" s="960"/>
      <c r="M115" s="153"/>
    </row>
    <row r="116" spans="1:13" ht="15.75" customHeight="1">
      <c r="A116" s="638">
        <f>+A115+1</f>
        <v>67</v>
      </c>
      <c r="B116" s="69"/>
      <c r="C116" s="393" t="s">
        <v>901</v>
      </c>
      <c r="D116" s="328"/>
      <c r="E116" s="74"/>
      <c r="F116" s="1044" t="s">
        <v>608</v>
      </c>
      <c r="G116" s="104"/>
      <c r="H116" s="1433">
        <v>7076004</v>
      </c>
      <c r="I116" s="991"/>
      <c r="J116" s="501"/>
      <c r="K116" s="501"/>
      <c r="L116" s="960"/>
      <c r="M116" s="426"/>
    </row>
    <row r="117" spans="1:13" ht="15.75" customHeight="1">
      <c r="A117" s="638">
        <f t="shared" ref="A117:A122" si="1">+A116+1</f>
        <v>68</v>
      </c>
      <c r="B117" s="69"/>
      <c r="C117" s="393" t="s">
        <v>902</v>
      </c>
      <c r="D117" s="328"/>
      <c r="E117" s="71" t="str">
        <f>"(Note "&amp;B$301&amp;")"</f>
        <v>(Note E)</v>
      </c>
      <c r="F117" s="1044" t="s">
        <v>609</v>
      </c>
      <c r="G117" s="104"/>
      <c r="H117" s="1433">
        <v>23108278</v>
      </c>
      <c r="I117" s="991"/>
      <c r="J117" s="501"/>
      <c r="K117" s="501"/>
      <c r="L117" s="960"/>
      <c r="M117" s="426"/>
    </row>
    <row r="118" spans="1:13" ht="15.75" customHeight="1">
      <c r="A118" s="638">
        <f t="shared" si="1"/>
        <v>69</v>
      </c>
      <c r="B118" s="69"/>
      <c r="C118" s="393" t="s">
        <v>903</v>
      </c>
      <c r="D118" s="328"/>
      <c r="E118" s="74"/>
      <c r="F118" s="1044" t="s">
        <v>610</v>
      </c>
      <c r="G118" s="104"/>
      <c r="H118" s="1433">
        <v>70412</v>
      </c>
      <c r="I118" s="991"/>
      <c r="J118" s="501"/>
      <c r="K118" s="501"/>
      <c r="L118" s="960"/>
      <c r="M118" s="426"/>
    </row>
    <row r="119" spans="1:13">
      <c r="A119" s="638">
        <f t="shared" si="1"/>
        <v>70</v>
      </c>
      <c r="B119" s="69"/>
      <c r="C119" s="393" t="s">
        <v>884</v>
      </c>
      <c r="D119" s="26"/>
      <c r="E119" s="71" t="str">
        <f>"(Note "&amp;B$300&amp;")"</f>
        <v>(Note D)</v>
      </c>
      <c r="F119" s="1029" t="s">
        <v>839</v>
      </c>
      <c r="G119" s="790"/>
      <c r="H119" s="1468"/>
      <c r="I119" s="1054"/>
      <c r="J119" s="529"/>
      <c r="K119" s="501"/>
      <c r="L119" s="960"/>
      <c r="M119" s="426"/>
    </row>
    <row r="120" spans="1:13" ht="15.75" customHeight="1">
      <c r="A120" s="638">
        <f t="shared" si="1"/>
        <v>71</v>
      </c>
      <c r="B120" s="69"/>
      <c r="C120" s="8" t="s">
        <v>360</v>
      </c>
      <c r="D120" s="17"/>
      <c r="E120" s="388"/>
      <c r="F120" s="1021" t="str">
        <f>"(Line "&amp;A114&amp;") -  Sum ("&amp;A115&amp;" to "&amp;A119&amp;")"</f>
        <v>(Line 65) -  Sum (66 to 70)</v>
      </c>
      <c r="G120" s="104"/>
      <c r="H120" s="508">
        <f>H114-H116-H117-H118-H119-H115</f>
        <v>150097191</v>
      </c>
      <c r="I120" s="991"/>
      <c r="J120" s="508">
        <f>$H$120</f>
        <v>150097191</v>
      </c>
      <c r="K120" s="1060">
        <f>$H$120</f>
        <v>150097191</v>
      </c>
      <c r="L120" s="954">
        <f>$H$120</f>
        <v>150097191</v>
      </c>
      <c r="M120" s="426"/>
    </row>
    <row r="121" spans="1:13" ht="15.75" customHeight="1">
      <c r="A121" s="638">
        <f t="shared" si="1"/>
        <v>72</v>
      </c>
      <c r="B121" s="69"/>
      <c r="C121" s="393" t="s">
        <v>842</v>
      </c>
      <c r="D121" s="32"/>
      <c r="E121" s="636"/>
      <c r="F121" s="1045" t="str">
        <f>"(Line "&amp;A$13&amp;")"</f>
        <v>(Line 5)</v>
      </c>
      <c r="G121" s="790"/>
      <c r="H121" s="917">
        <f>+H13</f>
        <v>0.10926820886382468</v>
      </c>
      <c r="I121" s="1054"/>
      <c r="J121" s="711">
        <f>+$J$13</f>
        <v>0.10926820886382468</v>
      </c>
      <c r="K121" s="711"/>
      <c r="L121" s="975"/>
      <c r="M121" s="426"/>
    </row>
    <row r="122" spans="1:13" ht="15.75" customHeight="1">
      <c r="A122" s="638">
        <f t="shared" si="1"/>
        <v>73</v>
      </c>
      <c r="B122" s="69"/>
      <c r="C122" s="8" t="s">
        <v>362</v>
      </c>
      <c r="D122" s="25"/>
      <c r="E122" s="713"/>
      <c r="F122" s="1027" t="str">
        <f>"(Line "&amp;A120&amp;" * "&amp;A121&amp;")"</f>
        <v>(Line 71 * 72)</v>
      </c>
      <c r="G122" s="104"/>
      <c r="H122" s="908">
        <f>+H121*H120</f>
        <v>16400851.216061387</v>
      </c>
      <c r="I122" s="426"/>
      <c r="J122" s="908">
        <f>+J121*J120</f>
        <v>16400851.216061387</v>
      </c>
      <c r="K122" s="1410">
        <f>+K121*K120</f>
        <v>0</v>
      </c>
      <c r="L122" s="1411">
        <f>+L121*L120</f>
        <v>0</v>
      </c>
      <c r="M122" s="426"/>
    </row>
    <row r="123" spans="1:13" ht="15.75" customHeight="1">
      <c r="A123" s="638"/>
      <c r="B123" s="69"/>
      <c r="C123" s="11"/>
      <c r="D123" s="25"/>
      <c r="E123" s="956"/>
      <c r="F123" s="1043"/>
      <c r="G123" s="104"/>
      <c r="H123" s="508"/>
      <c r="I123" s="426"/>
      <c r="J123" s="501"/>
      <c r="K123" s="501"/>
      <c r="L123" s="960"/>
      <c r="M123" s="426"/>
    </row>
    <row r="124" spans="1:13" ht="15.75" customHeight="1">
      <c r="A124" s="638"/>
      <c r="B124" s="11" t="s">
        <v>784</v>
      </c>
      <c r="C124" s="36"/>
      <c r="D124" s="25"/>
      <c r="E124" s="956"/>
      <c r="F124" s="1043"/>
      <c r="G124" s="104"/>
      <c r="H124" s="508"/>
      <c r="I124" s="426"/>
      <c r="J124" s="501"/>
      <c r="K124" s="502"/>
      <c r="L124" s="951"/>
      <c r="M124" s="426"/>
    </row>
    <row r="125" spans="1:13" ht="15.75" customHeight="1">
      <c r="A125" s="638">
        <f>+A122+1</f>
        <v>74</v>
      </c>
      <c r="B125" s="981"/>
      <c r="C125" s="390" t="s">
        <v>904</v>
      </c>
      <c r="D125" s="71"/>
      <c r="E125" s="71" t="str">
        <f>"(Note "&amp;B$303&amp;")"</f>
        <v>(Note G)</v>
      </c>
      <c r="F125" s="1046" t="s">
        <v>667</v>
      </c>
      <c r="G125" s="104"/>
      <c r="H125" s="911">
        <f>+'5 - Cost Support'!H109</f>
        <v>5924581.8592970632</v>
      </c>
      <c r="I125" s="426"/>
      <c r="J125" s="501">
        <f>+'5 - Cost Support'!I109</f>
        <v>4497279.4621877484</v>
      </c>
      <c r="K125" s="501">
        <f>+'5 - Cost Support'!J109</f>
        <v>749308.64760277886</v>
      </c>
      <c r="L125" s="960">
        <f>+'5 - Cost Support'!K109</f>
        <v>677993.74950653594</v>
      </c>
      <c r="M125" s="426"/>
    </row>
    <row r="126" spans="1:13" ht="15.75" customHeight="1">
      <c r="A126" s="638">
        <f>+A125+1</f>
        <v>75</v>
      </c>
      <c r="B126" s="981"/>
      <c r="C126" s="57" t="s">
        <v>905</v>
      </c>
      <c r="D126" s="72"/>
      <c r="E126" s="73" t="str">
        <f>"(Note "&amp;B$307&amp;")"</f>
        <v>(Note K)</v>
      </c>
      <c r="F126" s="1040" t="s">
        <v>667</v>
      </c>
      <c r="G126" s="790"/>
      <c r="H126" s="914">
        <f>+'5 - Cost Support'!K114</f>
        <v>0</v>
      </c>
      <c r="I126" s="937"/>
      <c r="J126" s="529">
        <f>H126</f>
        <v>0</v>
      </c>
      <c r="K126" s="509">
        <v>0</v>
      </c>
      <c r="L126" s="974">
        <v>0</v>
      </c>
      <c r="M126" s="426"/>
    </row>
    <row r="127" spans="1:13" ht="15.75" customHeight="1">
      <c r="A127" s="638">
        <f>+A126+1</f>
        <v>76</v>
      </c>
      <c r="B127" s="981"/>
      <c r="C127" s="390" t="s">
        <v>885</v>
      </c>
      <c r="D127" s="992"/>
      <c r="E127" s="983"/>
      <c r="F127" s="1027" t="str">
        <f>"(Line "&amp;A125&amp;" + "&amp;A126&amp;")"</f>
        <v>(Line 74 + 75)</v>
      </c>
      <c r="G127" s="104"/>
      <c r="H127" s="912">
        <f>+H126+H125</f>
        <v>5924581.8592970632</v>
      </c>
      <c r="I127" s="426"/>
      <c r="J127" s="512">
        <f>J125</f>
        <v>4497279.4621877484</v>
      </c>
      <c r="K127" s="502">
        <f>SUM(K125:K126)</f>
        <v>749308.64760277886</v>
      </c>
      <c r="L127" s="951">
        <f>SUM(L125:L126)</f>
        <v>677993.74950653594</v>
      </c>
      <c r="M127" s="426"/>
    </row>
    <row r="128" spans="1:13" ht="15.75" customHeight="1">
      <c r="A128" s="638"/>
      <c r="B128" s="981"/>
      <c r="C128" s="390"/>
      <c r="D128" s="992"/>
      <c r="E128" s="983"/>
      <c r="F128" s="1046"/>
      <c r="G128" s="104"/>
      <c r="H128" s="915"/>
      <c r="I128" s="426"/>
      <c r="J128" s="501"/>
      <c r="K128" s="502"/>
      <c r="L128" s="951"/>
      <c r="M128" s="426"/>
    </row>
    <row r="129" spans="1:16" ht="15.75" customHeight="1">
      <c r="A129" s="638">
        <f>+A127+1</f>
        <v>77</v>
      </c>
      <c r="B129" s="981"/>
      <c r="C129" s="390" t="s">
        <v>906</v>
      </c>
      <c r="D129" s="992"/>
      <c r="E129" s="71" t="str">
        <f>"(Note "&amp;B$302&amp;")"</f>
        <v>(Note F)</v>
      </c>
      <c r="F129" s="1032" t="str">
        <f>"(Line "&amp;A116&amp;")"</f>
        <v>(Line 67)</v>
      </c>
      <c r="G129" s="104"/>
      <c r="H129" s="911">
        <f>+H116</f>
        <v>7076004</v>
      </c>
      <c r="I129" s="426"/>
      <c r="J129" s="501">
        <f>H129</f>
        <v>7076004</v>
      </c>
      <c r="K129" s="502"/>
      <c r="L129" s="951"/>
      <c r="M129" s="426"/>
    </row>
    <row r="130" spans="1:16" ht="16.5" customHeight="1">
      <c r="A130" s="638">
        <f>+A129+1</f>
        <v>78</v>
      </c>
      <c r="B130" s="981"/>
      <c r="C130" s="390" t="s">
        <v>905</v>
      </c>
      <c r="D130" s="992"/>
      <c r="E130" s="71"/>
      <c r="F130" s="1040" t="s">
        <v>667</v>
      </c>
      <c r="G130" s="790"/>
      <c r="H130" s="914">
        <f>'5 - Cost Support'!I114</f>
        <v>0</v>
      </c>
      <c r="I130" s="937"/>
      <c r="J130" s="529">
        <f>H130</f>
        <v>0</v>
      </c>
      <c r="K130" s="509"/>
      <c r="L130" s="974"/>
      <c r="M130" s="426"/>
    </row>
    <row r="131" spans="1:16" ht="15.75" customHeight="1">
      <c r="A131" s="638">
        <f>+A130+1</f>
        <v>79</v>
      </c>
      <c r="B131" s="981"/>
      <c r="C131" s="16" t="s">
        <v>850</v>
      </c>
      <c r="D131" s="767"/>
      <c r="E131" s="66"/>
      <c r="F131" s="1027" t="str">
        <f>"(Line "&amp;A129&amp;" + "&amp;A130&amp;")"</f>
        <v>(Line 77 + 78)</v>
      </c>
      <c r="G131" s="104"/>
      <c r="H131" s="911">
        <f>+H129+H130</f>
        <v>7076004</v>
      </c>
      <c r="I131" s="426"/>
      <c r="J131" s="911">
        <f>+J129+J130</f>
        <v>7076004</v>
      </c>
      <c r="K131" s="502"/>
      <c r="L131" s="951"/>
      <c r="M131" s="426"/>
    </row>
    <row r="132" spans="1:16" ht="15.75" customHeight="1">
      <c r="A132" s="638">
        <f>+A131+1</f>
        <v>80</v>
      </c>
      <c r="B132" s="69"/>
      <c r="C132" s="16" t="s">
        <v>807</v>
      </c>
      <c r="D132" s="34"/>
      <c r="E132" s="65"/>
      <c r="F132" s="1029" t="str">
        <f>"(Line "&amp;A$26&amp;")"</f>
        <v>(Line 14)</v>
      </c>
      <c r="G132" s="790"/>
      <c r="H132" s="917">
        <f>+H26</f>
        <v>0.21764846437236576</v>
      </c>
      <c r="I132" s="937"/>
      <c r="J132" s="1160">
        <f>H132</f>
        <v>0.21764846437236576</v>
      </c>
      <c r="K132" s="509"/>
      <c r="L132" s="974"/>
      <c r="M132" s="426"/>
    </row>
    <row r="133" spans="1:16" ht="15.75" customHeight="1">
      <c r="A133" s="638">
        <f>+A132+1</f>
        <v>81</v>
      </c>
      <c r="B133" s="69"/>
      <c r="C133" s="8" t="s">
        <v>785</v>
      </c>
      <c r="D133" s="17"/>
      <c r="E133" s="71" t="s">
        <v>969</v>
      </c>
      <c r="F133" s="1027" t="str">
        <f>"(Line "&amp;A131&amp;" * "&amp;A132&amp;")"</f>
        <v>(Line 79 * 80)</v>
      </c>
      <c r="G133" s="104"/>
      <c r="H133" s="912">
        <f>+H132*H131</f>
        <v>1540081.4044927177</v>
      </c>
      <c r="I133" s="426"/>
      <c r="J133" s="512">
        <f>H133</f>
        <v>1540081.4044927177</v>
      </c>
      <c r="K133" s="1412">
        <f>+K132*K131</f>
        <v>0</v>
      </c>
      <c r="L133" s="1404">
        <f>+L132*L131</f>
        <v>0</v>
      </c>
      <c r="M133" s="426"/>
    </row>
    <row r="134" spans="1:16" ht="15.75" customHeight="1">
      <c r="A134" s="952"/>
      <c r="B134" s="23"/>
      <c r="C134" s="11"/>
      <c r="D134" s="25"/>
      <c r="E134" s="382"/>
      <c r="F134" s="1024"/>
      <c r="G134" s="97"/>
      <c r="H134" s="902"/>
      <c r="I134" s="426"/>
      <c r="J134" s="502"/>
      <c r="K134" s="502"/>
      <c r="L134" s="951"/>
      <c r="M134" s="426"/>
    </row>
    <row r="135" spans="1:16" ht="16.5" customHeight="1" thickBot="1">
      <c r="A135" s="952">
        <f>+A133+1</f>
        <v>82</v>
      </c>
      <c r="B135" s="23"/>
      <c r="C135" s="9" t="s">
        <v>826</v>
      </c>
      <c r="D135" s="42"/>
      <c r="E135" s="389"/>
      <c r="F135" s="514" t="str">
        <f>"(Line "&amp;A111&amp;" + "&amp;A122&amp;" + "&amp;A127&amp;" + "&amp;A133&amp;")"</f>
        <v>(Line 64 + 73 + 76 + 81)</v>
      </c>
      <c r="G135" s="514"/>
      <c r="H135" s="513">
        <f>+H111+H122+H127+H133</f>
        <v>43352561.681967586</v>
      </c>
      <c r="I135" s="1063"/>
      <c r="J135" s="513">
        <f>+J111+J122+J127+J133</f>
        <v>39157186.684858277</v>
      </c>
      <c r="K135" s="513">
        <f>+K111+K122+K127+K133</f>
        <v>2006733.2476027785</v>
      </c>
      <c r="L135" s="993">
        <f>+L111+L122+L127+L133</f>
        <v>2188641.7495065359</v>
      </c>
      <c r="M135" s="426"/>
    </row>
    <row r="136" spans="1:16" ht="16.5" customHeight="1" thickTop="1" thickBot="1">
      <c r="A136" s="1562"/>
      <c r="B136" s="1563"/>
      <c r="C136" s="1564"/>
      <c r="D136" s="1565"/>
      <c r="E136" s="1566"/>
      <c r="F136" s="1567"/>
      <c r="G136" s="888"/>
      <c r="H136" s="1568"/>
      <c r="I136" s="1128"/>
      <c r="J136" s="1569"/>
      <c r="K136" s="1569"/>
      <c r="L136" s="1570"/>
      <c r="M136" s="426"/>
    </row>
    <row r="137" spans="1:16" ht="15.75" customHeight="1">
      <c r="A137" s="963" t="s">
        <v>820</v>
      </c>
      <c r="B137" s="29"/>
      <c r="C137" s="990"/>
      <c r="D137" s="40"/>
      <c r="E137" s="378"/>
      <c r="F137" s="1031"/>
      <c r="G137" s="977"/>
      <c r="H137" s="905"/>
      <c r="I137" s="964"/>
      <c r="J137" s="505"/>
      <c r="K137" s="505"/>
      <c r="L137" s="965"/>
      <c r="M137" s="426"/>
    </row>
    <row r="138" spans="1:16" ht="15.75" customHeight="1">
      <c r="A138" s="994"/>
      <c r="B138" s="23"/>
      <c r="C138" s="11"/>
      <c r="D138" s="25"/>
      <c r="E138" s="382"/>
      <c r="F138" s="1024"/>
      <c r="G138" s="97"/>
      <c r="H138" s="521"/>
      <c r="I138" s="426"/>
      <c r="J138" s="502"/>
      <c r="K138" s="502"/>
      <c r="L138" s="951"/>
      <c r="M138" s="426"/>
    </row>
    <row r="139" spans="1:16" ht="15.75" customHeight="1">
      <c r="A139" s="957"/>
      <c r="B139" s="59" t="str">
        <f>"Depreciation Expense  (Note "&amp;B312&amp;")"</f>
        <v>Depreciation Expense  (Note P)</v>
      </c>
      <c r="C139" s="36"/>
      <c r="D139" s="25"/>
      <c r="E139" s="74"/>
      <c r="F139" s="1158"/>
      <c r="G139" s="104"/>
      <c r="H139" s="1159"/>
      <c r="I139" s="426"/>
      <c r="J139" s="501"/>
      <c r="K139" s="501"/>
      <c r="L139" s="951"/>
      <c r="M139" s="426"/>
    </row>
    <row r="140" spans="1:16" ht="15.75" customHeight="1">
      <c r="A140" s="952">
        <f>+A135+1</f>
        <v>83</v>
      </c>
      <c r="B140" s="995"/>
      <c r="C140" s="57" t="s">
        <v>756</v>
      </c>
      <c r="D140" s="441"/>
      <c r="E140" s="65"/>
      <c r="F140" s="1040" t="s">
        <v>617</v>
      </c>
      <c r="G140" s="147"/>
      <c r="H140" s="1436">
        <v>43031756</v>
      </c>
      <c r="I140" s="937"/>
      <c r="J140" s="1434">
        <v>39924067.439999983</v>
      </c>
      <c r="K140" s="1434">
        <v>1486166.4000000004</v>
      </c>
      <c r="L140" s="1957">
        <v>1621521.6199999999</v>
      </c>
      <c r="M140" s="426"/>
      <c r="P140" s="1786"/>
    </row>
    <row r="141" spans="1:16" ht="15.75" customHeight="1">
      <c r="A141" s="952">
        <f>A140+1</f>
        <v>84</v>
      </c>
      <c r="B141" s="995"/>
      <c r="C141" s="11" t="s">
        <v>282</v>
      </c>
      <c r="D141" s="69"/>
      <c r="E141" s="36"/>
      <c r="F141" s="1032" t="str">
        <f>"(Line "&amp;A140&amp;")"</f>
        <v>(Line 83)</v>
      </c>
      <c r="G141" s="104"/>
      <c r="H141" s="912">
        <f>+H140</f>
        <v>43031756</v>
      </c>
      <c r="I141" s="426"/>
      <c r="J141" s="912">
        <f>+J140</f>
        <v>39924067.439999983</v>
      </c>
      <c r="K141" s="912">
        <f>+K140</f>
        <v>1486166.4000000004</v>
      </c>
      <c r="L141" s="996">
        <f>+L140</f>
        <v>1621521.6199999999</v>
      </c>
      <c r="M141" s="426"/>
      <c r="P141" s="56"/>
    </row>
    <row r="142" spans="1:16" ht="15.75" customHeight="1">
      <c r="A142" s="952"/>
      <c r="B142" s="995"/>
      <c r="C142" s="390"/>
      <c r="D142" s="25"/>
      <c r="E142" s="69"/>
      <c r="F142" s="1046"/>
      <c r="G142" s="104"/>
      <c r="H142" s="912"/>
      <c r="I142" s="426"/>
      <c r="J142" s="501"/>
      <c r="K142" s="501"/>
      <c r="L142" s="951"/>
      <c r="M142" s="426"/>
      <c r="P142" s="1950"/>
    </row>
    <row r="143" spans="1:16" ht="15.75" customHeight="1">
      <c r="A143" s="952">
        <f>+A140+1</f>
        <v>84</v>
      </c>
      <c r="B143" s="995"/>
      <c r="C143" s="390" t="s">
        <v>468</v>
      </c>
      <c r="D143" s="25"/>
      <c r="E143" s="69"/>
      <c r="F143" s="1046" t="s">
        <v>469</v>
      </c>
      <c r="G143" s="104"/>
      <c r="H143" s="1435">
        <v>65198683</v>
      </c>
      <c r="I143" s="426"/>
      <c r="J143" s="1434">
        <f>H143</f>
        <v>65198683</v>
      </c>
      <c r="K143" s="501"/>
      <c r="L143" s="951"/>
      <c r="M143" s="426"/>
      <c r="P143" s="56"/>
    </row>
    <row r="144" spans="1:16" ht="15.75" customHeight="1">
      <c r="A144" s="952">
        <f t="shared" ref="A144:A150" si="2">+A143+1</f>
        <v>85</v>
      </c>
      <c r="B144" s="995"/>
      <c r="C144" s="402" t="s">
        <v>208</v>
      </c>
      <c r="D144" s="441"/>
      <c r="E144" s="65"/>
      <c r="F144" s="1040"/>
      <c r="G144" s="147"/>
      <c r="H144" s="1941">
        <v>0.16615823137050936</v>
      </c>
      <c r="I144" s="1469"/>
      <c r="J144" s="1941">
        <v>0.16615823137050936</v>
      </c>
      <c r="K144" s="501"/>
      <c r="L144" s="951"/>
      <c r="M144" s="426"/>
    </row>
    <row r="145" spans="1:16" ht="15.75" customHeight="1">
      <c r="A145" s="952">
        <f t="shared" si="2"/>
        <v>86</v>
      </c>
      <c r="B145" s="26"/>
      <c r="C145" s="393" t="s">
        <v>210</v>
      </c>
      <c r="D145" s="36"/>
      <c r="E145" s="36"/>
      <c r="F145" s="1022"/>
      <c r="G145" s="36"/>
      <c r="H145" s="501">
        <f>H143*H144</f>
        <v>10833297.854966495</v>
      </c>
      <c r="I145" s="426"/>
      <c r="J145" s="501">
        <f>J143*J144</f>
        <v>10833297.854966495</v>
      </c>
      <c r="K145" s="501"/>
      <c r="L145" s="951"/>
      <c r="M145" s="426"/>
      <c r="P145" s="1848"/>
    </row>
    <row r="146" spans="1:16" s="15" customFormat="1" ht="15.75" customHeight="1">
      <c r="A146" s="952">
        <f t="shared" si="2"/>
        <v>87</v>
      </c>
      <c r="B146" s="995"/>
      <c r="C146" s="390" t="s">
        <v>849</v>
      </c>
      <c r="D146" s="25"/>
      <c r="E146" s="69"/>
      <c r="F146" s="1046" t="s">
        <v>618</v>
      </c>
      <c r="G146" s="104"/>
      <c r="H146" s="1435">
        <v>16559016</v>
      </c>
      <c r="I146" s="426"/>
      <c r="J146" s="501"/>
      <c r="K146" s="501"/>
      <c r="L146" s="960"/>
      <c r="M146" s="426"/>
      <c r="P146" s="1951"/>
    </row>
    <row r="147" spans="1:16" ht="15.75" customHeight="1">
      <c r="A147" s="952">
        <f t="shared" si="2"/>
        <v>88</v>
      </c>
      <c r="B147" s="995"/>
      <c r="C147" s="57" t="s">
        <v>808</v>
      </c>
      <c r="D147" s="441"/>
      <c r="E147" s="73" t="str">
        <f>"(Note "&amp;B$297&amp;")"</f>
        <v>(Note A)</v>
      </c>
      <c r="F147" s="1040" t="s">
        <v>619</v>
      </c>
      <c r="G147" s="790"/>
      <c r="H147" s="1436">
        <v>17192498</v>
      </c>
      <c r="I147" s="937"/>
      <c r="J147" s="529"/>
      <c r="K147" s="529"/>
      <c r="L147" s="974"/>
      <c r="M147" s="426"/>
    </row>
    <row r="148" spans="1:16" ht="15.75" customHeight="1">
      <c r="A148" s="952">
        <f t="shared" si="2"/>
        <v>89</v>
      </c>
      <c r="B148" s="995"/>
      <c r="C148" s="390" t="s">
        <v>850</v>
      </c>
      <c r="D148" s="25"/>
      <c r="E148" s="69"/>
      <c r="F148" s="1027" t="str">
        <f>"(Line "&amp;A146&amp;" + "&amp;A147&amp;")"</f>
        <v>(Line 87 + 88)</v>
      </c>
      <c r="G148" s="104"/>
      <c r="H148" s="911">
        <f>SUM(H146:H147)</f>
        <v>33751514</v>
      </c>
      <c r="I148" s="426"/>
      <c r="J148" s="501">
        <f>$H$148</f>
        <v>33751514</v>
      </c>
      <c r="K148" s="501">
        <f>J148</f>
        <v>33751514</v>
      </c>
      <c r="L148" s="951">
        <f>$H$148</f>
        <v>33751514</v>
      </c>
      <c r="M148" s="426"/>
    </row>
    <row r="149" spans="1:16" ht="15.75" customHeight="1">
      <c r="A149" s="952">
        <f t="shared" si="2"/>
        <v>90</v>
      </c>
      <c r="B149" s="995"/>
      <c r="C149" s="390" t="s">
        <v>842</v>
      </c>
      <c r="D149" s="32"/>
      <c r="E149" s="636"/>
      <c r="F149" s="1045" t="str">
        <f>"(Line "&amp;A$13&amp;")"</f>
        <v>(Line 5)</v>
      </c>
      <c r="G149" s="790"/>
      <c r="H149" s="917">
        <f>+H13</f>
        <v>0.10926820886382468</v>
      </c>
      <c r="I149" s="937"/>
      <c r="J149" s="711">
        <f>+$J$13</f>
        <v>0.10926820886382468</v>
      </c>
      <c r="K149" s="711"/>
      <c r="L149" s="975"/>
      <c r="M149" s="426"/>
    </row>
    <row r="150" spans="1:16" ht="15.75" customHeight="1">
      <c r="A150" s="638">
        <f t="shared" si="2"/>
        <v>91</v>
      </c>
      <c r="B150" s="995"/>
      <c r="C150" s="59" t="s">
        <v>810</v>
      </c>
      <c r="D150" s="25"/>
      <c r="E150" s="713"/>
      <c r="F150" s="1021" t="str">
        <f>"(Line "&amp;A148&amp;" * "&amp;A149&amp;"+"&amp;A145&amp;")"</f>
        <v>(Line 89 * 90+86)</v>
      </c>
      <c r="G150" s="97"/>
      <c r="H150" s="912">
        <f>(+H148*H149)+H145</f>
        <v>14521265.336188799</v>
      </c>
      <c r="I150" s="426"/>
      <c r="J150" s="912">
        <f>(+J148*J149)+J145</f>
        <v>14521265.336188799</v>
      </c>
      <c r="K150" s="1403">
        <f>+K148*K149</f>
        <v>0</v>
      </c>
      <c r="L150" s="1413">
        <f>+L148*L149</f>
        <v>0</v>
      </c>
      <c r="M150" s="426"/>
    </row>
    <row r="151" spans="1:16" ht="15.75" customHeight="1">
      <c r="A151" s="997"/>
      <c r="B151" s="998"/>
      <c r="C151" s="390"/>
      <c r="D151" s="25"/>
      <c r="E151" s="69"/>
      <c r="F151" s="1046"/>
      <c r="G151" s="97"/>
      <c r="H151" s="913"/>
      <c r="I151" s="426"/>
      <c r="J151" s="502"/>
      <c r="K151" s="502"/>
      <c r="L151" s="951"/>
      <c r="M151" s="426"/>
    </row>
    <row r="152" spans="1:16" s="1" customFormat="1" ht="16.5" customHeight="1" thickBot="1">
      <c r="A152" s="638">
        <f>+A150+1</f>
        <v>92</v>
      </c>
      <c r="B152" s="391" t="s">
        <v>821</v>
      </c>
      <c r="C152" s="391"/>
      <c r="D152" s="37"/>
      <c r="E152" s="392"/>
      <c r="F152" s="514" t="str">
        <f>"(Line "&amp;A141&amp;" + "&amp;A150&amp;")"</f>
        <v>(Line 84 + 91)</v>
      </c>
      <c r="G152" s="514"/>
      <c r="H152" s="514">
        <f>+H150+H141</f>
        <v>57553021.336188801</v>
      </c>
      <c r="I152" s="1065"/>
      <c r="J152" s="514">
        <f>+J150+J141</f>
        <v>54445332.776188783</v>
      </c>
      <c r="K152" s="514">
        <f>+K150+K141</f>
        <v>1486166.4000000004</v>
      </c>
      <c r="L152" s="999">
        <f>+L150+L141</f>
        <v>1621521.6199999999</v>
      </c>
      <c r="M152" s="971"/>
    </row>
    <row r="153" spans="1:16" ht="16.5" customHeight="1" thickTop="1">
      <c r="A153" s="989"/>
      <c r="B153" s="21"/>
      <c r="C153" s="21"/>
      <c r="D153" s="21"/>
      <c r="E153" s="61"/>
      <c r="F153" s="1025"/>
      <c r="G153" s="97"/>
      <c r="H153" s="827"/>
      <c r="I153" s="426"/>
      <c r="J153" s="502"/>
      <c r="K153" s="502"/>
      <c r="L153" s="951"/>
      <c r="M153" s="426"/>
    </row>
    <row r="154" spans="1:16" ht="16.5" customHeight="1">
      <c r="A154" s="963" t="s">
        <v>658</v>
      </c>
      <c r="B154" s="29"/>
      <c r="C154" s="990"/>
      <c r="D154" s="40"/>
      <c r="E154" s="101"/>
      <c r="F154" s="1031"/>
      <c r="G154" s="977"/>
      <c r="H154" s="905"/>
      <c r="I154" s="964"/>
      <c r="J154" s="505"/>
      <c r="K154" s="505"/>
      <c r="L154" s="965"/>
      <c r="M154" s="426"/>
    </row>
    <row r="155" spans="1:16" ht="15.75" customHeight="1">
      <c r="A155" s="978"/>
      <c r="B155" s="23"/>
      <c r="C155" s="11"/>
      <c r="D155" s="25"/>
      <c r="E155" s="382"/>
      <c r="F155" s="1024"/>
      <c r="G155" s="97"/>
      <c r="H155" s="521"/>
      <c r="I155" s="426"/>
      <c r="J155" s="502"/>
      <c r="K155" s="502"/>
      <c r="L155" s="951"/>
      <c r="M155" s="426"/>
    </row>
    <row r="156" spans="1:16" ht="15.75" customHeight="1">
      <c r="A156" s="638">
        <f>+A152+1</f>
        <v>93</v>
      </c>
      <c r="B156" s="102" t="s">
        <v>571</v>
      </c>
      <c r="C156" s="982"/>
      <c r="D156" s="25"/>
      <c r="E156" s="980"/>
      <c r="F156" s="1022" t="s">
        <v>669</v>
      </c>
      <c r="G156" s="1157"/>
      <c r="H156" s="501">
        <f>SUM(J156:L156)</f>
        <v>8424809.5298072025</v>
      </c>
      <c r="I156" s="971"/>
      <c r="J156" s="501">
        <f>'2 - Other Tax'!G52</f>
        <v>6634431.2309272019</v>
      </c>
      <c r="K156" s="501">
        <f>'2 - Other Tax'!G49</f>
        <v>1242690.4688799998</v>
      </c>
      <c r="L156" s="960">
        <f>'2 - Other Tax'!G50</f>
        <v>547687.83000000007</v>
      </c>
      <c r="M156" s="426"/>
    </row>
    <row r="157" spans="1:16" ht="15.75" customHeight="1">
      <c r="A157" s="970"/>
      <c r="B157" s="25"/>
      <c r="C157" s="21"/>
      <c r="D157" s="21"/>
      <c r="E157" s="23"/>
      <c r="F157" s="1022"/>
      <c r="G157" s="97"/>
      <c r="H157" s="904"/>
      <c r="I157" s="426"/>
      <c r="J157" s="502"/>
      <c r="K157" s="502"/>
      <c r="L157" s="951"/>
      <c r="M157" s="426"/>
    </row>
    <row r="158" spans="1:16" ht="16.5" customHeight="1" thickBot="1">
      <c r="A158" s="638">
        <f>+A156+1</f>
        <v>94</v>
      </c>
      <c r="B158" s="9" t="s">
        <v>750</v>
      </c>
      <c r="C158" s="9"/>
      <c r="D158" s="37"/>
      <c r="E158" s="64"/>
      <c r="F158" s="1036" t="str">
        <f>"(Line "&amp;A156&amp;")"</f>
        <v>(Line 93)</v>
      </c>
      <c r="G158" s="1052"/>
      <c r="H158" s="507">
        <f>+H156</f>
        <v>8424809.5298072025</v>
      </c>
      <c r="I158" s="1063"/>
      <c r="J158" s="507">
        <f>+J156</f>
        <v>6634431.2309272019</v>
      </c>
      <c r="K158" s="507">
        <f>+K156</f>
        <v>1242690.4688799998</v>
      </c>
      <c r="L158" s="972">
        <f>+L156</f>
        <v>547687.83000000007</v>
      </c>
      <c r="M158" s="426"/>
    </row>
    <row r="159" spans="1:16" ht="17.25" customHeight="1" thickTop="1">
      <c r="A159" s="957"/>
      <c r="B159" s="21"/>
      <c r="C159" s="21"/>
      <c r="D159" s="21"/>
      <c r="E159" s="61"/>
      <c r="F159" s="1025"/>
      <c r="G159" s="97"/>
      <c r="H159" s="827"/>
      <c r="I159" s="426"/>
      <c r="J159" s="502"/>
      <c r="K159" s="502"/>
      <c r="L159" s="951"/>
      <c r="M159" s="426"/>
    </row>
    <row r="160" spans="1:16" ht="15.75" customHeight="1">
      <c r="A160" s="963" t="s">
        <v>811</v>
      </c>
      <c r="B160" s="29"/>
      <c r="C160" s="990"/>
      <c r="D160" s="40"/>
      <c r="E160" s="378"/>
      <c r="F160" s="1031"/>
      <c r="G160" s="977"/>
      <c r="H160" s="905"/>
      <c r="I160" s="964"/>
      <c r="J160" s="505"/>
      <c r="K160" s="505"/>
      <c r="L160" s="965"/>
      <c r="M160" s="426"/>
    </row>
    <row r="161" spans="1:13" ht="15.75" customHeight="1">
      <c r="A161" s="962"/>
      <c r="B161" s="23"/>
      <c r="C161" s="11"/>
      <c r="D161" s="25"/>
      <c r="E161" s="382"/>
      <c r="F161" s="1024"/>
      <c r="G161" s="97"/>
      <c r="H161" s="521"/>
      <c r="I161" s="426"/>
      <c r="J161" s="502"/>
      <c r="K161" s="502"/>
      <c r="L161" s="951"/>
      <c r="M161" s="426"/>
    </row>
    <row r="162" spans="1:13" ht="15.75" customHeight="1">
      <c r="A162" s="638"/>
      <c r="B162" s="1138" t="s">
        <v>344</v>
      </c>
      <c r="C162" s="1139"/>
      <c r="D162" s="1140"/>
      <c r="E162" s="1140"/>
      <c r="F162" s="1141"/>
      <c r="G162" s="1142"/>
      <c r="H162" s="1143"/>
      <c r="I162" s="829"/>
      <c r="J162" s="828"/>
      <c r="K162" s="502"/>
      <c r="L162" s="951"/>
      <c r="M162" s="426"/>
    </row>
    <row r="163" spans="1:13" ht="15.75" customHeight="1">
      <c r="A163" s="638">
        <f>+A158+1</f>
        <v>95</v>
      </c>
      <c r="B163" s="1142"/>
      <c r="C163" s="1142" t="s">
        <v>306</v>
      </c>
      <c r="D163" s="1142" t="s">
        <v>343</v>
      </c>
      <c r="E163" s="1144"/>
      <c r="F163" s="1145"/>
      <c r="G163" s="1142"/>
      <c r="H163" s="1146">
        <f>+'WKSHT6 - Cost of Capital'!P5</f>
        <v>5663090769.2307692</v>
      </c>
      <c r="I163" s="26"/>
      <c r="J163" s="827"/>
      <c r="K163" s="502"/>
      <c r="L163" s="951"/>
      <c r="M163" s="426"/>
    </row>
    <row r="164" spans="1:13" ht="15.75" customHeight="1">
      <c r="A164" s="638">
        <f>+A163+1</f>
        <v>96</v>
      </c>
      <c r="B164" s="1142"/>
      <c r="C164" s="1142" t="s">
        <v>307</v>
      </c>
      <c r="D164" s="1142" t="s">
        <v>343</v>
      </c>
      <c r="E164" s="1144"/>
      <c r="F164" s="1145"/>
      <c r="G164" s="1142"/>
      <c r="H164" s="1146">
        <f>+'WKSHT6 - Cost of Capital'!P6</f>
        <v>0</v>
      </c>
      <c r="I164" s="26"/>
      <c r="J164" s="827"/>
      <c r="K164" s="502"/>
      <c r="L164" s="951"/>
      <c r="M164" s="426"/>
    </row>
    <row r="165" spans="1:13" ht="15.75" customHeight="1">
      <c r="A165" s="638">
        <f t="shared" ref="A165:A201" si="3">+A164+1</f>
        <v>97</v>
      </c>
      <c r="B165" s="1142"/>
      <c r="C165" s="1142" t="s">
        <v>308</v>
      </c>
      <c r="D165" s="1142" t="s">
        <v>343</v>
      </c>
      <c r="E165" s="1144"/>
      <c r="F165" s="1145"/>
      <c r="G165" s="1142"/>
      <c r="H165" s="1146">
        <f>+'WKSHT6 - Cost of Capital'!P8</f>
        <v>0</v>
      </c>
      <c r="I165" s="26"/>
      <c r="J165" s="827"/>
      <c r="K165" s="502"/>
      <c r="L165" s="951"/>
      <c r="M165" s="426"/>
    </row>
    <row r="166" spans="1:13" ht="15.75" customHeight="1">
      <c r="A166" s="638">
        <f t="shared" si="3"/>
        <v>98</v>
      </c>
      <c r="B166" s="1142"/>
      <c r="C166" s="1147" t="s">
        <v>309</v>
      </c>
      <c r="D166" s="1147" t="s">
        <v>343</v>
      </c>
      <c r="E166" s="1148"/>
      <c r="F166" s="1149"/>
      <c r="G166" s="1150"/>
      <c r="H166" s="1150">
        <f>+'WKSHT6 - Cost of Capital'!P9</f>
        <v>0</v>
      </c>
      <c r="I166" s="26"/>
      <c r="J166" s="827"/>
      <c r="K166" s="502"/>
      <c r="L166" s="951"/>
      <c r="M166" s="426"/>
    </row>
    <row r="167" spans="1:13" ht="15.75" customHeight="1">
      <c r="A167" s="638">
        <f t="shared" si="3"/>
        <v>99</v>
      </c>
      <c r="B167" s="1142"/>
      <c r="C167" s="1142" t="s">
        <v>672</v>
      </c>
      <c r="D167" s="1142" t="str">
        <f>"(Sum Ln "&amp;A163&amp;" through "&amp;A166&amp;""</f>
        <v>(Sum Ln 95 through 98</v>
      </c>
      <c r="E167" s="1144"/>
      <c r="F167" s="1145"/>
      <c r="G167" s="1142"/>
      <c r="H167" s="1146">
        <f>SUM(H163:H166)</f>
        <v>5663090769.2307692</v>
      </c>
      <c r="I167" s="26"/>
      <c r="J167" s="827"/>
      <c r="K167" s="502"/>
      <c r="L167" s="951"/>
      <c r="M167" s="426"/>
    </row>
    <row r="168" spans="1:13" ht="15.75" customHeight="1">
      <c r="A168" s="638"/>
      <c r="B168" s="1142"/>
      <c r="C168" s="1142"/>
      <c r="D168" s="1142"/>
      <c r="E168" s="1144"/>
      <c r="F168" s="1145"/>
      <c r="G168" s="1142"/>
      <c r="H168" s="1146"/>
      <c r="I168" s="26"/>
      <c r="J168" s="827"/>
      <c r="K168" s="502"/>
      <c r="L168" s="951"/>
      <c r="M168" s="426"/>
    </row>
    <row r="169" spans="1:13" ht="15.75" customHeight="1">
      <c r="A169" s="638">
        <f>+A167+1</f>
        <v>100</v>
      </c>
      <c r="B169" s="1142"/>
      <c r="C169" s="1142" t="s">
        <v>310</v>
      </c>
      <c r="D169" s="1142" t="s">
        <v>343</v>
      </c>
      <c r="E169" s="1144"/>
      <c r="F169" s="1145" t="s">
        <v>341</v>
      </c>
      <c r="G169" s="1142"/>
      <c r="H169" s="1146">
        <f>+'WKSHT6 - Cost of Capital'!P12</f>
        <v>-21439197.076923076</v>
      </c>
      <c r="I169" s="26"/>
      <c r="J169" s="827"/>
      <c r="K169" s="502"/>
      <c r="L169" s="951"/>
      <c r="M169" s="426"/>
    </row>
    <row r="170" spans="1:13" ht="15.75" customHeight="1">
      <c r="A170" s="638">
        <f t="shared" si="3"/>
        <v>101</v>
      </c>
      <c r="B170" s="1142"/>
      <c r="C170" s="1142" t="s">
        <v>311</v>
      </c>
      <c r="D170" s="1142" t="s">
        <v>343</v>
      </c>
      <c r="E170" s="1144"/>
      <c r="F170" s="1145" t="s">
        <v>341</v>
      </c>
      <c r="G170" s="1142"/>
      <c r="H170" s="1146">
        <f>+'WKSHT6 - Cost of Capital'!P13</f>
        <v>-23536766.846153848</v>
      </c>
      <c r="I170" s="26"/>
      <c r="J170" s="827"/>
      <c r="K170" s="502"/>
      <c r="L170" s="951"/>
      <c r="M170" s="426"/>
    </row>
    <row r="171" spans="1:13" ht="15.75" customHeight="1">
      <c r="A171" s="638">
        <f t="shared" si="3"/>
        <v>102</v>
      </c>
      <c r="B171" s="1142"/>
      <c r="C171" s="1142" t="s">
        <v>312</v>
      </c>
      <c r="D171" s="1142" t="s">
        <v>343</v>
      </c>
      <c r="E171" s="1144"/>
      <c r="F171" s="1145" t="s">
        <v>341</v>
      </c>
      <c r="G171" s="1151"/>
      <c r="H171" s="1146">
        <f>+'WKSHT6 - Cost of Capital'!P14</f>
        <v>-30646987.384615384</v>
      </c>
      <c r="I171" s="26"/>
      <c r="J171" s="827"/>
      <c r="K171" s="502"/>
      <c r="L171" s="951"/>
      <c r="M171" s="426"/>
    </row>
    <row r="172" spans="1:13" ht="15.75" customHeight="1">
      <c r="A172" s="638">
        <f t="shared" si="3"/>
        <v>103</v>
      </c>
      <c r="B172" s="1142"/>
      <c r="C172" s="1142" t="s">
        <v>313</v>
      </c>
      <c r="D172" s="1142" t="s">
        <v>343</v>
      </c>
      <c r="E172" s="1144"/>
      <c r="F172" s="1145" t="s">
        <v>341</v>
      </c>
      <c r="G172" s="1151"/>
      <c r="H172" s="1146">
        <f>+'WKSHT6 - Cost of Capital'!P15</f>
        <v>0</v>
      </c>
      <c r="I172" s="26"/>
      <c r="J172" s="827"/>
      <c r="K172" s="502"/>
      <c r="L172" s="951"/>
      <c r="M172" s="426"/>
    </row>
    <row r="173" spans="1:13" ht="15.75" customHeight="1">
      <c r="A173" s="638">
        <f t="shared" si="3"/>
        <v>104</v>
      </c>
      <c r="B173" s="1142"/>
      <c r="C173" s="1147" t="s">
        <v>314</v>
      </c>
      <c r="D173" s="1147" t="s">
        <v>343</v>
      </c>
      <c r="E173" s="1148"/>
      <c r="F173" s="1149" t="s">
        <v>341</v>
      </c>
      <c r="G173" s="1152"/>
      <c r="H173" s="1150">
        <f>+'WKSHT6 - Cost of Capital'!P16</f>
        <v>0</v>
      </c>
      <c r="I173" s="26"/>
      <c r="J173" s="827"/>
      <c r="K173" s="502"/>
      <c r="L173" s="951"/>
      <c r="M173" s="426"/>
    </row>
    <row r="174" spans="1:13" ht="15.75" customHeight="1">
      <c r="A174" s="638">
        <f t="shared" si="3"/>
        <v>105</v>
      </c>
      <c r="B174" s="1142"/>
      <c r="C174" s="1142" t="s">
        <v>673</v>
      </c>
      <c r="D174" s="1142" t="str">
        <f>"(Sum Ln "&amp;A169&amp;" through "&amp;A173&amp;""</f>
        <v>(Sum Ln 100 through 104</v>
      </c>
      <c r="E174" s="1144"/>
      <c r="F174" s="1145"/>
      <c r="G174" s="1151"/>
      <c r="H174" s="1146">
        <f>SUM(H167:H173)</f>
        <v>5587467817.9230766</v>
      </c>
      <c r="I174" s="26"/>
      <c r="J174" s="827"/>
      <c r="K174" s="502"/>
      <c r="L174" s="951"/>
      <c r="M174" s="426"/>
    </row>
    <row r="175" spans="1:13" ht="15.75" customHeight="1">
      <c r="A175" s="638"/>
      <c r="B175" s="1142"/>
      <c r="C175" s="1142"/>
      <c r="D175" s="1142"/>
      <c r="E175" s="1144"/>
      <c r="F175" s="1145"/>
      <c r="G175" s="1151"/>
      <c r="H175" s="1146"/>
      <c r="I175" s="26"/>
      <c r="J175" s="827"/>
      <c r="K175" s="502"/>
      <c r="L175" s="951"/>
      <c r="M175" s="426"/>
    </row>
    <row r="176" spans="1:13" ht="15.75" customHeight="1">
      <c r="A176" s="638"/>
      <c r="B176" s="1138" t="s">
        <v>686</v>
      </c>
      <c r="C176" s="1142"/>
      <c r="D176" s="1142"/>
      <c r="E176" s="1144"/>
      <c r="F176" s="1145"/>
      <c r="G176" s="1142"/>
      <c r="H176" s="1146"/>
      <c r="I176" s="26"/>
      <c r="J176" s="827"/>
      <c r="K176" s="502"/>
      <c r="L176" s="951"/>
      <c r="M176" s="426"/>
    </row>
    <row r="177" spans="1:13" ht="15.75" customHeight="1">
      <c r="A177" s="638">
        <f>+A174+1</f>
        <v>106</v>
      </c>
      <c r="B177" s="1142"/>
      <c r="C177" s="1142" t="s">
        <v>315</v>
      </c>
      <c r="D177" s="1142" t="s">
        <v>343</v>
      </c>
      <c r="E177" s="1144"/>
      <c r="F177" s="1145" t="s">
        <v>341</v>
      </c>
      <c r="G177" s="1142"/>
      <c r="H177" s="1146">
        <f>+'WKSHT6 - Cost of Capital'!P24</f>
        <v>285985469</v>
      </c>
      <c r="I177" s="26"/>
      <c r="J177" s="827"/>
      <c r="K177" s="502"/>
      <c r="L177" s="951"/>
      <c r="M177" s="426"/>
    </row>
    <row r="178" spans="1:13" ht="15.75" customHeight="1">
      <c r="A178" s="638">
        <f t="shared" si="3"/>
        <v>107</v>
      </c>
      <c r="B178" s="1142"/>
      <c r="C178" s="1142" t="s">
        <v>316</v>
      </c>
      <c r="D178" s="1142" t="s">
        <v>343</v>
      </c>
      <c r="E178" s="1144"/>
      <c r="F178" s="1145" t="s">
        <v>341</v>
      </c>
      <c r="G178" s="1142"/>
      <c r="H178" s="1146">
        <f>+'WKSHT6 - Cost of Capital'!P25</f>
        <v>3006234</v>
      </c>
      <c r="I178" s="26"/>
      <c r="J178" s="827"/>
      <c r="K178" s="502"/>
      <c r="L178" s="951"/>
      <c r="M178" s="426"/>
    </row>
    <row r="179" spans="1:13" ht="15.75" customHeight="1">
      <c r="A179" s="638">
        <f>+A178+1</f>
        <v>108</v>
      </c>
      <c r="B179" s="1142"/>
      <c r="C179" s="1142" t="s">
        <v>317</v>
      </c>
      <c r="D179" s="1142" t="s">
        <v>343</v>
      </c>
      <c r="E179" s="1144"/>
      <c r="F179" s="1145" t="s">
        <v>341</v>
      </c>
      <c r="G179" s="1142"/>
      <c r="H179" s="1146">
        <f>+'WKSHT6 - Cost of Capital'!P26</f>
        <v>1945126</v>
      </c>
      <c r="I179" s="26"/>
      <c r="J179" s="827"/>
      <c r="K179" s="502"/>
      <c r="L179" s="951"/>
      <c r="M179" s="426"/>
    </row>
    <row r="180" spans="1:13" ht="15.75" customHeight="1">
      <c r="A180" s="638">
        <f t="shared" si="3"/>
        <v>109</v>
      </c>
      <c r="B180" s="1142"/>
      <c r="C180" s="1142" t="s">
        <v>318</v>
      </c>
      <c r="D180" s="1142" t="s">
        <v>343</v>
      </c>
      <c r="E180" s="1144"/>
      <c r="F180" s="1145" t="s">
        <v>341</v>
      </c>
      <c r="G180" s="1142"/>
      <c r="H180" s="1146">
        <f>+'WKSHT6 - Cost of Capital'!P27</f>
        <v>0</v>
      </c>
      <c r="I180" s="26"/>
      <c r="J180" s="827"/>
      <c r="K180" s="502"/>
      <c r="L180" s="951"/>
      <c r="M180" s="426"/>
    </row>
    <row r="181" spans="1:13" ht="15.75" customHeight="1">
      <c r="A181" s="638">
        <f>+A180+1</f>
        <v>110</v>
      </c>
      <c r="B181" s="1142"/>
      <c r="C181" s="1142" t="s">
        <v>336</v>
      </c>
      <c r="D181" s="1142" t="s">
        <v>343</v>
      </c>
      <c r="E181" s="1144"/>
      <c r="F181" s="1145" t="s">
        <v>342</v>
      </c>
      <c r="G181" s="1142"/>
      <c r="H181" s="1146">
        <v>0</v>
      </c>
      <c r="I181" s="26"/>
      <c r="J181" s="827"/>
      <c r="K181" s="502"/>
      <c r="L181" s="951"/>
      <c r="M181" s="426"/>
    </row>
    <row r="182" spans="1:13" ht="15.75" customHeight="1">
      <c r="A182" s="638">
        <f>+A181+1</f>
        <v>111</v>
      </c>
      <c r="B182" s="1142"/>
      <c r="C182" s="1147" t="s">
        <v>319</v>
      </c>
      <c r="D182" s="1147" t="s">
        <v>343</v>
      </c>
      <c r="E182" s="1148"/>
      <c r="F182" s="1149" t="s">
        <v>341</v>
      </c>
      <c r="G182" s="1150"/>
      <c r="H182" s="1150">
        <f>+'WKSHT6 - Cost of Capital'!P28</f>
        <v>0</v>
      </c>
      <c r="I182" s="26"/>
      <c r="J182" s="827"/>
      <c r="K182" s="502"/>
      <c r="L182" s="951"/>
      <c r="M182" s="426"/>
    </row>
    <row r="183" spans="1:13" ht="15.75" customHeight="1">
      <c r="A183" s="638">
        <f>+A182+1</f>
        <v>112</v>
      </c>
      <c r="B183" s="1142"/>
      <c r="C183" s="1142" t="s">
        <v>674</v>
      </c>
      <c r="D183" s="1142" t="str">
        <f>"(Sum Ln "&amp;A177&amp;" through "&amp;A183&amp;""</f>
        <v>(Sum Ln 106 through 112</v>
      </c>
      <c r="E183" s="1144"/>
      <c r="F183" s="1145"/>
      <c r="G183" s="1142"/>
      <c r="H183" s="1146">
        <f>SUM(H177:H182)</f>
        <v>290936829</v>
      </c>
      <c r="I183" s="26"/>
      <c r="J183" s="827"/>
      <c r="K183" s="1386"/>
      <c r="L183" s="951"/>
      <c r="M183" s="426"/>
    </row>
    <row r="184" spans="1:13" ht="15.75" customHeight="1">
      <c r="A184" s="638"/>
      <c r="B184" s="1142"/>
      <c r="C184" s="1142"/>
      <c r="D184" s="1142"/>
      <c r="E184" s="1144"/>
      <c r="F184" s="1145"/>
      <c r="G184" s="1142"/>
      <c r="H184" s="1146"/>
      <c r="I184" s="26"/>
      <c r="J184" s="827"/>
      <c r="K184" s="1386"/>
      <c r="L184" s="951"/>
      <c r="M184" s="426"/>
    </row>
    <row r="185" spans="1:13" ht="15.75" customHeight="1">
      <c r="A185" s="638"/>
      <c r="B185" s="1138" t="s">
        <v>345</v>
      </c>
      <c r="C185" s="1139"/>
      <c r="D185" s="1142"/>
      <c r="E185" s="1144"/>
      <c r="F185" s="1145"/>
      <c r="G185" s="1142"/>
      <c r="H185" s="1153"/>
      <c r="I185" s="26"/>
      <c r="J185" s="827"/>
      <c r="K185" s="1386"/>
      <c r="L185" s="951"/>
      <c r="M185" s="426"/>
    </row>
    <row r="186" spans="1:13" ht="15.75" customHeight="1">
      <c r="A186" s="638">
        <f>+A183+1</f>
        <v>113</v>
      </c>
      <c r="B186" s="1142"/>
      <c r="C186" s="1142" t="s">
        <v>320</v>
      </c>
      <c r="D186" s="1142" t="s">
        <v>343</v>
      </c>
      <c r="E186" s="1144"/>
      <c r="F186" s="1145"/>
      <c r="G186" s="1142"/>
      <c r="H186" s="1146">
        <f>+'WKSHT6 - Cost of Capital'!P32</f>
        <v>0</v>
      </c>
      <c r="I186" s="26"/>
      <c r="J186" s="827"/>
      <c r="K186" s="1386"/>
      <c r="L186" s="951"/>
      <c r="M186" s="426"/>
    </row>
    <row r="187" spans="1:13" ht="15.75" customHeight="1">
      <c r="A187" s="638">
        <f t="shared" si="3"/>
        <v>114</v>
      </c>
      <c r="B187" s="1142"/>
      <c r="C187" s="1142" t="s">
        <v>321</v>
      </c>
      <c r="D187" s="1142" t="s">
        <v>343</v>
      </c>
      <c r="E187" s="1144"/>
      <c r="F187" s="1145"/>
      <c r="G187" s="1142"/>
      <c r="H187" s="1146">
        <f>+'WKSHT6 - Cost of Capital'!P33</f>
        <v>0</v>
      </c>
      <c r="I187" s="26"/>
      <c r="J187" s="827"/>
      <c r="K187" s="1386"/>
      <c r="L187" s="951"/>
      <c r="M187" s="426"/>
    </row>
    <row r="188" spans="1:13" ht="15.75" customHeight="1">
      <c r="A188" s="638">
        <f t="shared" si="3"/>
        <v>115</v>
      </c>
      <c r="B188" s="1142"/>
      <c r="C188" s="1142" t="s">
        <v>322</v>
      </c>
      <c r="D188" s="1142" t="s">
        <v>343</v>
      </c>
      <c r="E188" s="1144"/>
      <c r="F188" s="1145"/>
      <c r="G188" s="1142"/>
      <c r="H188" s="1146">
        <f>+'WKSHT6 - Cost of Capital'!P34</f>
        <v>0</v>
      </c>
      <c r="I188" s="26"/>
      <c r="J188" s="827"/>
      <c r="K188" s="1386"/>
      <c r="L188" s="951"/>
      <c r="M188" s="426"/>
    </row>
    <row r="189" spans="1:13" ht="15.75" customHeight="1">
      <c r="A189" s="638">
        <f t="shared" si="3"/>
        <v>116</v>
      </c>
      <c r="B189" s="1142"/>
      <c r="C189" s="1142" t="s">
        <v>323</v>
      </c>
      <c r="D189" s="1142" t="s">
        <v>343</v>
      </c>
      <c r="E189" s="1144"/>
      <c r="F189" s="1145"/>
      <c r="G189" s="1142"/>
      <c r="H189" s="1146">
        <f>+'WKSHT6 - Cost of Capital'!P35</f>
        <v>0</v>
      </c>
      <c r="I189" s="26"/>
      <c r="J189" s="827"/>
      <c r="K189" s="502"/>
      <c r="L189" s="951"/>
      <c r="M189" s="426"/>
    </row>
    <row r="190" spans="1:13" ht="15.75" customHeight="1">
      <c r="A190" s="638">
        <f t="shared" si="3"/>
        <v>117</v>
      </c>
      <c r="B190" s="1142"/>
      <c r="C190" s="1142" t="s">
        <v>324</v>
      </c>
      <c r="D190" s="1142" t="s">
        <v>343</v>
      </c>
      <c r="E190" s="1144"/>
      <c r="F190" s="1145"/>
      <c r="G190" s="1142"/>
      <c r="H190" s="1146">
        <f>+'WKSHT6 - Cost of Capital'!P36</f>
        <v>0</v>
      </c>
      <c r="I190" s="26"/>
      <c r="J190" s="827"/>
      <c r="K190" s="1386"/>
      <c r="L190" s="951"/>
      <c r="M190" s="426"/>
    </row>
    <row r="191" spans="1:13" ht="15.75" customHeight="1">
      <c r="A191" s="638">
        <f t="shared" si="3"/>
        <v>118</v>
      </c>
      <c r="B191" s="1142"/>
      <c r="C191" s="1147" t="s">
        <v>325</v>
      </c>
      <c r="D191" s="1147" t="s">
        <v>343</v>
      </c>
      <c r="E191" s="1148"/>
      <c r="F191" s="1149"/>
      <c r="G191" s="1150"/>
      <c r="H191" s="1150">
        <f>+'WKSHT6 - Cost of Capital'!P37</f>
        <v>0</v>
      </c>
      <c r="I191" s="26"/>
      <c r="J191" s="827"/>
      <c r="K191" s="1386"/>
      <c r="L191" s="951"/>
      <c r="M191" s="426"/>
    </row>
    <row r="192" spans="1:13" ht="15.75" customHeight="1">
      <c r="A192" s="638">
        <f t="shared" si="3"/>
        <v>119</v>
      </c>
      <c r="B192" s="1142"/>
      <c r="C192" s="1142" t="s">
        <v>326</v>
      </c>
      <c r="D192" s="1142" t="str">
        <f>"(Sum Ln "&amp;A186&amp;" through "&amp;A191&amp;""</f>
        <v>(Sum Ln 113 through 118</v>
      </c>
      <c r="E192" s="1142"/>
      <c r="F192" s="1141"/>
      <c r="G192" s="1142"/>
      <c r="H192" s="1146">
        <f>SUM(H186:H191)</f>
        <v>0</v>
      </c>
      <c r="I192" s="26"/>
      <c r="J192" s="827"/>
      <c r="K192" s="1386"/>
      <c r="L192" s="951"/>
      <c r="M192" s="426"/>
    </row>
    <row r="193" spans="1:13" ht="15.75" customHeight="1">
      <c r="A193" s="638"/>
      <c r="B193" s="1142"/>
      <c r="C193" s="1142"/>
      <c r="D193" s="1142"/>
      <c r="E193" s="1142"/>
      <c r="F193" s="1141"/>
      <c r="G193" s="1142"/>
      <c r="H193" s="1146"/>
      <c r="I193" s="26"/>
      <c r="J193" s="827"/>
      <c r="K193" s="1386"/>
      <c r="L193" s="951"/>
      <c r="M193" s="426"/>
    </row>
    <row r="194" spans="1:13" ht="15.75" customHeight="1">
      <c r="A194" s="638">
        <f>+A192+1</f>
        <v>120</v>
      </c>
      <c r="B194" s="1142"/>
      <c r="C194" s="1142" t="s">
        <v>675</v>
      </c>
      <c r="D194" s="1142" t="s">
        <v>343</v>
      </c>
      <c r="E194" s="1144"/>
      <c r="F194" s="1145" t="s">
        <v>327</v>
      </c>
      <c r="G194" s="1142"/>
      <c r="H194" s="1146">
        <f>+'WKSHT6 - Cost of Capital'!P39</f>
        <v>0</v>
      </c>
      <c r="I194" s="26"/>
      <c r="J194" s="827"/>
      <c r="K194" s="1386"/>
      <c r="L194" s="951"/>
      <c r="M194" s="426"/>
    </row>
    <row r="195" spans="1:13" ht="15.75" customHeight="1">
      <c r="A195" s="638"/>
      <c r="B195" s="1142"/>
      <c r="C195" s="1142"/>
      <c r="D195" s="1142"/>
      <c r="E195" s="1144"/>
      <c r="F195" s="1145"/>
      <c r="G195" s="1142"/>
      <c r="H195" s="1146"/>
      <c r="I195" s="26"/>
      <c r="J195" s="827"/>
      <c r="K195" s="502"/>
      <c r="L195" s="951"/>
      <c r="M195" s="426"/>
    </row>
    <row r="196" spans="1:13" ht="15.75" customHeight="1">
      <c r="A196" s="638"/>
      <c r="B196" s="1138" t="s">
        <v>739</v>
      </c>
      <c r="C196" s="1139"/>
      <c r="D196" s="1142"/>
      <c r="E196" s="1144"/>
      <c r="F196" s="1145"/>
      <c r="G196" s="1142"/>
      <c r="H196" s="1153"/>
      <c r="I196" s="26"/>
      <c r="J196" s="827"/>
      <c r="K196" s="502"/>
      <c r="L196" s="951"/>
      <c r="M196" s="426"/>
    </row>
    <row r="197" spans="1:13" ht="15.75" customHeight="1">
      <c r="A197" s="638">
        <f>+A194+1</f>
        <v>121</v>
      </c>
      <c r="B197" s="1142"/>
      <c r="C197" s="1142" t="s">
        <v>852</v>
      </c>
      <c r="D197" s="1142" t="s">
        <v>343</v>
      </c>
      <c r="E197" s="1144"/>
      <c r="F197" s="1145"/>
      <c r="G197" s="1142"/>
      <c r="H197" s="1146">
        <f>+'WKSHT6 - Cost of Capital'!P42</f>
        <v>5310010036.9230766</v>
      </c>
      <c r="I197" s="26"/>
      <c r="J197" s="827"/>
      <c r="K197" s="502"/>
      <c r="L197" s="951"/>
      <c r="M197" s="426"/>
    </row>
    <row r="198" spans="1:13" ht="15.75" customHeight="1">
      <c r="A198" s="638">
        <f t="shared" si="3"/>
        <v>122</v>
      </c>
      <c r="B198" s="1142"/>
      <c r="C198" s="1142" t="s">
        <v>328</v>
      </c>
      <c r="D198" s="1142" t="s">
        <v>343</v>
      </c>
      <c r="E198" s="1144"/>
      <c r="F198" s="1145"/>
      <c r="G198" s="1142"/>
      <c r="H198" s="1146">
        <f>+'WKSHT6 - Cost of Capital'!P43</f>
        <v>0.1</v>
      </c>
      <c r="I198" s="26"/>
      <c r="J198" s="827"/>
      <c r="K198" s="502"/>
      <c r="L198" s="951"/>
      <c r="M198" s="426"/>
    </row>
    <row r="199" spans="1:13" ht="15.75" customHeight="1">
      <c r="A199" s="638">
        <f t="shared" si="3"/>
        <v>123</v>
      </c>
      <c r="B199" s="1142"/>
      <c r="C199" s="1142" t="s">
        <v>329</v>
      </c>
      <c r="D199" s="1142" t="s">
        <v>343</v>
      </c>
      <c r="E199" s="1144"/>
      <c r="F199" s="1145"/>
      <c r="G199" s="1142"/>
      <c r="H199" s="1146">
        <f>+'WKSHT6 - Cost of Capital'!P44</f>
        <v>-13170198</v>
      </c>
      <c r="I199" s="26"/>
      <c r="J199" s="827"/>
      <c r="K199" s="502"/>
      <c r="L199" s="951"/>
      <c r="M199" s="426"/>
    </row>
    <row r="200" spans="1:13" ht="15.75" customHeight="1">
      <c r="A200" s="638">
        <f t="shared" si="3"/>
        <v>124</v>
      </c>
      <c r="B200" s="1142"/>
      <c r="C200" s="1147" t="s">
        <v>330</v>
      </c>
      <c r="D200" s="1147" t="s">
        <v>343</v>
      </c>
      <c r="E200" s="1148"/>
      <c r="F200" s="1149"/>
      <c r="G200" s="1150"/>
      <c r="H200" s="1150">
        <f>+'WKSHT6 - Cost of Capital'!P45</f>
        <v>-57993069.846153848</v>
      </c>
      <c r="I200" s="26"/>
      <c r="J200" s="827"/>
      <c r="K200" s="502"/>
      <c r="L200" s="951"/>
      <c r="M200" s="426"/>
    </row>
    <row r="201" spans="1:13" ht="15.75" customHeight="1">
      <c r="A201" s="638">
        <f t="shared" si="3"/>
        <v>125</v>
      </c>
      <c r="B201" s="1142"/>
      <c r="C201" s="1142" t="s">
        <v>676</v>
      </c>
      <c r="D201" s="1142" t="str">
        <f>"(Sum Ln "&amp;A197&amp;" through "&amp;A200&amp;""</f>
        <v>(Sum Ln 121 through 124</v>
      </c>
      <c r="E201" s="1142"/>
      <c r="F201" s="1141"/>
      <c r="G201" s="1142"/>
      <c r="H201" s="1146">
        <f>+H197-H198-H199-H200</f>
        <v>5381173304.6692305</v>
      </c>
      <c r="I201" s="26"/>
      <c r="J201" s="827"/>
      <c r="K201" s="502"/>
      <c r="L201" s="951"/>
      <c r="M201" s="426"/>
    </row>
    <row r="202" spans="1:13" ht="15.75" customHeight="1">
      <c r="A202" s="638"/>
      <c r="B202" s="1142"/>
      <c r="C202" s="1142"/>
      <c r="D202" s="1142"/>
      <c r="E202" s="1142"/>
      <c r="F202" s="1141"/>
      <c r="G202" s="1142"/>
      <c r="H202" s="1146"/>
      <c r="I202" s="26"/>
      <c r="J202" s="827"/>
      <c r="K202" s="502"/>
      <c r="L202" s="951"/>
      <c r="M202" s="426"/>
    </row>
    <row r="203" spans="1:13" ht="15.75" customHeight="1">
      <c r="A203" s="638">
        <f>+A201+1</f>
        <v>126</v>
      </c>
      <c r="B203" s="36"/>
      <c r="C203" s="390" t="s">
        <v>331</v>
      </c>
      <c r="D203" s="393" t="s">
        <v>744</v>
      </c>
      <c r="E203" s="71" t="s">
        <v>107</v>
      </c>
      <c r="F203" s="1037" t="str">
        <f>"1 minus Sum Lines "&amp;A204&amp;" &amp; "&amp;A205&amp;"))"</f>
        <v>1 minus Sum Lines 127 &amp; 128))</v>
      </c>
      <c r="G203" s="328"/>
      <c r="H203" s="918">
        <f>1-H204-H205</f>
        <v>0.51276307152179434</v>
      </c>
      <c r="I203" s="26"/>
      <c r="J203" s="827"/>
      <c r="K203" s="502"/>
      <c r="L203" s="951"/>
      <c r="M203" s="426"/>
    </row>
    <row r="204" spans="1:13" ht="15.75" customHeight="1">
      <c r="A204" s="638">
        <f>+A203+1</f>
        <v>127</v>
      </c>
      <c r="B204" s="36"/>
      <c r="C204" s="390" t="s">
        <v>332</v>
      </c>
      <c r="D204" s="393" t="s">
        <v>764</v>
      </c>
      <c r="E204" s="71"/>
      <c r="F204" s="1027" t="str">
        <f>"(Line "&amp;A192&amp;" / (Lines "&amp;A$167&amp;" + "&amp;A$192&amp;" +"&amp;A$201&amp;"))"</f>
        <v>(Line 119 / (Lines 99 + 119 +125))</v>
      </c>
      <c r="G204" s="328"/>
      <c r="H204" s="1154">
        <f>H192/(H167+H192+H201)</f>
        <v>0</v>
      </c>
      <c r="I204" s="26"/>
      <c r="J204" s="827"/>
      <c r="K204" s="502"/>
      <c r="L204" s="951"/>
      <c r="M204" s="426"/>
    </row>
    <row r="205" spans="1:13" ht="15.75" customHeight="1">
      <c r="A205" s="638">
        <f>+A204+1</f>
        <v>128</v>
      </c>
      <c r="B205" s="36"/>
      <c r="C205" s="390" t="s">
        <v>333</v>
      </c>
      <c r="D205" s="393" t="s">
        <v>769</v>
      </c>
      <c r="E205" s="71"/>
      <c r="F205" s="1037" t="str">
        <f>"Lesser of 50% or (Line "&amp;A201&amp;" / (Lines "&amp;A$167&amp;" + "&amp;A$192&amp;" +"&amp;A$201&amp;"))"</f>
        <v>Lesser of 50% or (Line 125 / (Lines 99 + 119 +125))</v>
      </c>
      <c r="G205" s="328"/>
      <c r="H205" s="1154">
        <f>IF(H201/(H167+H192+H201)&gt;0.5,0.5,H201/(H167+H192+H201))</f>
        <v>0.48723692847820566</v>
      </c>
      <c r="I205" s="26"/>
      <c r="J205" s="827"/>
      <c r="K205" s="502"/>
      <c r="L205" s="951"/>
      <c r="M205" s="426"/>
    </row>
    <row r="206" spans="1:13" ht="18">
      <c r="A206" s="638"/>
      <c r="B206" s="36"/>
      <c r="C206" s="1155"/>
      <c r="D206" s="25"/>
      <c r="E206" s="74"/>
      <c r="F206" s="1027"/>
      <c r="G206" s="328"/>
      <c r="H206" s="1385"/>
      <c r="I206" s="26"/>
      <c r="J206" s="827"/>
      <c r="K206" s="502"/>
      <c r="L206" s="951"/>
      <c r="M206" s="426"/>
    </row>
    <row r="207" spans="1:13" ht="15.75" customHeight="1">
      <c r="A207" s="638"/>
      <c r="B207" s="36"/>
      <c r="C207" s="1155"/>
      <c r="D207" s="25"/>
      <c r="E207" s="74"/>
      <c r="F207" s="1027"/>
      <c r="G207" s="508"/>
      <c r="H207" s="827"/>
      <c r="I207" s="26"/>
      <c r="J207" s="827"/>
      <c r="K207" s="502"/>
      <c r="L207" s="951"/>
      <c r="M207" s="426"/>
    </row>
    <row r="208" spans="1:13" ht="66.75" customHeight="1">
      <c r="A208" s="638">
        <f>+A205+1</f>
        <v>129</v>
      </c>
      <c r="B208" s="36"/>
      <c r="C208" s="1155" t="s">
        <v>910</v>
      </c>
      <c r="D208" s="1156" t="s">
        <v>334</v>
      </c>
      <c r="E208" s="74"/>
      <c r="F208" s="1027" t="str">
        <f>"(Line "&amp;A183&amp;" / Line "&amp;A174&amp;")"</f>
        <v>(Line 112 / Line 105)</v>
      </c>
      <c r="G208" s="328"/>
      <c r="H208" s="918">
        <f>H183/H174</f>
        <v>5.2069531043517386E-2</v>
      </c>
      <c r="I208" s="26"/>
      <c r="J208" s="827"/>
      <c r="K208" s="502"/>
      <c r="L208" s="951"/>
      <c r="M208" s="426"/>
    </row>
    <row r="209" spans="1:13" ht="15.75" customHeight="1">
      <c r="A209" s="638">
        <f>+A208+1</f>
        <v>130</v>
      </c>
      <c r="B209" s="36"/>
      <c r="C209" s="1155" t="s">
        <v>916</v>
      </c>
      <c r="D209" s="1156" t="s">
        <v>335</v>
      </c>
      <c r="E209" s="74"/>
      <c r="F209" s="1027" t="str">
        <f>"(Line "&amp;A194&amp;" / Line "&amp;A192&amp;")"</f>
        <v>(Line 120 / Line 119)</v>
      </c>
      <c r="G209" s="328"/>
      <c r="H209" s="918">
        <f>IF(H194=0,0,H194/H192)</f>
        <v>0</v>
      </c>
      <c r="I209" s="26"/>
      <c r="J209" s="827"/>
      <c r="K209" s="502"/>
      <c r="L209" s="951"/>
      <c r="M209" s="426"/>
    </row>
    <row r="210" spans="1:13" ht="15.75" customHeight="1">
      <c r="A210" s="638">
        <f>+A209+1</f>
        <v>131</v>
      </c>
      <c r="B210" s="36"/>
      <c r="C210" s="1155" t="s">
        <v>911</v>
      </c>
      <c r="D210" s="393" t="s">
        <v>739</v>
      </c>
      <c r="E210" s="71" t="str">
        <f>"(Note "&amp;B306&amp;")"</f>
        <v>(Note J)</v>
      </c>
      <c r="F210" s="1027" t="s">
        <v>893</v>
      </c>
      <c r="G210" s="328"/>
      <c r="H210" s="918">
        <v>9.8000000000000004E-2</v>
      </c>
      <c r="I210" s="26"/>
      <c r="J210" s="827"/>
      <c r="K210" s="502"/>
      <c r="L210" s="951"/>
      <c r="M210" s="426"/>
    </row>
    <row r="211" spans="1:13" ht="15.75" customHeight="1">
      <c r="A211" s="638"/>
      <c r="B211" s="36"/>
      <c r="C211" s="1155"/>
      <c r="D211" s="393"/>
      <c r="E211" s="71"/>
      <c r="F211" s="1027"/>
      <c r="G211" s="328"/>
      <c r="H211" s="918"/>
      <c r="I211" s="26"/>
      <c r="J211" s="827"/>
      <c r="K211" s="502"/>
      <c r="L211" s="951"/>
      <c r="M211" s="426"/>
    </row>
    <row r="212" spans="1:13" ht="15.75" customHeight="1">
      <c r="A212" s="638">
        <f>+A210+1</f>
        <v>132</v>
      </c>
      <c r="B212" s="69"/>
      <c r="C212" s="390" t="s">
        <v>912</v>
      </c>
      <c r="D212" s="393"/>
      <c r="E212" s="74"/>
      <c r="F212" s="1027" t="str">
        <f>"(Line "&amp;A203&amp;" * "&amp;A208&amp;")"</f>
        <v>(Line 126 * 129)</v>
      </c>
      <c r="G212" s="104"/>
      <c r="H212" s="919">
        <f>+H203*H208</f>
        <v>2.6699332670573398E-2</v>
      </c>
      <c r="I212" s="426"/>
      <c r="J212" s="502"/>
      <c r="K212" s="502"/>
      <c r="L212" s="951"/>
      <c r="M212" s="426"/>
    </row>
    <row r="213" spans="1:13" ht="15.75" customHeight="1">
      <c r="A213" s="638">
        <f>+A212+1</f>
        <v>133</v>
      </c>
      <c r="B213" s="69"/>
      <c r="C213" s="390" t="s">
        <v>942</v>
      </c>
      <c r="D213" s="393"/>
      <c r="E213" s="74"/>
      <c r="F213" s="1027" t="str">
        <f>"(Line "&amp;A204&amp;" * "&amp;A209&amp;")"</f>
        <v>(Line 127 * 130)</v>
      </c>
      <c r="G213" s="104"/>
      <c r="H213" s="919">
        <f>+H204*H209</f>
        <v>0</v>
      </c>
      <c r="I213" s="426"/>
      <c r="J213" s="502"/>
      <c r="K213" s="502"/>
      <c r="L213" s="951"/>
      <c r="M213" s="426"/>
    </row>
    <row r="214" spans="1:13" ht="15.75" customHeight="1">
      <c r="A214" s="638">
        <f>+A213+1</f>
        <v>134</v>
      </c>
      <c r="B214" s="60"/>
      <c r="C214" s="33" t="s">
        <v>913</v>
      </c>
      <c r="D214" s="322"/>
      <c r="E214" s="67"/>
      <c r="F214" s="1034" t="str">
        <f>"(Line "&amp;A205&amp;" * "&amp;A210&amp;")"</f>
        <v>(Line 128 * 131)</v>
      </c>
      <c r="G214" s="788"/>
      <c r="H214" s="922">
        <f>+H205*H210</f>
        <v>4.7749218990864158E-2</v>
      </c>
      <c r="I214" s="426"/>
      <c r="J214" s="501"/>
      <c r="K214" s="501"/>
      <c r="L214" s="960"/>
      <c r="M214" s="426"/>
    </row>
    <row r="215" spans="1:13" s="1" customFormat="1" ht="15.75" customHeight="1">
      <c r="A215" s="952">
        <f>+A214+1</f>
        <v>135</v>
      </c>
      <c r="B215" s="27" t="s">
        <v>745</v>
      </c>
      <c r="C215" s="27"/>
      <c r="D215" s="47"/>
      <c r="E215" s="68"/>
      <c r="F215" s="1021" t="str">
        <f>"(Sum Lines "&amp;A212&amp;" to "&amp;A214&amp;")"</f>
        <v>(Sum Lines 132 to 134)</v>
      </c>
      <c r="G215" s="443"/>
      <c r="H215" s="923">
        <f>SUM(H212:H214)</f>
        <v>7.4448551661437559E-2</v>
      </c>
      <c r="I215" s="971"/>
      <c r="J215" s="512"/>
      <c r="K215" s="512"/>
      <c r="L215" s="1000"/>
      <c r="M215" s="971"/>
    </row>
    <row r="216" spans="1:13" s="1" customFormat="1" ht="15.75" customHeight="1">
      <c r="A216" s="1001"/>
      <c r="B216" s="408"/>
      <c r="C216" s="27"/>
      <c r="D216" s="47"/>
      <c r="E216" s="68"/>
      <c r="F216" s="1047"/>
      <c r="G216" s="443"/>
      <c r="H216" s="924"/>
      <c r="I216" s="971"/>
      <c r="J216" s="512"/>
      <c r="K216" s="512"/>
      <c r="L216" s="1000"/>
      <c r="M216" s="971"/>
    </row>
    <row r="217" spans="1:13" ht="16.5" customHeight="1" thickBot="1">
      <c r="A217" s="952">
        <f>+A215+1</f>
        <v>136</v>
      </c>
      <c r="B217" s="39" t="s">
        <v>816</v>
      </c>
      <c r="C217" s="38"/>
      <c r="D217" s="37"/>
      <c r="E217" s="439"/>
      <c r="F217" s="1036" t="str">
        <f>"(Line "&amp;A102&amp;" * "&amp;A215&amp;")"</f>
        <v>(Line 59 * 135)</v>
      </c>
      <c r="G217" s="1067"/>
      <c r="H217" s="1036">
        <f>+H102*H215</f>
        <v>92434979.410600781</v>
      </c>
      <c r="I217" s="1063"/>
      <c r="J217" s="513">
        <f>$H$217*J103</f>
        <v>87704604.340208024</v>
      </c>
      <c r="K217" s="513">
        <f>+H215*K102</f>
        <v>1588434.2982484319</v>
      </c>
      <c r="L217" s="993">
        <f>$H$217*L103</f>
        <v>3141940.7721443172</v>
      </c>
      <c r="M217" s="426"/>
    </row>
    <row r="218" spans="1:13" ht="16.5" customHeight="1" thickTop="1">
      <c r="A218" s="952"/>
      <c r="B218" s="23"/>
      <c r="C218" s="381"/>
      <c r="D218" s="21"/>
      <c r="E218" s="61"/>
      <c r="F218" s="1021"/>
      <c r="G218" s="97"/>
      <c r="H218" s="925"/>
      <c r="I218" s="426"/>
      <c r="J218" s="501"/>
      <c r="K218" s="501"/>
      <c r="L218" s="960"/>
      <c r="M218" s="426"/>
    </row>
    <row r="219" spans="1:13" ht="15.75" customHeight="1">
      <c r="A219" s="963" t="s">
        <v>602</v>
      </c>
      <c r="B219" s="29"/>
      <c r="C219" s="990"/>
      <c r="D219" s="40"/>
      <c r="E219" s="101"/>
      <c r="F219" s="1031"/>
      <c r="G219" s="977"/>
      <c r="H219" s="905"/>
      <c r="I219" s="964"/>
      <c r="J219" s="505"/>
      <c r="K219" s="505"/>
      <c r="L219" s="965"/>
      <c r="M219" s="426"/>
    </row>
    <row r="220" spans="1:13" ht="15.75" customHeight="1">
      <c r="A220" s="1002"/>
      <c r="B220" s="23"/>
      <c r="C220" s="11"/>
      <c r="D220" s="25"/>
      <c r="E220" s="382"/>
      <c r="F220" s="1024"/>
      <c r="G220" s="97"/>
      <c r="H220" s="521"/>
      <c r="I220" s="426"/>
      <c r="J220" s="501"/>
      <c r="K220" s="501"/>
      <c r="L220" s="960"/>
      <c r="M220" s="426"/>
    </row>
    <row r="221" spans="1:13" ht="15.75" customHeight="1">
      <c r="A221" s="952" t="s">
        <v>759</v>
      </c>
      <c r="B221" s="48" t="s">
        <v>817</v>
      </c>
      <c r="C221" s="21"/>
      <c r="D221" s="21"/>
      <c r="E221" s="382"/>
      <c r="F221" s="1021"/>
      <c r="G221" s="97"/>
      <c r="H221" s="926"/>
      <c r="I221" s="426"/>
      <c r="J221" s="501"/>
      <c r="K221" s="501"/>
      <c r="L221" s="960"/>
      <c r="M221" s="426"/>
    </row>
    <row r="222" spans="1:13" ht="15.75" customHeight="1">
      <c r="A222" s="952">
        <f>+A217+1</f>
        <v>137</v>
      </c>
      <c r="B222" s="23"/>
      <c r="C222" s="21" t="s">
        <v>815</v>
      </c>
      <c r="D222" s="21"/>
      <c r="E222" s="61"/>
      <c r="F222" s="1024"/>
      <c r="G222" s="97"/>
      <c r="H222" s="927">
        <v>0.21</v>
      </c>
      <c r="I222" s="426"/>
      <c r="J222" s="501"/>
      <c r="K222" s="501"/>
      <c r="L222" s="960"/>
      <c r="M222" s="426"/>
    </row>
    <row r="223" spans="1:13" ht="15.75" customHeight="1">
      <c r="A223" s="952">
        <f>+A222+1</f>
        <v>138</v>
      </c>
      <c r="B223" s="23"/>
      <c r="C223" s="1003" t="s">
        <v>814</v>
      </c>
      <c r="D223" s="1004"/>
      <c r="E223" s="71" t="str">
        <f>"(Note "&amp;B$305&amp;")"</f>
        <v>(Note I)</v>
      </c>
      <c r="F223" s="1024"/>
      <c r="G223" s="97"/>
      <c r="H223" s="927">
        <v>0</v>
      </c>
      <c r="I223" s="426"/>
      <c r="J223" s="501"/>
      <c r="K223" s="501"/>
      <c r="L223" s="960"/>
      <c r="M223" s="426"/>
    </row>
    <row r="224" spans="1:13" ht="15.75" customHeight="1">
      <c r="A224" s="952">
        <f>+A223+1</f>
        <v>139</v>
      </c>
      <c r="B224" s="23"/>
      <c r="C224" s="1003" t="s">
        <v>887</v>
      </c>
      <c r="D224" s="1003" t="s">
        <v>888</v>
      </c>
      <c r="E224" s="61"/>
      <c r="F224" s="1024" t="s">
        <v>726</v>
      </c>
      <c r="G224" s="97"/>
      <c r="H224" s="927">
        <v>0</v>
      </c>
      <c r="I224" s="426"/>
      <c r="J224" s="501"/>
      <c r="K224" s="501"/>
      <c r="L224" s="960"/>
      <c r="M224" s="426"/>
    </row>
    <row r="225" spans="1:13" ht="15.75" customHeight="1">
      <c r="A225" s="952">
        <f>+A224+1</f>
        <v>140</v>
      </c>
      <c r="B225" s="23"/>
      <c r="C225" s="1003" t="s">
        <v>616</v>
      </c>
      <c r="D225" s="394" t="s">
        <v>907</v>
      </c>
      <c r="E225" s="61"/>
      <c r="F225" s="1024"/>
      <c r="G225" s="97"/>
      <c r="H225" s="928">
        <f>IF(H222&gt;0,1-(((1-H223)*(1-H222))/(1-H223*H222*H224)),0)</f>
        <v>0.20999999999999996</v>
      </c>
      <c r="I225" s="426"/>
      <c r="J225" s="501"/>
      <c r="K225" s="501"/>
      <c r="L225" s="960"/>
      <c r="M225" s="426"/>
    </row>
    <row r="226" spans="1:13" ht="15.75" customHeight="1">
      <c r="A226" s="952">
        <f>+A225+1</f>
        <v>141</v>
      </c>
      <c r="B226" s="23"/>
      <c r="C226" s="1003" t="s">
        <v>886</v>
      </c>
      <c r="D226" s="1004"/>
      <c r="E226" s="61"/>
      <c r="F226" s="1024"/>
      <c r="G226" s="97"/>
      <c r="H226" s="927">
        <f>+H225/(1-H225)</f>
        <v>0.2658227848101265</v>
      </c>
      <c r="I226" s="426"/>
      <c r="J226" s="501"/>
      <c r="K226" s="501"/>
      <c r="L226" s="960"/>
      <c r="M226" s="426"/>
    </row>
    <row r="227" spans="1:13" ht="15.75" customHeight="1">
      <c r="A227" s="952"/>
      <c r="B227" s="23"/>
      <c r="C227" s="21"/>
      <c r="D227" s="21"/>
      <c r="E227" s="1005"/>
      <c r="F227" s="1048"/>
      <c r="G227" s="97"/>
      <c r="H227" s="928"/>
      <c r="I227" s="426"/>
      <c r="J227" s="501"/>
      <c r="K227" s="501"/>
      <c r="L227" s="960"/>
      <c r="M227" s="426"/>
    </row>
    <row r="228" spans="1:13" ht="15.75" customHeight="1">
      <c r="A228" s="952"/>
      <c r="B228" s="48" t="s">
        <v>812</v>
      </c>
      <c r="C228" s="381"/>
      <c r="D228" s="21"/>
      <c r="E228" s="71" t="str">
        <f>"(Note "&amp;B$305&amp;")"</f>
        <v>(Note I)</v>
      </c>
      <c r="F228" s="1021"/>
      <c r="G228" s="97"/>
      <c r="H228" s="929"/>
      <c r="I228" s="426"/>
      <c r="J228" s="501"/>
      <c r="K228" s="501"/>
      <c r="L228" s="960"/>
      <c r="M228" s="426"/>
    </row>
    <row r="229" spans="1:13" ht="15.75" customHeight="1">
      <c r="A229" s="952">
        <f>+A226+1</f>
        <v>142</v>
      </c>
      <c r="B229" s="23"/>
      <c r="C229" s="393" t="s">
        <v>483</v>
      </c>
      <c r="D229" s="25" t="str">
        <f>"(Note "&amp;$B$297&amp;")"</f>
        <v>(Note A)</v>
      </c>
      <c r="E229" s="956" t="s">
        <v>892</v>
      </c>
      <c r="F229" s="1046" t="s">
        <v>666</v>
      </c>
      <c r="G229" s="104"/>
      <c r="H229" s="508">
        <f>+'1 - ADIT'!H132</f>
        <v>0</v>
      </c>
      <c r="I229" s="941"/>
      <c r="J229" s="542"/>
      <c r="K229" s="501"/>
      <c r="L229" s="960"/>
      <c r="M229" s="426"/>
    </row>
    <row r="230" spans="1:13" ht="15.75" customHeight="1">
      <c r="A230" s="952">
        <f>+A229+1</f>
        <v>143</v>
      </c>
      <c r="B230" s="23"/>
      <c r="C230" s="393" t="s">
        <v>277</v>
      </c>
      <c r="D230" s="25"/>
      <c r="E230" s="23"/>
      <c r="F230" s="1027" t="str">
        <f>"(1 / (1-Line "&amp;A225&amp;"))"</f>
        <v>(1 / (1-Line 140))</v>
      </c>
      <c r="G230" s="104"/>
      <c r="H230" s="918">
        <f>1/(1-H225)</f>
        <v>1.2658227848101264</v>
      </c>
      <c r="I230" s="426"/>
      <c r="J230" s="501"/>
      <c r="K230" s="501"/>
      <c r="L230" s="960"/>
      <c r="M230" s="426"/>
    </row>
    <row r="231" spans="1:13" ht="15.75" customHeight="1">
      <c r="A231" s="952">
        <f>+A230+1</f>
        <v>144</v>
      </c>
      <c r="B231" s="23"/>
      <c r="C231" s="381" t="s">
        <v>807</v>
      </c>
      <c r="D231" s="32"/>
      <c r="E231" s="60"/>
      <c r="F231" s="1034" t="str">
        <f>"(Line "&amp;A$26&amp;")"</f>
        <v>(Line 14)</v>
      </c>
      <c r="G231" s="1051"/>
      <c r="H231" s="916">
        <f>+H26</f>
        <v>0.21764846437236576</v>
      </c>
      <c r="I231" s="426"/>
      <c r="J231" s="501"/>
      <c r="K231" s="501"/>
      <c r="L231" s="960"/>
      <c r="M231" s="426"/>
    </row>
    <row r="232" spans="1:13" ht="15.75" customHeight="1">
      <c r="A232" s="952">
        <f>+A231+1</f>
        <v>145</v>
      </c>
      <c r="B232" s="23"/>
      <c r="C232" s="49" t="s">
        <v>813</v>
      </c>
      <c r="D232" s="17"/>
      <c r="E232" s="71"/>
      <c r="F232" s="1021" t="str">
        <f>"(Line "&amp;A229&amp;" *  "&amp;A230&amp;" * "&amp;A231&amp;")"</f>
        <v>(Line 142 *  143 * 144)</v>
      </c>
      <c r="G232" s="97"/>
      <c r="H232" s="930">
        <f>+H229*H230*H231</f>
        <v>0</v>
      </c>
      <c r="I232" s="426"/>
      <c r="J232" s="501"/>
      <c r="K232" s="501"/>
      <c r="L232" s="960"/>
      <c r="M232" s="426"/>
    </row>
    <row r="233" spans="1:13" ht="15.75" customHeight="1">
      <c r="A233" s="952"/>
      <c r="B233" s="23"/>
      <c r="C233" s="59"/>
      <c r="D233" s="25"/>
      <c r="E233" s="71"/>
      <c r="F233" s="1021"/>
      <c r="G233" s="97"/>
      <c r="H233" s="1864"/>
      <c r="I233" s="426"/>
      <c r="J233" s="501"/>
      <c r="K233" s="501"/>
      <c r="L233" s="960"/>
      <c r="M233" s="426"/>
    </row>
    <row r="234" spans="1:13" ht="15.75" customHeight="1">
      <c r="A234" s="952"/>
      <c r="B234" s="48" t="s">
        <v>1240</v>
      </c>
      <c r="C234" s="59"/>
      <c r="D234" s="25"/>
      <c r="E234" s="71"/>
      <c r="F234" s="1021"/>
      <c r="G234" s="97"/>
      <c r="H234" s="1864"/>
      <c r="I234" s="426"/>
      <c r="J234" s="501"/>
      <c r="K234" s="501"/>
      <c r="L234" s="960"/>
      <c r="M234" s="426"/>
    </row>
    <row r="235" spans="1:13" ht="15.75" customHeight="1">
      <c r="A235" s="952" t="s">
        <v>1239</v>
      </c>
      <c r="B235" s="48"/>
      <c r="C235" s="59" t="s">
        <v>1242</v>
      </c>
      <c r="D235" s="25"/>
      <c r="E235" s="326"/>
      <c r="F235" s="1025" t="s">
        <v>667</v>
      </c>
      <c r="G235" s="12"/>
      <c r="H235" s="1864">
        <f>'5 - Cost Support'!H255</f>
        <v>-3962122.5756236343</v>
      </c>
      <c r="I235" s="426"/>
      <c r="J235" s="501"/>
      <c r="K235" s="501"/>
      <c r="L235" s="960"/>
      <c r="M235" s="426"/>
    </row>
    <row r="236" spans="1:13" ht="15.75" customHeight="1">
      <c r="A236" s="952" t="s">
        <v>1241</v>
      </c>
      <c r="B236" s="23"/>
      <c r="C236" s="59" t="s">
        <v>1243</v>
      </c>
      <c r="D236" s="21" t="s">
        <v>1244</v>
      </c>
      <c r="F236" s="1021" t="s">
        <v>1245</v>
      </c>
      <c r="G236" s="97"/>
      <c r="H236" s="1864">
        <f>H235*(1/(1-H225))</f>
        <v>-5015345.0324349795</v>
      </c>
      <c r="I236" s="426"/>
      <c r="J236" s="501"/>
      <c r="K236" s="501"/>
      <c r="L236" s="960"/>
      <c r="M236" s="426"/>
    </row>
    <row r="237" spans="1:13" ht="15.75" customHeight="1">
      <c r="A237" s="952"/>
      <c r="B237" s="23"/>
      <c r="C237" s="59"/>
      <c r="D237" s="25"/>
      <c r="E237" s="79"/>
      <c r="F237" s="1049"/>
      <c r="G237" s="97"/>
      <c r="H237" s="931"/>
      <c r="I237" s="426"/>
      <c r="J237" s="501"/>
      <c r="K237" s="501"/>
      <c r="L237" s="960"/>
      <c r="M237" s="426"/>
    </row>
    <row r="238" spans="1:13" ht="15.75" customHeight="1">
      <c r="A238" s="952">
        <f>+A232+1</f>
        <v>146</v>
      </c>
      <c r="B238" s="443" t="s">
        <v>838</v>
      </c>
      <c r="C238" s="26"/>
      <c r="D238" s="21" t="s">
        <v>840</v>
      </c>
      <c r="E238" s="382"/>
      <c r="F238" s="1021" t="str">
        <f>"[Line "&amp;A226&amp;" * "&amp;A217&amp;" * (1-("&amp;A212&amp;" / "&amp;A215&amp;"))]"</f>
        <v>[Line 141 * 136 * (1-(132 / 135))]</v>
      </c>
      <c r="G238" s="97"/>
      <c r="H238" s="522">
        <f>+H226*(1-H212/H215)*H217</f>
        <v>15759359.816093279</v>
      </c>
      <c r="I238" s="426"/>
      <c r="J238" s="501"/>
      <c r="K238" s="501"/>
      <c r="L238" s="960"/>
      <c r="M238" s="426"/>
    </row>
    <row r="239" spans="1:13" ht="15.75" customHeight="1">
      <c r="A239" s="952"/>
      <c r="B239" s="23"/>
      <c r="C239" s="24"/>
      <c r="D239" s="25"/>
      <c r="E239" s="69"/>
      <c r="F239" s="1041"/>
      <c r="G239" s="97"/>
      <c r="H239" s="932"/>
      <c r="I239" s="426"/>
      <c r="J239" s="501"/>
      <c r="K239" s="501"/>
      <c r="L239" s="960"/>
      <c r="M239" s="426"/>
    </row>
    <row r="240" spans="1:13" ht="16.5" customHeight="1" thickBot="1">
      <c r="A240" s="952">
        <f>+A238+1</f>
        <v>147</v>
      </c>
      <c r="B240" s="39" t="s">
        <v>735</v>
      </c>
      <c r="C240" s="39"/>
      <c r="D240" s="37"/>
      <c r="E240" s="64"/>
      <c r="F240" s="1036" t="str">
        <f>"(Line "&amp;A232&amp;" + 145b + "&amp;A238&amp;")"</f>
        <v>(Line 145 + 145b + 146)</v>
      </c>
      <c r="G240" s="1036"/>
      <c r="H240" s="933">
        <f>+H238+H236+H232</f>
        <v>10744014.7836583</v>
      </c>
      <c r="I240" s="1063"/>
      <c r="J240" s="513">
        <f>$H240*J$103</f>
        <v>10194188.08371618</v>
      </c>
      <c r="K240" s="513">
        <f>$H$240*K103</f>
        <v>184628.82441334581</v>
      </c>
      <c r="L240" s="993">
        <f>$H$240*L103</f>
        <v>365197.87552877341</v>
      </c>
      <c r="M240" s="426"/>
    </row>
    <row r="241" spans="1:16" ht="16.5" customHeight="1" thickTop="1">
      <c r="A241" s="952"/>
      <c r="B241" s="23"/>
      <c r="C241" s="394"/>
      <c r="D241" s="21"/>
      <c r="E241" s="61"/>
      <c r="F241" s="1037"/>
      <c r="G241" s="97"/>
      <c r="H241" s="934"/>
      <c r="I241" s="426"/>
      <c r="J241" s="501"/>
      <c r="K241" s="501"/>
      <c r="L241" s="960"/>
      <c r="M241" s="426"/>
    </row>
    <row r="242" spans="1:16" ht="15.75" customHeight="1">
      <c r="A242" s="963" t="s">
        <v>746</v>
      </c>
      <c r="B242" s="29"/>
      <c r="C242" s="990"/>
      <c r="D242" s="40"/>
      <c r="E242" s="378"/>
      <c r="F242" s="1031"/>
      <c r="G242" s="977"/>
      <c r="H242" s="905"/>
      <c r="I242" s="964"/>
      <c r="J242" s="505"/>
      <c r="K242" s="505"/>
      <c r="L242" s="965"/>
      <c r="M242" s="426"/>
      <c r="N242" s="56"/>
    </row>
    <row r="243" spans="1:16" ht="15.75" customHeight="1">
      <c r="A243" s="957"/>
      <c r="B243" s="26"/>
      <c r="C243" s="26"/>
      <c r="D243" s="26"/>
      <c r="E243" s="61"/>
      <c r="F243" s="1025"/>
      <c r="G243" s="97"/>
      <c r="H243" s="827"/>
      <c r="I243" s="426"/>
      <c r="J243" s="502"/>
      <c r="K243" s="502"/>
      <c r="L243" s="951"/>
      <c r="M243" s="426"/>
    </row>
    <row r="244" spans="1:16" ht="15.75" customHeight="1">
      <c r="A244" s="957"/>
      <c r="B244" s="443" t="s">
        <v>736</v>
      </c>
      <c r="C244" s="26"/>
      <c r="D244" s="26"/>
      <c r="E244" s="61"/>
      <c r="F244" s="1025"/>
      <c r="G244" s="97"/>
      <c r="H244" s="827"/>
      <c r="I244" s="426"/>
      <c r="J244" s="502"/>
      <c r="K244" s="502"/>
      <c r="L244" s="951"/>
      <c r="M244" s="426"/>
    </row>
    <row r="245" spans="1:16" ht="15.75" customHeight="1">
      <c r="A245" s="957">
        <f>+A240+1</f>
        <v>148</v>
      </c>
      <c r="B245" s="26"/>
      <c r="C245" s="26" t="s">
        <v>737</v>
      </c>
      <c r="D245" s="26"/>
      <c r="E245" s="61"/>
      <c r="F245" s="1021" t="str">
        <f>"(Line "&amp;A61&amp;")"</f>
        <v>(Line 37)</v>
      </c>
      <c r="G245" s="97"/>
      <c r="H245" s="515">
        <f>+H61</f>
        <v>1451615506.7118683</v>
      </c>
      <c r="I245" s="959"/>
      <c r="J245" s="515">
        <f>+J61</f>
        <v>1388076660.558022</v>
      </c>
      <c r="K245" s="515">
        <f>+K61</f>
        <v>21336000</v>
      </c>
      <c r="L245" s="1006">
        <f>+L61</f>
        <v>42202846.15384616</v>
      </c>
      <c r="M245" s="426"/>
      <c r="N245" s="1848"/>
    </row>
    <row r="246" spans="1:16" ht="15.75" customHeight="1">
      <c r="A246" s="952">
        <f>+A245+1</f>
        <v>149</v>
      </c>
      <c r="B246" s="26"/>
      <c r="C246" s="26" t="s">
        <v>833</v>
      </c>
      <c r="D246" s="26"/>
      <c r="E246" s="61"/>
      <c r="F246" s="1034" t="str">
        <f>"(Line "&amp;A100&amp;")"</f>
        <v>(Line 58)</v>
      </c>
      <c r="G246" s="788"/>
      <c r="H246" s="515">
        <f>+H100</f>
        <v>-210020104.95095354</v>
      </c>
      <c r="I246" s="959"/>
      <c r="J246" s="515">
        <f>+J100</f>
        <v>-210020104.95095354</v>
      </c>
      <c r="K246" s="515">
        <f>+K100</f>
        <v>0</v>
      </c>
      <c r="L246" s="1006">
        <f>+L100</f>
        <v>0</v>
      </c>
      <c r="M246" s="426"/>
      <c r="N246" s="1787"/>
    </row>
    <row r="247" spans="1:16" ht="15.75" customHeight="1">
      <c r="A247" s="952">
        <f>+A246+1</f>
        <v>150</v>
      </c>
      <c r="B247" s="23"/>
      <c r="C247" s="6" t="s">
        <v>837</v>
      </c>
      <c r="D247" s="50"/>
      <c r="E247" s="70"/>
      <c r="F247" s="1021" t="str">
        <f>"(Line "&amp;A102&amp;")"</f>
        <v>(Line 59)</v>
      </c>
      <c r="G247" s="97"/>
      <c r="H247" s="516">
        <f>+H102</f>
        <v>1241595401.7609148</v>
      </c>
      <c r="I247" s="938"/>
      <c r="J247" s="516">
        <f>+J102</f>
        <v>1178056555.6070685</v>
      </c>
      <c r="K247" s="516">
        <f>+K102</f>
        <v>21336000</v>
      </c>
      <c r="L247" s="1007">
        <f>+L102</f>
        <v>42202846.15384616</v>
      </c>
      <c r="M247" s="426"/>
      <c r="P247" s="56"/>
    </row>
    <row r="248" spans="1:16" ht="15.75" customHeight="1">
      <c r="A248" s="952"/>
      <c r="B248" s="23"/>
      <c r="C248" s="393"/>
      <c r="D248" s="25"/>
      <c r="E248" s="382"/>
      <c r="F248" s="1024"/>
      <c r="G248" s="97"/>
      <c r="H248" s="515"/>
      <c r="I248" s="426"/>
      <c r="J248" s="502"/>
      <c r="K248" s="502"/>
      <c r="L248" s="951"/>
      <c r="M248" s="426"/>
    </row>
    <row r="249" spans="1:16" ht="15.75" customHeight="1">
      <c r="A249" s="952">
        <f>+A247+1</f>
        <v>151</v>
      </c>
      <c r="B249" s="21"/>
      <c r="C249" s="393" t="s">
        <v>895</v>
      </c>
      <c r="D249" s="21"/>
      <c r="E249" s="61"/>
      <c r="F249" s="1021" t="str">
        <f>"(Line "&amp;A135&amp;")"</f>
        <v>(Line 82)</v>
      </c>
      <c r="G249" s="97"/>
      <c r="H249" s="515">
        <f>+H135</f>
        <v>43352561.681967586</v>
      </c>
      <c r="I249" s="959"/>
      <c r="J249" s="515">
        <f>+J135</f>
        <v>39157186.684858277</v>
      </c>
      <c r="K249" s="515">
        <f>+K135</f>
        <v>2006733.2476027785</v>
      </c>
      <c r="L249" s="1006">
        <f>+L135</f>
        <v>2188641.7495065359</v>
      </c>
      <c r="M249" s="404"/>
    </row>
    <row r="250" spans="1:16" ht="15.75" customHeight="1">
      <c r="A250" s="952">
        <f>+A249+1</f>
        <v>152</v>
      </c>
      <c r="B250" s="21"/>
      <c r="C250" s="24" t="s">
        <v>818</v>
      </c>
      <c r="D250" s="21"/>
      <c r="E250" s="61"/>
      <c r="F250" s="1021" t="str">
        <f>"(Line "&amp;A152&amp;")"</f>
        <v>(Line 92)</v>
      </c>
      <c r="G250" s="97"/>
      <c r="H250" s="515">
        <f>+H152</f>
        <v>57553021.336188801</v>
      </c>
      <c r="I250" s="959"/>
      <c r="J250" s="515">
        <f>+J152</f>
        <v>54445332.776188783</v>
      </c>
      <c r="K250" s="515">
        <f>+K152</f>
        <v>1486166.4000000004</v>
      </c>
      <c r="L250" s="1006">
        <f>+L152</f>
        <v>1621521.6199999999</v>
      </c>
      <c r="M250" s="404"/>
    </row>
    <row r="251" spans="1:16" ht="15.75" customHeight="1">
      <c r="A251" s="952">
        <f>+A250+1</f>
        <v>153</v>
      </c>
      <c r="B251" s="23"/>
      <c r="C251" s="393" t="s">
        <v>738</v>
      </c>
      <c r="D251" s="25"/>
      <c r="E251" s="382"/>
      <c r="F251" s="1021" t="str">
        <f>"(Line "&amp;A158&amp;")"</f>
        <v>(Line 94)</v>
      </c>
      <c r="G251" s="97"/>
      <c r="H251" s="515">
        <f>+H158</f>
        <v>8424809.5298072025</v>
      </c>
      <c r="I251" s="959"/>
      <c r="J251" s="515">
        <f>+J158</f>
        <v>6634431.2309272019</v>
      </c>
      <c r="K251" s="515">
        <f>+K158</f>
        <v>1242690.4688799998</v>
      </c>
      <c r="L251" s="1006">
        <f>+L158</f>
        <v>547687.83000000007</v>
      </c>
      <c r="M251" s="404"/>
    </row>
    <row r="252" spans="1:16" ht="15.75" customHeight="1">
      <c r="A252" s="952">
        <f>+A251+1</f>
        <v>154</v>
      </c>
      <c r="B252" s="23"/>
      <c r="C252" s="394" t="s">
        <v>859</v>
      </c>
      <c r="D252" s="25"/>
      <c r="E252" s="382"/>
      <c r="F252" s="1021" t="str">
        <f>"(Line "&amp;A217&amp;")"</f>
        <v>(Line 136)</v>
      </c>
      <c r="G252" s="97"/>
      <c r="H252" s="515">
        <f>+H217</f>
        <v>92434979.410600781</v>
      </c>
      <c r="I252" s="959"/>
      <c r="J252" s="515">
        <f>+J217</f>
        <v>87704604.340208024</v>
      </c>
      <c r="K252" s="515">
        <f>+K217</f>
        <v>1588434.2982484319</v>
      </c>
      <c r="L252" s="1006">
        <f>+L217</f>
        <v>3141940.7721443172</v>
      </c>
      <c r="M252" s="404"/>
    </row>
    <row r="253" spans="1:16" ht="15.75" customHeight="1">
      <c r="A253" s="952">
        <f>+A252+1</f>
        <v>155</v>
      </c>
      <c r="B253" s="23"/>
      <c r="C253" s="394" t="s">
        <v>860</v>
      </c>
      <c r="D253" s="25"/>
      <c r="E253" s="382"/>
      <c r="F253" s="1021" t="str">
        <f>"(Line "&amp;A240&amp;")"</f>
        <v>(Line 147)</v>
      </c>
      <c r="G253" s="97"/>
      <c r="H253" s="515">
        <f>+H240</f>
        <v>10744014.7836583</v>
      </c>
      <c r="I253" s="959"/>
      <c r="J253" s="515">
        <f>+J240</f>
        <v>10194188.08371618</v>
      </c>
      <c r="K253" s="515">
        <f>+K240</f>
        <v>184628.82441334581</v>
      </c>
      <c r="L253" s="1006">
        <f>+L240</f>
        <v>365197.87552877341</v>
      </c>
      <c r="M253" s="404"/>
    </row>
    <row r="254" spans="1:16" ht="16.5" customHeight="1" thickBot="1">
      <c r="A254" s="952"/>
      <c r="B254" s="23"/>
      <c r="C254" s="394"/>
      <c r="D254" s="25"/>
      <c r="E254" s="382"/>
      <c r="F254" s="1024"/>
      <c r="G254" s="97"/>
      <c r="H254" s="515"/>
      <c r="I254" s="959"/>
      <c r="J254" s="515"/>
      <c r="K254" s="515"/>
      <c r="L254" s="1006"/>
      <c r="M254" s="426"/>
    </row>
    <row r="255" spans="1:16" ht="18.75" customHeight="1" thickBot="1">
      <c r="A255" s="55">
        <f>+A253+1</f>
        <v>156</v>
      </c>
      <c r="B255" s="54"/>
      <c r="C255" s="395" t="s">
        <v>883</v>
      </c>
      <c r="D255" s="396"/>
      <c r="E255" s="397"/>
      <c r="F255" s="517" t="str">
        <f>"(Sum Lines "&amp;A249&amp;" to "&amp;A253&amp;")"</f>
        <v>(Sum Lines 151 to 155)</v>
      </c>
      <c r="G255" s="1068"/>
      <c r="H255" s="517">
        <f>SUM(H253,H252,H251,H250,H249)</f>
        <v>212509386.74222267</v>
      </c>
      <c r="I255" s="939"/>
      <c r="J255" s="517">
        <f>SUM(J253,J252,J251,J250,J249)</f>
        <v>198135743.11589849</v>
      </c>
      <c r="K255" s="517">
        <f>SUM(K253,K252,K251,K250,K249)</f>
        <v>6508653.2391445562</v>
      </c>
      <c r="L255" s="1008">
        <f>SUM(L253,L252,L251,L250,L249)</f>
        <v>7864989.8471796261</v>
      </c>
      <c r="M255" s="426"/>
      <c r="N255" s="1786"/>
      <c r="O255" s="1787"/>
    </row>
    <row r="256" spans="1:16" ht="18" customHeight="1">
      <c r="A256" s="1009"/>
      <c r="B256" s="75"/>
      <c r="C256" s="398"/>
      <c r="D256" s="399"/>
      <c r="E256" s="400"/>
      <c r="F256" s="1047"/>
      <c r="G256" s="97"/>
      <c r="H256" s="935"/>
      <c r="I256" s="426"/>
      <c r="J256" s="502"/>
      <c r="K256" s="502"/>
      <c r="L256" s="951"/>
      <c r="M256" s="426"/>
    </row>
    <row r="257" spans="1:16" ht="18" customHeight="1">
      <c r="A257" s="1009"/>
      <c r="B257" s="59" t="s">
        <v>786</v>
      </c>
      <c r="C257" s="398"/>
      <c r="D257" s="399"/>
      <c r="E257" s="400"/>
      <c r="F257" s="1047"/>
      <c r="G257" s="97"/>
      <c r="H257" s="935"/>
      <c r="I257" s="426"/>
      <c r="J257" s="502"/>
      <c r="K257" s="502"/>
      <c r="L257" s="951"/>
      <c r="M257" s="426"/>
      <c r="N257" s="1788"/>
    </row>
    <row r="258" spans="1:16" ht="18" customHeight="1">
      <c r="A258" s="638">
        <f>+A255+1</f>
        <v>157</v>
      </c>
      <c r="B258" s="69"/>
      <c r="C258" s="393" t="str">
        <f>+C31</f>
        <v>Transmission Plant In Service</v>
      </c>
      <c r="D258" s="399"/>
      <c r="E258" s="400"/>
      <c r="F258" s="1027" t="str">
        <f>"(Line "&amp;A33&amp;")"</f>
        <v>(Line 17)</v>
      </c>
      <c r="G258" s="97"/>
      <c r="H258" s="504">
        <f>+H33</f>
        <v>2082326653.1217947</v>
      </c>
      <c r="I258" s="401"/>
      <c r="J258" s="504">
        <f>+J33</f>
        <v>1888261883.8910255</v>
      </c>
      <c r="K258" s="504">
        <f>+K33</f>
        <v>99262153.84615384</v>
      </c>
      <c r="L258" s="961">
        <f>+L33</f>
        <v>94802615.384615391</v>
      </c>
      <c r="M258" s="426"/>
      <c r="N258" s="1788"/>
    </row>
    <row r="259" spans="1:16" ht="18" customHeight="1">
      <c r="A259" s="638">
        <f>+A258+1</f>
        <v>158</v>
      </c>
      <c r="B259" s="69"/>
      <c r="C259" s="402" t="s">
        <v>787</v>
      </c>
      <c r="D259" s="403"/>
      <c r="E259" s="73" t="str">
        <f>"(Note "&amp;B$309&amp;")"</f>
        <v>(Note M)</v>
      </c>
      <c r="F259" s="1029" t="s">
        <v>667</v>
      </c>
      <c r="G259" s="788"/>
      <c r="H259" s="518">
        <f>+J259+K259+L259</f>
        <v>181584000</v>
      </c>
      <c r="I259" s="940"/>
      <c r="J259" s="518">
        <f>'5 - Cost Support'!H121</f>
        <v>177711000</v>
      </c>
      <c r="K259" s="518">
        <f>'5 - Cost Support'!H120</f>
        <v>3873000</v>
      </c>
      <c r="L259" s="1010">
        <f>'5 - Cost Support'!H122</f>
        <v>0</v>
      </c>
      <c r="M259" s="426"/>
    </row>
    <row r="260" spans="1:16" ht="18" customHeight="1">
      <c r="A260" s="638">
        <f>+A259+1</f>
        <v>159</v>
      </c>
      <c r="B260" s="69"/>
      <c r="C260" s="393" t="s">
        <v>788</v>
      </c>
      <c r="D260" s="399"/>
      <c r="E260" s="1548"/>
      <c r="F260" s="1027" t="str">
        <f>"(Line "&amp;A258&amp;" - "&amp;A259&amp;")"</f>
        <v>(Line 157 - 158)</v>
      </c>
      <c r="G260" s="97"/>
      <c r="H260" s="504">
        <f>+H258-H259</f>
        <v>1900742653.1217947</v>
      </c>
      <c r="I260" s="401"/>
      <c r="J260" s="504">
        <f>+J258-J259</f>
        <v>1710550883.8910255</v>
      </c>
      <c r="K260" s="504">
        <f>+K258-K259</f>
        <v>95389153.84615384</v>
      </c>
      <c r="L260" s="961">
        <f>+L258-L259</f>
        <v>94802615.384615391</v>
      </c>
      <c r="M260" s="426"/>
      <c r="N260" s="1788"/>
    </row>
    <row r="261" spans="1:16" s="15" customFormat="1" ht="18" customHeight="1">
      <c r="A261" s="638">
        <f>+A260+1</f>
        <v>160</v>
      </c>
      <c r="B261" s="69"/>
      <c r="C261" s="393" t="s">
        <v>789</v>
      </c>
      <c r="D261" s="399"/>
      <c r="E261" s="1548"/>
      <c r="F261" s="1027" t="str">
        <f>"(Line "&amp;A260&amp;" / "&amp;A258&amp;")"</f>
        <v>(Line 159 / 157)</v>
      </c>
      <c r="G261" s="104"/>
      <c r="H261" s="1136">
        <f>+H260/H258</f>
        <v>0.91279754320592699</v>
      </c>
      <c r="I261" s="404"/>
      <c r="J261" s="1136">
        <f>+J260/J258</f>
        <v>0.90588646547596363</v>
      </c>
      <c r="K261" s="1136">
        <f>+K260/K258</f>
        <v>0.96098210798445138</v>
      </c>
      <c r="L261" s="1137">
        <f>+L260/L258</f>
        <v>1</v>
      </c>
      <c r="M261" s="404"/>
      <c r="N261" s="1789"/>
    </row>
    <row r="262" spans="1:16" ht="18" customHeight="1">
      <c r="A262" s="638">
        <f>+A261+1</f>
        <v>161</v>
      </c>
      <c r="B262" s="69"/>
      <c r="C262" s="402" t="s">
        <v>883</v>
      </c>
      <c r="D262" s="403"/>
      <c r="E262" s="1549"/>
      <c r="F262" s="1029" t="str">
        <f>"(Line "&amp;A255&amp;")"</f>
        <v>(Line 156)</v>
      </c>
      <c r="G262" s="788"/>
      <c r="H262" s="518">
        <f>+H255</f>
        <v>212509386.74222267</v>
      </c>
      <c r="I262" s="940"/>
      <c r="J262" s="518">
        <f>+J255</f>
        <v>198135743.11589849</v>
      </c>
      <c r="K262" s="518">
        <f>+K255</f>
        <v>6508653.2391445562</v>
      </c>
      <c r="L262" s="1010">
        <f>+L255</f>
        <v>7864989.8471796261</v>
      </c>
      <c r="M262" s="426"/>
      <c r="N262" s="1847"/>
    </row>
    <row r="263" spans="1:16" ht="18" customHeight="1">
      <c r="A263" s="638">
        <f>+A262+1</f>
        <v>162</v>
      </c>
      <c r="B263" s="69"/>
      <c r="C263" s="11" t="s">
        <v>790</v>
      </c>
      <c r="D263" s="399"/>
      <c r="E263" s="1550"/>
      <c r="F263" s="1027" t="str">
        <f>"(Line "&amp;A261&amp;" * "&amp;A262&amp;")"</f>
        <v>(Line 160 * 161)</v>
      </c>
      <c r="G263" s="97"/>
      <c r="H263" s="519">
        <f>+H262*H261</f>
        <v>193978046.12649906</v>
      </c>
      <c r="I263" s="78"/>
      <c r="J263" s="519">
        <f>+J262*J261</f>
        <v>179488488.01571476</v>
      </c>
      <c r="K263" s="519">
        <f>+K262*K261</f>
        <v>6254699.3098929636</v>
      </c>
      <c r="L263" s="987">
        <f>+L262*L261</f>
        <v>7864989.8471796261</v>
      </c>
      <c r="M263" s="426"/>
      <c r="N263" s="56"/>
    </row>
    <row r="264" spans="1:16" ht="15.75" customHeight="1">
      <c r="A264" s="978"/>
      <c r="B264" s="23"/>
      <c r="C264" s="393"/>
      <c r="D264" s="25"/>
      <c r="E264" s="1551"/>
      <c r="F264" s="1024"/>
      <c r="G264" s="97"/>
      <c r="H264" s="521"/>
      <c r="I264" s="426"/>
      <c r="J264" s="502"/>
      <c r="K264" s="502"/>
      <c r="L264" s="951"/>
      <c r="M264" s="426"/>
    </row>
    <row r="265" spans="1:16" ht="15.75" customHeight="1">
      <c r="A265" s="978"/>
      <c r="B265" s="59" t="s">
        <v>155</v>
      </c>
      <c r="C265" s="393"/>
      <c r="D265" s="25"/>
      <c r="E265" s="1551"/>
      <c r="F265" s="1024"/>
      <c r="G265" s="97"/>
      <c r="H265" s="521"/>
      <c r="I265" s="426"/>
      <c r="J265" s="502"/>
      <c r="K265" s="502"/>
      <c r="L265" s="951"/>
      <c r="M265" s="426"/>
    </row>
    <row r="266" spans="1:16" ht="15.75" customHeight="1">
      <c r="A266" s="638">
        <f>+A263+1</f>
        <v>163</v>
      </c>
      <c r="B266" s="26"/>
      <c r="C266" s="102" t="s">
        <v>741</v>
      </c>
      <c r="D266" s="25"/>
      <c r="E266" s="1552"/>
      <c r="F266" s="1024" t="s">
        <v>668</v>
      </c>
      <c r="G266" s="97"/>
      <c r="H266" s="936">
        <f>+'3 - Revenue Credits'!D22</f>
        <v>46517736.213131242</v>
      </c>
      <c r="I266" s="426"/>
      <c r="J266" s="501">
        <f>+'3 - Revenue Credits'!F22</f>
        <v>46015085.604698166</v>
      </c>
      <c r="K266" s="501">
        <f>+'3 - Revenue Credits'!G22</f>
        <v>22191.5247581617</v>
      </c>
      <c r="L266" s="960">
        <f>+'3 - Revenue Credits'!H22</f>
        <v>480459.08367491409</v>
      </c>
      <c r="M266" s="426"/>
    </row>
    <row r="267" spans="1:16" ht="15.75" customHeight="1">
      <c r="A267" s="638">
        <f>+A266+1</f>
        <v>164</v>
      </c>
      <c r="B267" s="26"/>
      <c r="C267" s="59" t="s">
        <v>154</v>
      </c>
      <c r="D267" s="25"/>
      <c r="E267" s="71" t="str">
        <f>"(Note "&amp;B$310&amp;")"</f>
        <v>(Note N)</v>
      </c>
      <c r="F267" s="1024" t="s">
        <v>667</v>
      </c>
      <c r="G267" s="97"/>
      <c r="H267" s="936">
        <f>J267+K267+L267</f>
        <v>0</v>
      </c>
      <c r="I267" s="426"/>
      <c r="J267" s="502">
        <f>'5 - Cost Support'!H235</f>
        <v>0</v>
      </c>
      <c r="K267" s="502">
        <v>0</v>
      </c>
      <c r="L267" s="951">
        <v>0</v>
      </c>
      <c r="M267" s="426"/>
    </row>
    <row r="268" spans="1:16" ht="16.5" customHeight="1" thickBot="1">
      <c r="A268" s="952"/>
      <c r="B268" s="23"/>
      <c r="C268" s="36"/>
      <c r="D268" s="36"/>
      <c r="E268" s="1553"/>
      <c r="F268" s="1024"/>
      <c r="G268" s="97"/>
      <c r="H268" s="521"/>
      <c r="I268" s="426"/>
      <c r="J268" s="502"/>
      <c r="K268" s="502"/>
      <c r="L268" s="951"/>
      <c r="M268" s="426"/>
    </row>
    <row r="269" spans="1:16" s="1" customFormat="1" ht="18.75" customHeight="1" thickBot="1">
      <c r="A269" s="55">
        <f>+A267+1</f>
        <v>165</v>
      </c>
      <c r="B269" s="1069"/>
      <c r="C269" s="1070" t="s">
        <v>894</v>
      </c>
      <c r="D269" s="1071"/>
      <c r="E269" s="1072"/>
      <c r="F269" s="1050" t="str">
        <f>"(Line "&amp;A263&amp;" - "&amp;A266&amp;" + "&amp;A267&amp;")"</f>
        <v>(Line 162 - 163 + 164)</v>
      </c>
      <c r="G269" s="1068"/>
      <c r="H269" s="517">
        <f>+H263-H266+H267</f>
        <v>147460309.91336781</v>
      </c>
      <c r="I269" s="939"/>
      <c r="J269" s="517">
        <f>+J263-J266+J267</f>
        <v>133473402.4110166</v>
      </c>
      <c r="K269" s="517">
        <f>+K263-K266+K267</f>
        <v>6232507.7851348016</v>
      </c>
      <c r="L269" s="1008">
        <f>+L263-L266+L267</f>
        <v>7384530.7635047119</v>
      </c>
      <c r="M269" s="971"/>
      <c r="N269" s="56"/>
      <c r="O269" s="1952"/>
      <c r="P269" s="1953"/>
    </row>
    <row r="270" spans="1:16" ht="15.75" customHeight="1">
      <c r="A270" s="978"/>
      <c r="B270" s="23"/>
      <c r="C270" s="36"/>
      <c r="D270" s="36"/>
      <c r="E270" s="61"/>
      <c r="F270" s="1024"/>
      <c r="G270" s="97"/>
      <c r="H270" s="521"/>
      <c r="I270" s="426"/>
      <c r="J270" s="502"/>
      <c r="K270" s="502"/>
      <c r="L270" s="951"/>
      <c r="M270" s="426"/>
      <c r="N270" s="1835"/>
    </row>
    <row r="271" spans="1:16" ht="15.75" customHeight="1">
      <c r="A271" s="638"/>
      <c r="B271" s="77" t="s">
        <v>935</v>
      </c>
      <c r="C271" s="36"/>
      <c r="D271" s="36"/>
      <c r="E271" s="61"/>
      <c r="F271" s="1024"/>
      <c r="G271" s="97"/>
      <c r="H271" s="521"/>
      <c r="I271" s="426"/>
      <c r="J271" s="502"/>
      <c r="K271" s="502"/>
      <c r="L271" s="951"/>
      <c r="M271" s="426"/>
    </row>
    <row r="272" spans="1:16" ht="15.75" customHeight="1">
      <c r="A272" s="638">
        <f>+A269+1</f>
        <v>166</v>
      </c>
      <c r="B272" s="69"/>
      <c r="C272" s="36" t="str">
        <f>+C255</f>
        <v>Gross Revenue Requirement</v>
      </c>
      <c r="D272" s="36"/>
      <c r="E272" s="74"/>
      <c r="F272" s="1043" t="str">
        <f>"(Line "&amp;A255&amp;")"</f>
        <v>(Line 156)</v>
      </c>
      <c r="G272" s="104"/>
      <c r="H272" s="522">
        <f>+H263</f>
        <v>193978046.12649906</v>
      </c>
      <c r="I272" s="640"/>
      <c r="J272" s="520">
        <f>+J263</f>
        <v>179488488.01571476</v>
      </c>
      <c r="K272" s="520">
        <f>+K263</f>
        <v>6254699.3098929636</v>
      </c>
      <c r="L272" s="1011">
        <f>+L263</f>
        <v>7864989.8471796261</v>
      </c>
      <c r="M272" s="426"/>
      <c r="N272" s="1786"/>
    </row>
    <row r="273" spans="1:13" ht="15.75" customHeight="1">
      <c r="A273" s="638">
        <f>+A272+1</f>
        <v>167</v>
      </c>
      <c r="B273" s="69"/>
      <c r="C273" s="36" t="s">
        <v>138</v>
      </c>
      <c r="D273" s="36"/>
      <c r="E273" s="74"/>
      <c r="F273" s="1043" t="str">
        <f>"(Line "&amp;A31&amp;" - "&amp;A47&amp;")"</f>
        <v>(Line 15 - 26)</v>
      </c>
      <c r="G273" s="104"/>
      <c r="H273" s="522">
        <f>+H31-H47</f>
        <v>1328460579.6707692</v>
      </c>
      <c r="I273" s="640"/>
      <c r="J273" s="520">
        <f>+J31-J47</f>
        <v>1264921733.516923</v>
      </c>
      <c r="K273" s="520">
        <f>+K31-K47</f>
        <v>21336000</v>
      </c>
      <c r="L273" s="1011">
        <f>+L31-L47</f>
        <v>42202846.15384616</v>
      </c>
      <c r="M273" s="426"/>
    </row>
    <row r="274" spans="1:13" ht="15.75" customHeight="1">
      <c r="A274" s="638">
        <f>+A273+1</f>
        <v>168</v>
      </c>
      <c r="B274" s="69"/>
      <c r="C274" s="36" t="s">
        <v>939</v>
      </c>
      <c r="D274" s="36"/>
      <c r="E274" s="74"/>
      <c r="F274" s="1043" t="str">
        <f>"(Line "&amp;A255&amp;" / "&amp;A273&amp;")"</f>
        <v>(Line 156 / 167)</v>
      </c>
      <c r="G274" s="104"/>
      <c r="H274" s="903">
        <f>+H255/H273</f>
        <v>0.15996664861134879</v>
      </c>
      <c r="I274" s="639"/>
      <c r="J274" s="521">
        <f>+J272/J273</f>
        <v>0.1418969120853622</v>
      </c>
      <c r="K274" s="521">
        <f>+K272/K273</f>
        <v>0.29315238610296979</v>
      </c>
      <c r="L274" s="1012">
        <f>+L272/L273</f>
        <v>0.18636159794788745</v>
      </c>
      <c r="M274" s="426"/>
    </row>
    <row r="275" spans="1:13" ht="15.75" customHeight="1">
      <c r="A275" s="638">
        <f>+A274+1</f>
        <v>169</v>
      </c>
      <c r="B275" s="69"/>
      <c r="C275" s="36" t="s">
        <v>940</v>
      </c>
      <c r="D275" s="36"/>
      <c r="E275" s="74"/>
      <c r="F275" s="1043" t="str">
        <f>"(Line "&amp;A255&amp;" - "&amp;A140&amp;") / "&amp;A273</f>
        <v>(Line 156 - 83) / 167</v>
      </c>
      <c r="G275" s="104"/>
      <c r="H275" s="903">
        <f>(H255-H140)/H273</f>
        <v>0.12757445221613131</v>
      </c>
      <c r="I275" s="639"/>
      <c r="J275" s="521">
        <f>(J272-J140)/J273</f>
        <v>0.11033443167086478</v>
      </c>
      <c r="K275" s="521">
        <f>(K272-K140)/K273</f>
        <v>0.22349704302085505</v>
      </c>
      <c r="L275" s="1012">
        <f>(L272-L140)/L273</f>
        <v>0.14793950636456368</v>
      </c>
      <c r="M275" s="426"/>
    </row>
    <row r="276" spans="1:13" ht="15.75" customHeight="1">
      <c r="A276" s="638">
        <f>+A275+1</f>
        <v>170</v>
      </c>
      <c r="B276" s="69"/>
      <c r="C276" s="36" t="s">
        <v>941</v>
      </c>
      <c r="D276" s="36"/>
      <c r="E276" s="74"/>
      <c r="F276" s="1043" t="str">
        <f>"(Line "&amp;A255&amp;" - "&amp;A140&amp;" - "&amp;A217&amp;" - "&amp;A240&amp;") / "&amp;A273</f>
        <v>(Line 156 - 83 - 136 - 147) / 167</v>
      </c>
      <c r="G276" s="104"/>
      <c r="H276" s="903">
        <f>(H255-H140-H217-H240)/H273</f>
        <v>4.9906363472519671E-2</v>
      </c>
      <c r="I276" s="639"/>
      <c r="J276" s="521">
        <f>(J272-J140-J217-J240)/J273</f>
        <v>3.2939293434342064E-2</v>
      </c>
      <c r="K276" s="521">
        <f>(K272-K140-K217-K240)/K273</f>
        <v>0.14039509688935067</v>
      </c>
      <c r="L276" s="1012">
        <f>(L272-L140-L217-L240)/L273</f>
        <v>6.483756023305931E-2</v>
      </c>
      <c r="M276" s="426"/>
    </row>
    <row r="277" spans="1:13" ht="15.75" customHeight="1">
      <c r="A277" s="638"/>
      <c r="B277" s="69"/>
      <c r="C277" s="36"/>
      <c r="D277" s="36"/>
      <c r="E277" s="74"/>
      <c r="F277" s="1043"/>
      <c r="G277" s="104"/>
      <c r="H277" s="903"/>
      <c r="I277" s="426"/>
      <c r="J277" s="502"/>
      <c r="K277" s="502"/>
      <c r="L277" s="951"/>
      <c r="M277" s="426"/>
    </row>
    <row r="278" spans="1:13" ht="15.75" customHeight="1">
      <c r="A278" s="638"/>
      <c r="B278" s="77" t="s">
        <v>936</v>
      </c>
      <c r="C278" s="36"/>
      <c r="D278" s="36"/>
      <c r="E278" s="74"/>
      <c r="F278" s="1043"/>
      <c r="G278" s="104"/>
      <c r="H278" s="903"/>
      <c r="I278" s="426"/>
      <c r="J278" s="501"/>
      <c r="K278" s="501"/>
      <c r="L278" s="960"/>
      <c r="M278" s="426"/>
    </row>
    <row r="279" spans="1:13" ht="15.75" customHeight="1">
      <c r="A279" s="638">
        <f>+A276+1</f>
        <v>171</v>
      </c>
      <c r="B279" s="69"/>
      <c r="C279" s="36" t="s">
        <v>443</v>
      </c>
      <c r="D279" s="36"/>
      <c r="E279" s="74"/>
      <c r="F279" s="1043" t="str">
        <f>"(Line "&amp;A255&amp;" - "&amp;A252&amp;" - "&amp;A253&amp;")"</f>
        <v>(Line 156 - 154 - 155)</v>
      </c>
      <c r="G279" s="104"/>
      <c r="H279" s="522">
        <f>+H255-H252-H253</f>
        <v>109330392.54796359</v>
      </c>
      <c r="I279" s="640"/>
      <c r="J279" s="520">
        <f>+J263-J252-J253</f>
        <v>81589695.591790557</v>
      </c>
      <c r="K279" s="520">
        <f>+K263-K252-K253</f>
        <v>4481636.1872311858</v>
      </c>
      <c r="L279" s="1011">
        <f>+L263-L252-L253</f>
        <v>4357851.1995065361</v>
      </c>
      <c r="M279" s="426"/>
    </row>
    <row r="280" spans="1:13" ht="16.5" customHeight="1">
      <c r="A280" s="638">
        <f>+A279+1</f>
        <v>172</v>
      </c>
      <c r="B280" s="69"/>
      <c r="C280" s="36" t="s">
        <v>368</v>
      </c>
      <c r="D280" s="36"/>
      <c r="E280" s="61"/>
      <c r="F280" s="1043" t="s">
        <v>998</v>
      </c>
      <c r="G280" s="104"/>
      <c r="H280" s="522">
        <f>+'4 - 100 Basis Pt ROE'!G9</f>
        <v>110836603.43434328</v>
      </c>
      <c r="I280" s="426"/>
      <c r="J280" s="522">
        <f>+$H280*J103</f>
        <v>105164522.2685774</v>
      </c>
      <c r="K280" s="522">
        <f>+$H280*K103</f>
        <v>1904654.0986872329</v>
      </c>
      <c r="L280" s="1011">
        <f>+$H280*L103</f>
        <v>3767427.0670786379</v>
      </c>
      <c r="M280" s="426"/>
    </row>
    <row r="281" spans="1:13" ht="16.5" customHeight="1">
      <c r="A281" s="638">
        <f>+A280+1</f>
        <v>173</v>
      </c>
      <c r="B281" s="69"/>
      <c r="C281" s="36" t="s">
        <v>444</v>
      </c>
      <c r="D281" s="36"/>
      <c r="E281" s="61"/>
      <c r="F281" s="1043" t="str">
        <f>"(Line "&amp;A279&amp;" + "&amp;A280&amp;")"</f>
        <v>(Line 171 + 172)</v>
      </c>
      <c r="G281" s="97"/>
      <c r="H281" s="520">
        <f>+H280+H279</f>
        <v>220166995.98230687</v>
      </c>
      <c r="I281" s="640"/>
      <c r="J281" s="520">
        <f>+J280+J279</f>
        <v>186754217.86036795</v>
      </c>
      <c r="K281" s="520">
        <f>+K280+K279</f>
        <v>6386290.2859184183</v>
      </c>
      <c r="L281" s="1011">
        <f>+L280+L279</f>
        <v>8125278.266585174</v>
      </c>
      <c r="M281" s="426"/>
    </row>
    <row r="282" spans="1:13" ht="15.75" customHeight="1">
      <c r="A282" s="638">
        <f>+A281+1</f>
        <v>174</v>
      </c>
      <c r="B282" s="69"/>
      <c r="C282" s="36" t="str">
        <f>+C273</f>
        <v>Net Transmission Plant</v>
      </c>
      <c r="D282" s="36"/>
      <c r="E282" s="61"/>
      <c r="F282" s="1024" t="str">
        <f>"(Line "&amp;A31&amp;" - "&amp;A47&amp;")"</f>
        <v>(Line 15 - 26)</v>
      </c>
      <c r="G282" s="97"/>
      <c r="H282" s="520">
        <f>+H273</f>
        <v>1328460579.6707692</v>
      </c>
      <c r="I282" s="640"/>
      <c r="J282" s="520">
        <f>+J273</f>
        <v>1264921733.516923</v>
      </c>
      <c r="K282" s="520">
        <f>+K273</f>
        <v>21336000</v>
      </c>
      <c r="L282" s="1011">
        <f>+L273</f>
        <v>42202846.15384616</v>
      </c>
      <c r="M282" s="426"/>
    </row>
    <row r="283" spans="1:13" ht="15.75" customHeight="1">
      <c r="A283" s="638">
        <f>+A282+1</f>
        <v>175</v>
      </c>
      <c r="B283" s="69"/>
      <c r="C283" s="36" t="s">
        <v>937</v>
      </c>
      <c r="D283" s="36"/>
      <c r="E283" s="61"/>
      <c r="F283" s="1024" t="str">
        <f>"(Line "&amp;A281&amp;" / "&amp;A282&amp;")"</f>
        <v>(Line 173 / 174)</v>
      </c>
      <c r="G283" s="97"/>
      <c r="H283" s="521">
        <f>+H281/H282</f>
        <v>0.1657309214526114</v>
      </c>
      <c r="I283" s="639"/>
      <c r="J283" s="521">
        <f>+J281/J282</f>
        <v>0.14764092742807589</v>
      </c>
      <c r="K283" s="521">
        <f>+K281/K282</f>
        <v>0.29931994215965591</v>
      </c>
      <c r="L283" s="1012">
        <f>+L281/L282</f>
        <v>0.1925291540045736</v>
      </c>
      <c r="M283" s="426"/>
    </row>
    <row r="284" spans="1:13" ht="15.75" customHeight="1">
      <c r="A284" s="638">
        <f>+A283+1</f>
        <v>176</v>
      </c>
      <c r="B284" s="69"/>
      <c r="C284" s="36" t="s">
        <v>938</v>
      </c>
      <c r="D284" s="36"/>
      <c r="E284" s="61"/>
      <c r="F284" s="1024" t="str">
        <f>"(Line "&amp;A281&amp;" - "&amp;A140&amp;") / "&amp;A282</f>
        <v>(Line 173 - 83) / 174</v>
      </c>
      <c r="G284" s="97"/>
      <c r="H284" s="521">
        <f>(H281-H140)/H282</f>
        <v>0.13333872505739394</v>
      </c>
      <c r="I284" s="639"/>
      <c r="J284" s="521">
        <f>(J281-J140)/J282</f>
        <v>0.11607844701357846</v>
      </c>
      <c r="K284" s="521">
        <f>(K281-K140)/K282</f>
        <v>0.22966459907754114</v>
      </c>
      <c r="L284" s="1012">
        <f>(L281-L140)/L282</f>
        <v>0.15410706242124983</v>
      </c>
      <c r="M284" s="426"/>
    </row>
    <row r="285" spans="1:13" ht="15.75" customHeight="1">
      <c r="A285" s="638"/>
      <c r="B285" s="69"/>
      <c r="C285" s="36"/>
      <c r="D285" s="36"/>
      <c r="E285" s="61"/>
      <c r="F285" s="1024"/>
      <c r="G285" s="97"/>
      <c r="H285" s="521"/>
      <c r="I285" s="426"/>
      <c r="J285" s="502"/>
      <c r="K285" s="502"/>
      <c r="L285" s="951"/>
      <c r="M285" s="426"/>
    </row>
    <row r="286" spans="1:13" ht="15.75" customHeight="1">
      <c r="A286" s="638">
        <f>+A284+1</f>
        <v>177</v>
      </c>
      <c r="B286" s="69"/>
      <c r="C286" s="77" t="s">
        <v>894</v>
      </c>
      <c r="D286" s="36"/>
      <c r="E286" s="74"/>
      <c r="F286" s="1024" t="str">
        <f>"(Line "&amp;A269&amp;")"</f>
        <v>(Line 165)</v>
      </c>
      <c r="G286" s="97"/>
      <c r="H286" s="520">
        <f>+H269</f>
        <v>147460309.91336781</v>
      </c>
      <c r="I286" s="640"/>
      <c r="J286" s="520">
        <f>+J269</f>
        <v>133473402.4110166</v>
      </c>
      <c r="K286" s="520">
        <f>+K269</f>
        <v>6232507.7851348016</v>
      </c>
      <c r="L286" s="1011">
        <f>+L269</f>
        <v>7384530.7635047119</v>
      </c>
      <c r="M286" s="426"/>
    </row>
    <row r="287" spans="1:13" ht="15.75" customHeight="1">
      <c r="A287" s="638">
        <f>+A286+1</f>
        <v>178</v>
      </c>
      <c r="B287" s="69"/>
      <c r="C287" s="36" t="s">
        <v>369</v>
      </c>
      <c r="D287" s="36"/>
      <c r="E287" s="382"/>
      <c r="F287" s="1032" t="s">
        <v>665</v>
      </c>
      <c r="G287" s="97"/>
      <c r="H287" s="522">
        <f>SUM(J287:L287)</f>
        <v>42885486.216818601</v>
      </c>
      <c r="I287" s="327"/>
      <c r="J287" s="1721">
        <f>'6 - Est and True up'!I155</f>
        <v>43128929.049361326</v>
      </c>
      <c r="K287" s="522">
        <f>'6A-Colstrip'!H136</f>
        <v>-1574682.4515862789</v>
      </c>
      <c r="L287" s="1013">
        <f>'6B-So Intertie'!H135</f>
        <v>1331239.6190435521</v>
      </c>
      <c r="M287" s="426"/>
    </row>
    <row r="288" spans="1:13" ht="15.75" customHeight="1">
      <c r="A288" s="638">
        <f>+A287+1</f>
        <v>179</v>
      </c>
      <c r="B288" s="69"/>
      <c r="C288" s="154" t="s">
        <v>611</v>
      </c>
      <c r="D288" s="36"/>
      <c r="E288" s="382"/>
      <c r="F288" s="1032" t="s">
        <v>365</v>
      </c>
      <c r="G288" s="97"/>
      <c r="H288" s="522">
        <f>+'7 - Cap Add WS'!M32</f>
        <v>0</v>
      </c>
      <c r="I288" s="327"/>
      <c r="J288" s="522">
        <f>+H288</f>
        <v>0</v>
      </c>
      <c r="K288" s="522">
        <v>0</v>
      </c>
      <c r="L288" s="1013">
        <v>0</v>
      </c>
      <c r="M288" s="426"/>
    </row>
    <row r="289" spans="1:164" ht="15.75" customHeight="1">
      <c r="A289" s="638">
        <f>+A288+1</f>
        <v>180</v>
      </c>
      <c r="B289" s="69"/>
      <c r="C289" s="25" t="s">
        <v>114</v>
      </c>
      <c r="D289" s="150"/>
      <c r="E289" s="71"/>
      <c r="F289" s="1043" t="s">
        <v>719</v>
      </c>
      <c r="G289" s="97"/>
      <c r="H289" s="522">
        <v>0</v>
      </c>
      <c r="I289" s="327"/>
      <c r="J289" s="522">
        <v>0</v>
      </c>
      <c r="K289" s="522">
        <v>0</v>
      </c>
      <c r="L289" s="1013">
        <v>0</v>
      </c>
      <c r="M289" s="426"/>
      <c r="FH289" s="12">
        <f>SUM(A289:FG289)</f>
        <v>180</v>
      </c>
    </row>
    <row r="290" spans="1:164" ht="15.75" customHeight="1">
      <c r="A290" s="638">
        <f>+A289+1</f>
        <v>181</v>
      </c>
      <c r="B290" s="69"/>
      <c r="C290" s="77" t="s">
        <v>615</v>
      </c>
      <c r="D290" s="36"/>
      <c r="E290" s="74"/>
      <c r="F290" s="1024" t="str">
        <f>"(Line "&amp;A286&amp;" - "&amp;A287&amp;" + "&amp;A288&amp;" + "&amp;A289&amp;")"</f>
        <v>(Line 177 - 178 + 179 + 180)</v>
      </c>
      <c r="G290" s="97"/>
      <c r="H290" s="522">
        <f>SUM(H286:H289)</f>
        <v>190345796.13018641</v>
      </c>
      <c r="I290" s="640"/>
      <c r="J290" s="520">
        <f>SUM(J286:J289)</f>
        <v>176602331.46037793</v>
      </c>
      <c r="K290" s="520">
        <f>SUM(K286:K289)</f>
        <v>4657825.3335485226</v>
      </c>
      <c r="L290" s="1011">
        <f>SUM(L286:L289)</f>
        <v>8715770.3825482633</v>
      </c>
      <c r="M290" s="426"/>
    </row>
    <row r="291" spans="1:164" ht="15.75" customHeight="1">
      <c r="A291" s="638"/>
      <c r="B291" s="23"/>
      <c r="C291" s="36"/>
      <c r="D291" s="36"/>
      <c r="E291" s="61"/>
      <c r="F291" s="1024"/>
      <c r="G291" s="97"/>
      <c r="H291" s="903"/>
      <c r="I291" s="425"/>
      <c r="J291" s="502"/>
      <c r="K291" s="502"/>
      <c r="L291" s="951"/>
      <c r="M291" s="426"/>
    </row>
    <row r="292" spans="1:164" ht="15.75" customHeight="1">
      <c r="A292" s="638"/>
      <c r="B292" s="102" t="s">
        <v>1082</v>
      </c>
      <c r="C292" s="36"/>
      <c r="D292" s="36"/>
      <c r="E292" s="61"/>
      <c r="F292" s="1024"/>
      <c r="G292" s="97"/>
      <c r="H292" s="903"/>
      <c r="I292" s="425"/>
      <c r="J292" s="502"/>
      <c r="K292" s="502"/>
      <c r="L292" s="951"/>
      <c r="M292" s="426"/>
      <c r="N292" s="1788"/>
    </row>
    <row r="293" spans="1:164" ht="15.75" customHeight="1">
      <c r="A293" s="638">
        <f>+A290+1</f>
        <v>182</v>
      </c>
      <c r="B293" s="69"/>
      <c r="C293" s="24" t="s">
        <v>433</v>
      </c>
      <c r="D293" s="641" t="s">
        <v>759</v>
      </c>
      <c r="E293" s="71" t="s">
        <v>754</v>
      </c>
      <c r="F293" s="1024" t="s">
        <v>102</v>
      </c>
      <c r="G293" s="1024"/>
      <c r="H293" s="1849">
        <f>+'WKSHT4 - Monthly Tx System Peak'!C26</f>
        <v>4477421.2729633236</v>
      </c>
      <c r="I293" s="36"/>
      <c r="J293" s="912">
        <f>H293</f>
        <v>4477421.2729633236</v>
      </c>
      <c r="K293" s="1850">
        <f>+'WKSHT4 - Monthly Tx System Peak'!C74</f>
        <v>746000</v>
      </c>
      <c r="L293" s="1011">
        <f>+'WKSHT4 - Monthly Tx System Peak'!C51</f>
        <v>675000</v>
      </c>
      <c r="M293" s="426"/>
      <c r="N293" s="56"/>
      <c r="O293" s="1786"/>
    </row>
    <row r="294" spans="1:164" ht="15.75" customHeight="1">
      <c r="A294" s="970">
        <f>+A293+1</f>
        <v>183</v>
      </c>
      <c r="B294" s="25"/>
      <c r="C294" s="24" t="s">
        <v>1082</v>
      </c>
      <c r="D294" s="1073"/>
      <c r="E294" s="405"/>
      <c r="F294" s="1021" t="str">
        <f>"(Line "&amp;A290&amp;" / "&amp;A293&amp;")"</f>
        <v>(Line 181 / 182)</v>
      </c>
      <c r="G294" s="97"/>
      <c r="H294" s="1135"/>
      <c r="I294" s="1851"/>
      <c r="J294" s="1135">
        <f>+J290/J293</f>
        <v>39.442866930298017</v>
      </c>
      <c r="K294" s="1852">
        <f>+K290/K293</f>
        <v>6.2437336910838104</v>
      </c>
      <c r="L294" s="1853">
        <f>+L290/L293</f>
        <v>12.91225241859002</v>
      </c>
      <c r="M294" s="426"/>
      <c r="N294" s="1788"/>
      <c r="O294" s="1952"/>
      <c r="P294" s="1953"/>
    </row>
    <row r="295" spans="1:164" ht="15.75" customHeight="1" thickBot="1">
      <c r="A295" s="1074">
        <f>+A294+1</f>
        <v>184</v>
      </c>
      <c r="B295" s="1075"/>
      <c r="C295" s="1076" t="s">
        <v>417</v>
      </c>
      <c r="D295" s="1077"/>
      <c r="E295" s="1078"/>
      <c r="F295" s="1079" t="str">
        <f>"(Line "&amp;A293&amp;" / 12)"</f>
        <v>(Line 182 / 12)</v>
      </c>
      <c r="G295" s="1080"/>
      <c r="H295" s="1081"/>
      <c r="I295" s="1082"/>
      <c r="J295" s="1742">
        <f>J294/12</f>
        <v>3.2869055775248346</v>
      </c>
      <c r="K295" s="1844">
        <f>K294/12</f>
        <v>0.52031114092365083</v>
      </c>
      <c r="L295" s="1854">
        <f>L294/12</f>
        <v>1.0760210348825017</v>
      </c>
      <c r="M295" s="426"/>
      <c r="N295" s="1788"/>
      <c r="O295" s="1952"/>
      <c r="P295" s="1953"/>
    </row>
    <row r="296" spans="1:164" s="26" customFormat="1" ht="15.75" customHeight="1">
      <c r="A296" s="58"/>
      <c r="B296" s="59" t="s">
        <v>889</v>
      </c>
      <c r="C296" s="21"/>
      <c r="D296" s="21"/>
      <c r="E296" s="407"/>
      <c r="F296" s="406"/>
      <c r="H296" s="188"/>
      <c r="I296" s="425"/>
      <c r="J296" s="820"/>
      <c r="K296" s="820"/>
      <c r="L296" s="820"/>
      <c r="M296" s="426"/>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row>
    <row r="297" spans="1:164" ht="15.75" customHeight="1">
      <c r="A297" s="408"/>
      <c r="B297" s="69" t="s">
        <v>761</v>
      </c>
      <c r="C297" s="751" t="s">
        <v>899</v>
      </c>
      <c r="D297" s="752"/>
      <c r="E297" s="753"/>
      <c r="F297" s="754"/>
      <c r="G297" s="755"/>
      <c r="H297" s="756"/>
      <c r="I297" s="425"/>
      <c r="J297" s="425"/>
      <c r="K297" s="425"/>
      <c r="L297" s="425"/>
      <c r="M297" s="1560"/>
    </row>
    <row r="298" spans="1:164" ht="59.25" customHeight="1">
      <c r="A298" s="377"/>
      <c r="B298" s="1335" t="s">
        <v>851</v>
      </c>
      <c r="C298" s="1970" t="s">
        <v>515</v>
      </c>
      <c r="D298" s="1970"/>
      <c r="E298" s="1970"/>
      <c r="F298" s="1970"/>
      <c r="G298" s="1970"/>
      <c r="H298" s="1970"/>
      <c r="I298" s="1970"/>
      <c r="J298" s="1970"/>
      <c r="K298" s="1970"/>
      <c r="L298" s="1970"/>
      <c r="M298" s="426"/>
    </row>
    <row r="299" spans="1:164" ht="15.75" customHeight="1">
      <c r="A299" s="377"/>
      <c r="B299" s="69" t="s">
        <v>742</v>
      </c>
      <c r="C299" s="757" t="s">
        <v>900</v>
      </c>
      <c r="D299" s="751"/>
      <c r="E299" s="758"/>
      <c r="F299" s="759"/>
      <c r="G299" s="1131"/>
      <c r="H299" s="1132"/>
      <c r="I299" s="426"/>
      <c r="J299" s="426"/>
      <c r="K299" s="425"/>
      <c r="L299" s="425"/>
      <c r="M299" s="426"/>
    </row>
    <row r="300" spans="1:164" ht="15.75" customHeight="1">
      <c r="A300" s="377"/>
      <c r="B300" s="69" t="s">
        <v>762</v>
      </c>
      <c r="C300" s="749" t="s">
        <v>439</v>
      </c>
      <c r="D300" s="751"/>
      <c r="E300" s="758"/>
      <c r="F300" s="759"/>
      <c r="G300" s="1131"/>
      <c r="H300" s="1132"/>
      <c r="I300" s="426"/>
      <c r="J300" s="426"/>
      <c r="K300" s="425"/>
      <c r="L300" s="425"/>
      <c r="M300" s="426"/>
    </row>
    <row r="301" spans="1:164" ht="15.75" customHeight="1">
      <c r="A301" s="377"/>
      <c r="B301" s="69" t="s">
        <v>760</v>
      </c>
      <c r="C301" s="750" t="s">
        <v>441</v>
      </c>
      <c r="D301" s="751"/>
      <c r="E301" s="758"/>
      <c r="F301" s="759"/>
      <c r="G301" s="1131"/>
      <c r="H301" s="1132"/>
      <c r="I301" s="426"/>
      <c r="J301" s="426"/>
      <c r="K301" s="425"/>
      <c r="L301" s="425"/>
      <c r="M301" s="426"/>
    </row>
    <row r="302" spans="1:164" ht="15.75" customHeight="1">
      <c r="A302" s="377"/>
      <c r="B302" s="69" t="s">
        <v>175</v>
      </c>
      <c r="C302" s="751" t="s">
        <v>440</v>
      </c>
      <c r="D302" s="751"/>
      <c r="E302" s="758"/>
      <c r="F302" s="759"/>
      <c r="G302" s="1131"/>
      <c r="H302" s="1132"/>
      <c r="I302" s="426"/>
      <c r="J302" s="426"/>
      <c r="K302" s="425"/>
      <c r="L302" s="425"/>
      <c r="M302" s="426"/>
    </row>
    <row r="303" spans="1:164" ht="18">
      <c r="A303" s="377"/>
      <c r="B303" s="1335" t="s">
        <v>763</v>
      </c>
      <c r="C303" s="1972" t="s">
        <v>425</v>
      </c>
      <c r="D303" s="1972"/>
      <c r="E303" s="1972"/>
      <c r="F303" s="1972"/>
      <c r="G303" s="1972"/>
      <c r="H303" s="1972"/>
      <c r="I303" s="1972"/>
      <c r="J303" s="1972"/>
      <c r="K303" s="1972"/>
      <c r="L303" s="1972"/>
      <c r="M303" s="426"/>
    </row>
    <row r="304" spans="1:164" ht="18">
      <c r="A304" s="377"/>
      <c r="B304" s="69" t="s">
        <v>518</v>
      </c>
      <c r="C304" s="12" t="s">
        <v>110</v>
      </c>
      <c r="D304" s="1325"/>
      <c r="E304" s="1325"/>
      <c r="F304" s="1325"/>
      <c r="G304" s="1325"/>
      <c r="H304" s="1325"/>
      <c r="I304" s="1325"/>
      <c r="J304" s="1325"/>
      <c r="K304" s="1325"/>
      <c r="L304" s="1325"/>
      <c r="M304" s="426"/>
    </row>
    <row r="305" spans="1:13" ht="75.95" customHeight="1">
      <c r="A305" s="377"/>
      <c r="B305" s="1335" t="s">
        <v>747</v>
      </c>
      <c r="C305" s="1972" t="s">
        <v>516</v>
      </c>
      <c r="D305" s="1972"/>
      <c r="E305" s="1972"/>
      <c r="F305" s="1972"/>
      <c r="G305" s="1972"/>
      <c r="H305" s="1972"/>
      <c r="I305" s="1972"/>
      <c r="J305" s="1972"/>
      <c r="K305" s="1972"/>
      <c r="L305" s="1972"/>
      <c r="M305" s="426"/>
    </row>
    <row r="306" spans="1:13" ht="32.25" customHeight="1">
      <c r="A306" s="377"/>
      <c r="B306" s="1335" t="s">
        <v>751</v>
      </c>
      <c r="C306" s="1972" t="s">
        <v>25</v>
      </c>
      <c r="D306" s="1972"/>
      <c r="E306" s="1972"/>
      <c r="F306" s="1972"/>
      <c r="G306" s="1972"/>
      <c r="H306" s="1972"/>
      <c r="I306" s="1972"/>
      <c r="J306" s="1972"/>
      <c r="K306" s="1972"/>
      <c r="L306" s="1972"/>
      <c r="M306" s="426"/>
    </row>
    <row r="307" spans="1:13" ht="18">
      <c r="A307" s="377"/>
      <c r="B307" s="69" t="s">
        <v>765</v>
      </c>
      <c r="C307" s="1971" t="s">
        <v>442</v>
      </c>
      <c r="D307" s="1971"/>
      <c r="E307" s="1971"/>
      <c r="F307" s="1971"/>
      <c r="G307" s="1971"/>
      <c r="H307" s="1971"/>
      <c r="I307" s="1971"/>
      <c r="J307" s="1971"/>
      <c r="K307" s="1971"/>
      <c r="L307" s="1971"/>
      <c r="M307" s="426"/>
    </row>
    <row r="308" spans="1:13" ht="15.75" customHeight="1">
      <c r="A308" s="377"/>
      <c r="B308" s="69" t="s">
        <v>822</v>
      </c>
      <c r="C308" s="1973" t="s">
        <v>517</v>
      </c>
      <c r="D308" s="1973"/>
      <c r="E308" s="1973"/>
      <c r="F308" s="1973"/>
      <c r="G308" s="1973"/>
      <c r="H308" s="1973"/>
      <c r="I308" s="1973"/>
      <c r="J308" s="1973"/>
      <c r="K308" s="1973"/>
      <c r="L308" s="1973"/>
      <c r="M308" s="426"/>
    </row>
    <row r="309" spans="1:13" ht="15.75" customHeight="1">
      <c r="A309" s="22"/>
      <c r="B309" s="22" t="s">
        <v>823</v>
      </c>
      <c r="C309" s="750" t="s">
        <v>933</v>
      </c>
      <c r="D309" s="750"/>
      <c r="E309" s="758"/>
      <c r="F309" s="759"/>
      <c r="G309" s="1133"/>
      <c r="H309" s="1132"/>
      <c r="I309" s="153"/>
      <c r="J309" s="426"/>
      <c r="K309" s="425"/>
      <c r="L309" s="425"/>
      <c r="M309" s="426"/>
    </row>
    <row r="310" spans="1:13" ht="35.25" customHeight="1">
      <c r="A310" s="22"/>
      <c r="B310" s="1335" t="s">
        <v>176</v>
      </c>
      <c r="C310" s="1969" t="s">
        <v>996</v>
      </c>
      <c r="D310" s="1969"/>
      <c r="E310" s="1969"/>
      <c r="F310" s="1969"/>
      <c r="G310" s="1969"/>
      <c r="H310" s="1969"/>
      <c r="I310" s="1969"/>
      <c r="J310" s="1969"/>
      <c r="K310" s="1969"/>
      <c r="L310" s="1969"/>
      <c r="M310" s="426"/>
    </row>
    <row r="311" spans="1:13" ht="15.75" customHeight="1">
      <c r="A311" s="69"/>
      <c r="B311" s="69" t="s">
        <v>283</v>
      </c>
      <c r="C311" s="751" t="s">
        <v>303</v>
      </c>
      <c r="D311" s="751"/>
      <c r="E311" s="758"/>
      <c r="F311" s="759"/>
      <c r="G311" s="1133"/>
      <c r="H311" s="1132"/>
      <c r="I311" s="153"/>
      <c r="J311" s="426"/>
      <c r="K311" s="425"/>
      <c r="L311" s="425"/>
      <c r="M311" s="426"/>
    </row>
    <row r="312" spans="1:13" ht="15.75" customHeight="1">
      <c r="A312" s="69"/>
      <c r="B312" s="69" t="s">
        <v>305</v>
      </c>
      <c r="C312" s="751" t="s">
        <v>304</v>
      </c>
      <c r="D312" s="751"/>
      <c r="E312" s="758"/>
      <c r="F312" s="759"/>
      <c r="G312" s="1133"/>
      <c r="H312" s="1132"/>
      <c r="I312" s="153"/>
      <c r="J312" s="426"/>
      <c r="K312" s="425"/>
      <c r="L312" s="425"/>
      <c r="M312" s="426"/>
    </row>
    <row r="313" spans="1:13" ht="17.45" customHeight="1">
      <c r="A313" s="69"/>
      <c r="B313" s="69" t="s">
        <v>337</v>
      </c>
      <c r="C313" s="1969" t="s">
        <v>340</v>
      </c>
      <c r="D313" s="1969"/>
      <c r="E313" s="1969"/>
      <c r="F313" s="1969"/>
      <c r="G313" s="1969"/>
      <c r="H313" s="1969"/>
      <c r="I313" s="153"/>
      <c r="J313" s="426"/>
      <c r="K313" s="425"/>
      <c r="L313" s="425"/>
      <c r="M313" s="426"/>
    </row>
    <row r="314" spans="1:13" ht="18">
      <c r="A314" s="69"/>
      <c r="B314" s="69" t="s">
        <v>339</v>
      </c>
      <c r="C314" s="1969" t="s">
        <v>338</v>
      </c>
      <c r="D314" s="1969"/>
      <c r="E314" s="1969"/>
      <c r="F314" s="1969"/>
      <c r="G314" s="1969"/>
      <c r="H314" s="1969"/>
      <c r="I314" s="153"/>
      <c r="J314" s="426"/>
      <c r="K314" s="425"/>
      <c r="L314" s="425"/>
      <c r="M314" s="426"/>
    </row>
    <row r="315" spans="1:13" ht="15" customHeight="1">
      <c r="A315" s="69"/>
      <c r="B315" s="69" t="s">
        <v>970</v>
      </c>
      <c r="C315" s="25" t="s">
        <v>997</v>
      </c>
      <c r="D315" s="25"/>
      <c r="E315" s="405"/>
      <c r="F315" s="409"/>
      <c r="G315" s="2"/>
      <c r="H315" s="1134"/>
      <c r="I315" s="153"/>
      <c r="J315" s="426"/>
      <c r="K315" s="425"/>
      <c r="L315" s="425"/>
      <c r="M315" s="426"/>
    </row>
    <row r="316" spans="1:13" ht="15.75">
      <c r="A316" s="69"/>
      <c r="B316" s="12"/>
      <c r="C316" s="12"/>
      <c r="D316" s="25"/>
      <c r="E316" s="405"/>
      <c r="F316" s="409"/>
      <c r="H316" s="188"/>
      <c r="I316" s="56"/>
      <c r="J316" s="56"/>
      <c r="K316" s="56"/>
      <c r="L316" s="56"/>
    </row>
    <row r="317" spans="1:13" ht="15.75">
      <c r="A317" s="69"/>
      <c r="B317" s="69"/>
      <c r="C317" s="12"/>
      <c r="D317" s="25"/>
      <c r="E317" s="405"/>
      <c r="F317" s="409"/>
      <c r="H317" s="188"/>
      <c r="I317" s="56"/>
      <c r="J317" s="56"/>
      <c r="K317" s="56"/>
      <c r="L317" s="56"/>
    </row>
    <row r="318" spans="1:13" ht="15.75">
      <c r="A318" s="69"/>
      <c r="B318" s="69"/>
      <c r="C318" s="25"/>
      <c r="D318" s="25"/>
      <c r="E318" s="405"/>
      <c r="F318" s="409"/>
      <c r="H318" s="188"/>
      <c r="I318" s="56"/>
      <c r="J318" s="56"/>
      <c r="K318" s="56"/>
      <c r="L318" s="56"/>
    </row>
    <row r="319" spans="1:13" ht="15.75">
      <c r="A319" s="13"/>
      <c r="B319" s="4"/>
      <c r="C319" s="3"/>
      <c r="D319" s="14"/>
      <c r="E319" s="105"/>
      <c r="F319" s="5"/>
      <c r="H319" s="7"/>
      <c r="I319" s="56"/>
      <c r="J319" s="56"/>
      <c r="K319" s="56"/>
      <c r="L319" s="56"/>
    </row>
    <row r="320" spans="1:13" ht="15.75">
      <c r="A320" s="52" t="s">
        <v>740</v>
      </c>
      <c r="B320" s="51"/>
      <c r="C320" s="45"/>
      <c r="D320" s="44"/>
      <c r="E320" s="410"/>
      <c r="F320" s="44"/>
      <c r="G320" s="442"/>
      <c r="H320" s="45"/>
      <c r="I320" s="435"/>
      <c r="J320" s="435"/>
      <c r="K320" s="435"/>
      <c r="L320" s="435"/>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40"/>
  <sheetViews>
    <sheetView zoomScale="75" zoomScaleNormal="75" zoomScaleSheetLayoutView="65" workbookViewId="0">
      <selection activeCell="A106" sqref="A106"/>
    </sheetView>
  </sheetViews>
  <sheetFormatPr defaultRowHeight="12.75"/>
  <cols>
    <col min="1" max="1" width="11.42578125" style="110" customWidth="1"/>
    <col min="2" max="2" width="37.42578125" style="110" customWidth="1"/>
    <col min="3" max="3" width="19.85546875" style="110" customWidth="1"/>
    <col min="4" max="4" width="17" customWidth="1"/>
    <col min="5" max="5" width="16.5703125" customWidth="1"/>
    <col min="6" max="7" width="16.85546875" customWidth="1"/>
    <col min="8" max="9" width="16.5703125" customWidth="1"/>
    <col min="10" max="10" width="72" customWidth="1"/>
    <col min="11" max="11" width="15.7109375" bestFit="1" customWidth="1"/>
    <col min="14" max="14" width="14.140625" customWidth="1"/>
    <col min="15" max="15" width="10.28515625" bestFit="1" customWidth="1"/>
  </cols>
  <sheetData>
    <row r="1" spans="1:13" ht="18">
      <c r="A1" s="1980" t="str">
        <f>+'ATT H-1 '!A3</f>
        <v xml:space="preserve">Puget Sound Energy </v>
      </c>
      <c r="B1" s="1980"/>
      <c r="C1" s="1980"/>
      <c r="D1" s="1981"/>
      <c r="E1" s="1981"/>
      <c r="F1" s="1981"/>
      <c r="G1" s="1981"/>
      <c r="H1" s="1981"/>
      <c r="I1" s="1981"/>
      <c r="J1" s="1982"/>
    </row>
    <row r="2" spans="1:13" ht="18">
      <c r="A2" s="106"/>
      <c r="B2" s="106"/>
      <c r="C2" s="106"/>
      <c r="D2" s="168"/>
      <c r="E2" s="168"/>
      <c r="F2" s="168"/>
      <c r="G2" s="168"/>
      <c r="H2" s="168"/>
      <c r="I2" s="168"/>
      <c r="J2" s="85"/>
    </row>
    <row r="3" spans="1:13" ht="15.75">
      <c r="A3" s="1187" t="s">
        <v>663</v>
      </c>
      <c r="B3" s="171"/>
      <c r="C3" s="171"/>
      <c r="D3" s="172"/>
      <c r="E3" s="172"/>
      <c r="F3" s="172"/>
      <c r="G3" s="172"/>
      <c r="H3" s="172"/>
      <c r="I3" s="172"/>
      <c r="J3" s="172"/>
    </row>
    <row r="4" spans="1:13" ht="15">
      <c r="A4" s="167"/>
      <c r="B4" s="167"/>
      <c r="C4" s="167"/>
      <c r="D4" s="149"/>
      <c r="E4" s="149"/>
      <c r="F4" s="149"/>
      <c r="G4" s="149"/>
      <c r="H4" s="149"/>
      <c r="I4" s="149"/>
      <c r="J4" s="149"/>
    </row>
    <row r="5" spans="1:13">
      <c r="A5" s="126"/>
      <c r="B5" s="126"/>
      <c r="C5" s="126"/>
      <c r="D5" s="2"/>
      <c r="E5" s="2"/>
      <c r="F5" s="87" t="s">
        <v>759</v>
      </c>
      <c r="G5" s="87"/>
      <c r="H5" s="2"/>
      <c r="I5" s="87"/>
      <c r="J5" s="2"/>
    </row>
    <row r="6" spans="1:13">
      <c r="A6" s="126"/>
      <c r="B6" s="126"/>
      <c r="C6" s="126"/>
      <c r="D6" s="2"/>
      <c r="E6" s="176"/>
      <c r="F6" s="127" t="s">
        <v>943</v>
      </c>
      <c r="G6" s="127" t="s">
        <v>115</v>
      </c>
      <c r="H6" s="127" t="s">
        <v>117</v>
      </c>
      <c r="I6" s="127" t="s">
        <v>850</v>
      </c>
      <c r="J6" s="2"/>
    </row>
    <row r="7" spans="1:13">
      <c r="A7" s="126"/>
      <c r="B7" s="126"/>
      <c r="C7" s="126"/>
      <c r="D7" s="2"/>
      <c r="E7" s="84"/>
      <c r="F7" s="127" t="s">
        <v>116</v>
      </c>
      <c r="G7" s="127" t="s">
        <v>116</v>
      </c>
      <c r="H7" s="127" t="s">
        <v>116</v>
      </c>
      <c r="I7" s="127" t="s">
        <v>125</v>
      </c>
      <c r="J7" s="2"/>
    </row>
    <row r="8" spans="1:13">
      <c r="A8" s="126"/>
      <c r="B8" s="126"/>
      <c r="C8" s="126"/>
      <c r="D8" s="2"/>
      <c r="E8" s="2"/>
      <c r="F8" s="2"/>
      <c r="G8" s="2"/>
      <c r="H8" s="2"/>
      <c r="I8" s="2"/>
      <c r="J8" s="2"/>
      <c r="L8" s="183"/>
    </row>
    <row r="9" spans="1:13">
      <c r="A9" s="126"/>
      <c r="B9" s="126"/>
      <c r="C9" s="126"/>
      <c r="D9" s="2"/>
      <c r="E9" s="2"/>
      <c r="F9" s="2"/>
      <c r="G9" s="2"/>
      <c r="H9" s="2"/>
      <c r="I9" s="2"/>
      <c r="J9" s="2"/>
    </row>
    <row r="10" spans="1:13">
      <c r="A10" s="126"/>
      <c r="B10" s="126"/>
      <c r="C10" s="126"/>
      <c r="D10" s="180" t="s">
        <v>945</v>
      </c>
      <c r="E10" s="2"/>
      <c r="F10" s="107">
        <f>+G71</f>
        <v>0</v>
      </c>
      <c r="G10" s="107">
        <f>+H71</f>
        <v>-1196013751.6472001</v>
      </c>
      <c r="H10" s="107">
        <f>+I71</f>
        <v>0</v>
      </c>
      <c r="I10" s="107">
        <f>SUM(F10:H10)</f>
        <v>-1196013751.6472001</v>
      </c>
      <c r="J10" s="2"/>
    </row>
    <row r="11" spans="1:13">
      <c r="A11" s="126"/>
      <c r="B11" s="126"/>
      <c r="C11" s="126"/>
      <c r="D11" s="180" t="s">
        <v>946</v>
      </c>
      <c r="E11" s="2"/>
      <c r="F11" s="107">
        <f>+G109</f>
        <v>0</v>
      </c>
      <c r="G11" s="107">
        <f>+H109</f>
        <v>-5920382.2599999998</v>
      </c>
      <c r="H11" s="107">
        <f>+I109</f>
        <v>-43170495.848229498</v>
      </c>
      <c r="I11" s="107">
        <f>SUM(F11:H11)</f>
        <v>-49090878.108229496</v>
      </c>
      <c r="J11" s="181"/>
    </row>
    <row r="12" spans="1:13">
      <c r="A12" s="126"/>
      <c r="B12" s="126"/>
      <c r="C12" s="126"/>
      <c r="D12" s="180" t="s">
        <v>944</v>
      </c>
      <c r="E12" s="2"/>
      <c r="F12" s="107">
        <f>+G46</f>
        <v>0</v>
      </c>
      <c r="G12" s="107">
        <f>+H46</f>
        <v>29236226.009999998</v>
      </c>
      <c r="H12" s="107">
        <f>+I46</f>
        <v>13954880.326086501</v>
      </c>
      <c r="I12" s="107">
        <f>SUM(F12:H12)</f>
        <v>43191106.336086497</v>
      </c>
      <c r="J12" s="181"/>
    </row>
    <row r="13" spans="1:13">
      <c r="A13" s="126"/>
      <c r="B13" s="126"/>
      <c r="C13" s="126"/>
      <c r="D13" s="180" t="s">
        <v>898</v>
      </c>
      <c r="E13" s="2"/>
      <c r="F13" s="107">
        <f>SUM(F10:F12)</f>
        <v>0</v>
      </c>
      <c r="G13" s="107">
        <f>SUM(G10:G12)</f>
        <v>-1172697907.8972001</v>
      </c>
      <c r="H13" s="107">
        <f>SUM(H10:H12)</f>
        <v>-29215615.522142999</v>
      </c>
      <c r="I13" s="107">
        <f>SUM(F13:H13)</f>
        <v>-1201913523.419343</v>
      </c>
      <c r="J13" s="107"/>
      <c r="K13" s="1743"/>
      <c r="L13" s="1743"/>
    </row>
    <row r="14" spans="1:13">
      <c r="A14" s="126"/>
      <c r="B14" s="126"/>
      <c r="C14" s="126"/>
      <c r="D14" s="180" t="s">
        <v>825</v>
      </c>
      <c r="E14" s="2"/>
      <c r="F14" s="2"/>
      <c r="G14" s="2"/>
      <c r="H14" s="1186">
        <f>+'ATT H-1 '!H13</f>
        <v>0.10926820886382468</v>
      </c>
      <c r="I14" s="2"/>
      <c r="J14" s="2"/>
      <c r="K14" s="97"/>
      <c r="L14" s="97"/>
      <c r="M14" s="97"/>
    </row>
    <row r="15" spans="1:13">
      <c r="A15" s="126"/>
      <c r="B15" s="126"/>
      <c r="C15" s="126"/>
      <c r="D15" s="180" t="s">
        <v>743</v>
      </c>
      <c r="E15" s="2"/>
      <c r="F15" s="2"/>
      <c r="G15" s="1186">
        <f>+'ATT H-1 '!H23</f>
        <v>0.18218326084989409</v>
      </c>
      <c r="H15" s="2"/>
      <c r="I15" s="2"/>
      <c r="J15" s="2"/>
      <c r="K15" s="97"/>
      <c r="L15" s="97"/>
      <c r="M15" s="97"/>
    </row>
    <row r="16" spans="1:13">
      <c r="A16" s="126"/>
      <c r="B16" s="126"/>
      <c r="C16" s="126"/>
      <c r="D16" s="180" t="s">
        <v>125</v>
      </c>
      <c r="E16" s="2"/>
      <c r="F16" s="107">
        <f>+F13</f>
        <v>0</v>
      </c>
      <c r="G16" s="107">
        <f>+G15*G13</f>
        <v>-213645928.85256067</v>
      </c>
      <c r="H16" s="107">
        <f>+H14*H13</f>
        <v>-3192337.9789587199</v>
      </c>
      <c r="I16" s="107">
        <f>SUM(F16:H16)</f>
        <v>-216838266.8315194</v>
      </c>
      <c r="J16" s="2"/>
      <c r="K16" s="796"/>
      <c r="L16" s="796"/>
      <c r="M16" s="796"/>
    </row>
    <row r="17" spans="1:13">
      <c r="A17" s="126"/>
      <c r="B17" s="126"/>
      <c r="C17" s="126"/>
      <c r="D17" s="2"/>
      <c r="E17" s="2"/>
      <c r="F17" s="2"/>
      <c r="G17" s="2"/>
      <c r="H17" s="2"/>
      <c r="I17" s="2"/>
      <c r="J17" s="2"/>
      <c r="K17" s="97"/>
      <c r="L17" s="97"/>
      <c r="M17" s="97"/>
    </row>
    <row r="18" spans="1:13">
      <c r="A18" s="1190"/>
      <c r="B18" s="1190"/>
      <c r="C18" s="1190"/>
      <c r="D18" s="1190"/>
      <c r="E18" s="1190"/>
      <c r="F18" s="1190"/>
      <c r="G18" s="1190"/>
      <c r="H18" s="1190"/>
      <c r="I18" s="1190"/>
      <c r="J18" s="1190"/>
      <c r="K18" s="97"/>
      <c r="L18" s="97"/>
      <c r="M18" s="97"/>
    </row>
    <row r="19" spans="1:13">
      <c r="A19" s="1472"/>
      <c r="B19" s="1472"/>
      <c r="C19" s="1472"/>
      <c r="D19" s="1190"/>
      <c r="E19" s="1190"/>
      <c r="F19" s="1190"/>
      <c r="G19" s="1190"/>
      <c r="H19" s="1190"/>
      <c r="I19" s="1190"/>
      <c r="J19" s="1190"/>
    </row>
    <row r="20" spans="1:13">
      <c r="A20" s="1572" t="s">
        <v>180</v>
      </c>
      <c r="B20" s="1472"/>
      <c r="C20" s="1472"/>
      <c r="D20" s="1190"/>
      <c r="E20" s="1190"/>
      <c r="F20" s="1190"/>
      <c r="G20" s="1190"/>
      <c r="H20" s="1190"/>
      <c r="I20" s="1190"/>
      <c r="J20" s="1190"/>
    </row>
    <row r="21" spans="1:13">
      <c r="A21" s="1572" t="s">
        <v>863</v>
      </c>
      <c r="B21" s="1472"/>
      <c r="C21" s="1472"/>
      <c r="D21" s="1190"/>
      <c r="E21" s="1190"/>
      <c r="F21" s="1190"/>
      <c r="G21" s="1190"/>
      <c r="H21" s="1190"/>
      <c r="I21" s="1190"/>
      <c r="J21" s="1190"/>
    </row>
    <row r="22" spans="1:13" ht="15">
      <c r="A22" s="1472"/>
      <c r="B22" s="1472"/>
      <c r="C22" s="1472"/>
      <c r="D22" s="1473"/>
      <c r="E22" s="1473"/>
      <c r="F22" s="1473"/>
      <c r="G22" s="1473"/>
      <c r="H22" s="1473"/>
      <c r="I22" s="1473"/>
      <c r="J22" s="1474"/>
    </row>
    <row r="23" spans="1:13">
      <c r="A23" s="126"/>
      <c r="B23" s="126"/>
      <c r="C23" s="126"/>
      <c r="D23" s="2"/>
      <c r="E23" s="2"/>
      <c r="F23" s="2"/>
      <c r="G23" s="2"/>
      <c r="H23" s="2"/>
      <c r="I23" s="119"/>
      <c r="J23" s="2"/>
    </row>
    <row r="24" spans="1:13">
      <c r="A24" s="127" t="s">
        <v>761</v>
      </c>
      <c r="B24" s="127"/>
      <c r="C24" s="127"/>
      <c r="D24" s="127"/>
      <c r="E24" s="157" t="s">
        <v>851</v>
      </c>
      <c r="F24" s="157" t="s">
        <v>742</v>
      </c>
      <c r="G24" s="157" t="s">
        <v>762</v>
      </c>
      <c r="H24" s="157" t="s">
        <v>760</v>
      </c>
      <c r="I24" s="157" t="s">
        <v>175</v>
      </c>
      <c r="J24" s="157" t="s">
        <v>763</v>
      </c>
    </row>
    <row r="25" spans="1:13">
      <c r="A25" s="126"/>
      <c r="B25" s="126"/>
      <c r="C25" s="834" t="s">
        <v>850</v>
      </c>
      <c r="D25" s="180" t="s">
        <v>850</v>
      </c>
      <c r="E25" s="127" t="s">
        <v>850</v>
      </c>
      <c r="F25" s="127" t="s">
        <v>118</v>
      </c>
      <c r="G25" s="127" t="s">
        <v>120</v>
      </c>
      <c r="H25" s="87"/>
      <c r="I25" s="87"/>
      <c r="J25" s="2"/>
    </row>
    <row r="26" spans="1:13">
      <c r="A26" s="180" t="s">
        <v>944</v>
      </c>
      <c r="B26" s="180"/>
      <c r="C26" s="180" t="s">
        <v>346</v>
      </c>
      <c r="D26" s="180" t="s">
        <v>235</v>
      </c>
      <c r="E26" s="127" t="s">
        <v>347</v>
      </c>
      <c r="F26" s="127" t="s">
        <v>119</v>
      </c>
      <c r="G26" s="127" t="s">
        <v>943</v>
      </c>
      <c r="H26" s="127" t="s">
        <v>115</v>
      </c>
      <c r="I26" s="127" t="s">
        <v>117</v>
      </c>
      <c r="J26" s="2"/>
    </row>
    <row r="27" spans="1:13">
      <c r="A27" s="126"/>
      <c r="B27" s="126"/>
      <c r="C27" s="126"/>
      <c r="D27" s="2"/>
      <c r="E27" s="87"/>
      <c r="F27" s="127" t="s">
        <v>116</v>
      </c>
      <c r="G27" s="127" t="s">
        <v>116</v>
      </c>
      <c r="H27" s="127" t="s">
        <v>116</v>
      </c>
      <c r="I27" s="127" t="s">
        <v>116</v>
      </c>
      <c r="J27" s="127" t="s">
        <v>734</v>
      </c>
    </row>
    <row r="28" spans="1:13">
      <c r="A28" s="126"/>
      <c r="B28" s="126"/>
      <c r="C28" s="126"/>
      <c r="D28" s="1183"/>
      <c r="E28" s="1183"/>
      <c r="F28" s="2"/>
      <c r="G28" s="2"/>
      <c r="H28" s="2"/>
      <c r="I28" s="2"/>
      <c r="J28" s="2"/>
    </row>
    <row r="29" spans="1:13">
      <c r="A29" s="1578" t="s">
        <v>1268</v>
      </c>
      <c r="B29" s="1573"/>
      <c r="C29" s="1574">
        <v>64965749.052605137</v>
      </c>
      <c r="D29" s="1574">
        <v>59714052.730658703</v>
      </c>
      <c r="E29" s="1574">
        <f t="shared" ref="E29:E34" si="0">AVERAGE(C29,D29)</f>
        <v>62339900.891631916</v>
      </c>
      <c r="F29" s="1574">
        <v>62339900.891631916</v>
      </c>
      <c r="G29" s="1574"/>
      <c r="H29" s="1574"/>
      <c r="I29" s="1574"/>
      <c r="J29" s="1575" t="s">
        <v>462</v>
      </c>
      <c r="K29" s="97"/>
    </row>
    <row r="30" spans="1:13">
      <c r="A30" s="1578" t="s">
        <v>89</v>
      </c>
      <c r="B30" s="1577"/>
      <c r="C30" s="1574">
        <v>16718700.825923003</v>
      </c>
      <c r="D30" s="1574">
        <v>9868564.8962499984</v>
      </c>
      <c r="E30" s="1574">
        <f t="shared" si="0"/>
        <v>13293632.861086501</v>
      </c>
      <c r="F30" s="1574"/>
      <c r="G30" s="1574"/>
      <c r="H30" s="1574"/>
      <c r="I30" s="1574">
        <v>13293632.861086501</v>
      </c>
      <c r="J30" s="1575" t="s">
        <v>112</v>
      </c>
      <c r="K30" s="97"/>
    </row>
    <row r="31" spans="1:13">
      <c r="A31" s="1578" t="s">
        <v>90</v>
      </c>
      <c r="B31" s="1577"/>
      <c r="C31" s="1574">
        <v>0</v>
      </c>
      <c r="D31" s="1574">
        <v>0</v>
      </c>
      <c r="E31" s="1574">
        <f t="shared" si="0"/>
        <v>0</v>
      </c>
      <c r="F31" s="1574"/>
      <c r="G31" s="1574"/>
      <c r="H31" s="1574"/>
      <c r="I31" s="1574"/>
      <c r="J31" s="1575" t="s">
        <v>614</v>
      </c>
      <c r="K31" s="97"/>
    </row>
    <row r="32" spans="1:13">
      <c r="A32" s="1578" t="s">
        <v>91</v>
      </c>
      <c r="B32" s="1573"/>
      <c r="C32" s="1574">
        <v>0</v>
      </c>
      <c r="D32" s="1574">
        <v>0</v>
      </c>
      <c r="E32" s="1574">
        <f t="shared" si="0"/>
        <v>0</v>
      </c>
      <c r="F32" s="1574"/>
      <c r="G32" s="1574"/>
      <c r="H32" s="1574"/>
      <c r="I32" s="1574"/>
      <c r="J32" s="1575" t="s">
        <v>614</v>
      </c>
      <c r="K32" s="97"/>
    </row>
    <row r="33" spans="1:11">
      <c r="A33" s="1578" t="s">
        <v>92</v>
      </c>
      <c r="B33" s="1573"/>
      <c r="C33" s="1574">
        <v>62216361.838119999</v>
      </c>
      <c r="D33" s="1574">
        <v>56757879.692546993</v>
      </c>
      <c r="E33" s="1574">
        <f t="shared" si="0"/>
        <v>59487120.765333496</v>
      </c>
      <c r="F33" s="1574">
        <v>59487120.765333496</v>
      </c>
      <c r="G33" s="1574"/>
      <c r="H33" s="1574"/>
      <c r="I33" s="1574"/>
      <c r="J33" s="1575" t="s">
        <v>727</v>
      </c>
      <c r="K33" s="97"/>
    </row>
    <row r="34" spans="1:11">
      <c r="A34" s="1578" t="s">
        <v>725</v>
      </c>
      <c r="B34" s="1579"/>
      <c r="C34" s="1574">
        <v>0</v>
      </c>
      <c r="D34" s="1574">
        <v>0</v>
      </c>
      <c r="E34" s="1574">
        <f t="shared" si="0"/>
        <v>0</v>
      </c>
      <c r="F34" s="1574"/>
      <c r="G34" s="1574"/>
      <c r="H34" s="1581"/>
      <c r="I34" s="1574"/>
      <c r="J34" s="1575" t="s">
        <v>1301</v>
      </c>
      <c r="K34" s="1728"/>
    </row>
    <row r="35" spans="1:11">
      <c r="A35" s="1578" t="s">
        <v>1327</v>
      </c>
      <c r="B35" s="1573"/>
      <c r="C35" s="1574">
        <v>64105698.159999996</v>
      </c>
      <c r="D35" s="1574">
        <v>60920332.25</v>
      </c>
      <c r="E35" s="1574">
        <f>AVERAGE(C35,D35)</f>
        <v>62513015.204999998</v>
      </c>
      <c r="F35" s="1574">
        <v>62513015.204999998</v>
      </c>
      <c r="G35" s="1574"/>
      <c r="H35" s="1574"/>
      <c r="I35" s="1574"/>
      <c r="J35" s="1575" t="s">
        <v>1330</v>
      </c>
      <c r="K35" s="1728"/>
    </row>
    <row r="36" spans="1:11">
      <c r="A36" s="1578" t="s">
        <v>1328</v>
      </c>
      <c r="B36" s="1573"/>
      <c r="C36" s="1574">
        <v>36712632.184271999</v>
      </c>
      <c r="D36" s="1574">
        <v>40645288.632739991</v>
      </c>
      <c r="E36" s="1574">
        <f>AVERAGE(C36,D36)</f>
        <v>38678960.408505991</v>
      </c>
      <c r="F36" s="1574">
        <v>9442734.3985059932</v>
      </c>
      <c r="G36" s="1574"/>
      <c r="H36" s="1574">
        <v>29236226.009999998</v>
      </c>
      <c r="I36" s="1574"/>
      <c r="J36" s="1575" t="s">
        <v>126</v>
      </c>
      <c r="K36" s="97"/>
    </row>
    <row r="37" spans="1:11">
      <c r="A37" s="1578" t="s">
        <v>88</v>
      </c>
      <c r="B37" s="1573"/>
      <c r="C37" s="1574">
        <v>82461422.617379785</v>
      </c>
      <c r="D37" s="1574">
        <v>72664377.606304243</v>
      </c>
      <c r="E37" s="1574">
        <f>AVERAGE(C37,D37)</f>
        <v>77562900.111842006</v>
      </c>
      <c r="F37" s="1574">
        <v>77562900.111842006</v>
      </c>
      <c r="G37" s="1574"/>
      <c r="H37" s="1574"/>
      <c r="I37" s="1574"/>
      <c r="J37" s="1575" t="s">
        <v>1331</v>
      </c>
      <c r="K37" s="97"/>
    </row>
    <row r="38" spans="1:11">
      <c r="A38" s="1578" t="s">
        <v>1329</v>
      </c>
      <c r="B38" s="1573"/>
      <c r="C38" s="1574">
        <v>37838475.659999996</v>
      </c>
      <c r="D38" s="1574">
        <v>84160917.460000008</v>
      </c>
      <c r="E38" s="1574">
        <f>AVERAGE(C38,D38)</f>
        <v>60999696.560000002</v>
      </c>
      <c r="F38" s="1574">
        <f>E38</f>
        <v>60999696.560000002</v>
      </c>
      <c r="G38" s="1574"/>
      <c r="H38" s="1574"/>
      <c r="I38" s="1574"/>
      <c r="J38" s="1575" t="s">
        <v>1329</v>
      </c>
      <c r="K38" s="97"/>
    </row>
    <row r="39" spans="1:11">
      <c r="A39" s="1578"/>
      <c r="B39" s="1573"/>
      <c r="C39" s="1574"/>
      <c r="D39" s="1582"/>
      <c r="E39" s="1581"/>
      <c r="F39" s="1581"/>
      <c r="G39" s="1581"/>
      <c r="H39" s="1581"/>
      <c r="I39" s="1581"/>
      <c r="J39" s="1575"/>
      <c r="K39" s="97"/>
    </row>
    <row r="40" spans="1:11">
      <c r="A40" s="1578"/>
      <c r="B40" s="1573"/>
      <c r="C40" s="1574"/>
      <c r="D40" s="1583"/>
      <c r="E40" s="1574"/>
      <c r="F40" s="1574"/>
      <c r="G40" s="1574"/>
      <c r="H40" s="1574"/>
      <c r="I40" s="1574"/>
      <c r="J40" s="1575"/>
      <c r="K40" s="97"/>
    </row>
    <row r="41" spans="1:11">
      <c r="A41" s="1578"/>
      <c r="B41" s="1573"/>
      <c r="C41" s="1574"/>
      <c r="D41" s="1583"/>
      <c r="E41" s="1574"/>
      <c r="F41" s="1574"/>
      <c r="G41" s="1574"/>
      <c r="H41" s="1574"/>
      <c r="I41" s="1574"/>
      <c r="J41" s="1575"/>
      <c r="K41" s="97"/>
    </row>
    <row r="42" spans="1:11">
      <c r="A42" s="1578"/>
      <c r="B42" s="1573"/>
      <c r="C42" s="1574"/>
      <c r="D42" s="1583"/>
      <c r="E42" s="1581"/>
      <c r="F42" s="1581"/>
      <c r="G42" s="1581"/>
      <c r="H42" s="1581"/>
      <c r="I42" s="1581"/>
      <c r="J42" s="1575"/>
      <c r="K42" s="97"/>
    </row>
    <row r="43" spans="1:11">
      <c r="A43" s="1584" t="s">
        <v>124</v>
      </c>
      <c r="B43" s="1475"/>
      <c r="C43" s="1475"/>
      <c r="D43" s="1476"/>
      <c r="E43" s="1477">
        <f>SUM(E29:E42)</f>
        <v>374875226.80339986</v>
      </c>
      <c r="F43" s="1477">
        <f>SUM(F29:F42)</f>
        <v>332345367.93231338</v>
      </c>
      <c r="G43" s="130">
        <f>SUM(G29:G42)</f>
        <v>0</v>
      </c>
      <c r="H43" s="130">
        <f>SUM(H29:H42)</f>
        <v>29236226.009999998</v>
      </c>
      <c r="I43" s="130">
        <f>SUM(I29:I42)</f>
        <v>13293632.861086501</v>
      </c>
      <c r="J43" s="160"/>
      <c r="K43" s="97"/>
    </row>
    <row r="44" spans="1:11">
      <c r="A44" s="1585" t="s">
        <v>670</v>
      </c>
      <c r="B44" s="1478"/>
      <c r="C44" s="1478"/>
      <c r="D44" s="1479"/>
      <c r="E44" s="1477">
        <v>0</v>
      </c>
      <c r="F44" s="1477">
        <v>0</v>
      </c>
      <c r="G44" s="130">
        <v>0</v>
      </c>
      <c r="H44" s="1185">
        <v>0</v>
      </c>
      <c r="I44" s="130">
        <f>E44</f>
        <v>0</v>
      </c>
      <c r="J44" s="162"/>
      <c r="K44" s="97"/>
    </row>
    <row r="45" spans="1:11">
      <c r="A45" s="1586" t="s">
        <v>671</v>
      </c>
      <c r="B45" s="1480"/>
      <c r="C45" s="1480"/>
      <c r="D45" s="1481"/>
      <c r="E45" s="1477">
        <v>-661247.46500000008</v>
      </c>
      <c r="F45" s="1477">
        <v>0</v>
      </c>
      <c r="G45" s="130">
        <v>0</v>
      </c>
      <c r="H45" s="130">
        <v>0</v>
      </c>
      <c r="I45" s="130">
        <f>E45</f>
        <v>-661247.46500000008</v>
      </c>
      <c r="J45" s="162"/>
      <c r="K45" s="97"/>
    </row>
    <row r="46" spans="1:11">
      <c r="A46" s="1584" t="s">
        <v>850</v>
      </c>
      <c r="B46" s="1475"/>
      <c r="C46" s="1525">
        <f>SUM(C29:C45)</f>
        <v>365019040.33829987</v>
      </c>
      <c r="D46" s="1525">
        <f>SUM(D29:D45)</f>
        <v>384731413.26849997</v>
      </c>
      <c r="E46" s="1477">
        <f>+E43-E44-E45</f>
        <v>375536474.26839983</v>
      </c>
      <c r="F46" s="1477">
        <f>+F43-F44-F45</f>
        <v>332345367.93231338</v>
      </c>
      <c r="G46" s="130">
        <f>+G43-G44-G45</f>
        <v>0</v>
      </c>
      <c r="H46" s="130">
        <f>+H43-H44-H45</f>
        <v>29236226.009999998</v>
      </c>
      <c r="I46" s="130">
        <f>+I43-I44-I45</f>
        <v>13954880.326086501</v>
      </c>
      <c r="J46" s="160"/>
      <c r="K46" s="97"/>
    </row>
    <row r="47" spans="1:11">
      <c r="A47" s="1587"/>
      <c r="B47" s="1482"/>
      <c r="C47" s="1482"/>
      <c r="D47" s="1483"/>
      <c r="E47" s="1484"/>
      <c r="F47" s="1485"/>
      <c r="G47" s="104"/>
      <c r="H47" s="148"/>
      <c r="I47" s="103"/>
      <c r="J47" s="138"/>
      <c r="K47" s="97"/>
    </row>
    <row r="48" spans="1:11">
      <c r="A48" s="1588" t="s">
        <v>121</v>
      </c>
      <c r="B48" s="1589"/>
      <c r="C48" s="1590"/>
      <c r="D48" s="1591"/>
      <c r="E48" s="1592"/>
      <c r="F48" s="1593"/>
      <c r="G48" s="97"/>
      <c r="H48" s="97"/>
      <c r="I48" s="138"/>
      <c r="J48" s="97"/>
    </row>
    <row r="49" spans="1:11" ht="25.5" customHeight="1">
      <c r="A49" s="1974" t="s">
        <v>572</v>
      </c>
      <c r="B49" s="1975"/>
      <c r="C49" s="1975"/>
      <c r="D49" s="1975"/>
      <c r="E49" s="1975"/>
      <c r="F49" s="1976"/>
      <c r="G49" s="97"/>
      <c r="H49" s="97"/>
      <c r="I49" s="169"/>
      <c r="J49" s="97"/>
    </row>
    <row r="50" spans="1:11">
      <c r="A50" s="1594" t="s">
        <v>573</v>
      </c>
      <c r="B50" s="1595"/>
      <c r="C50" s="1596"/>
      <c r="D50" s="1596"/>
      <c r="E50" s="1597"/>
      <c r="F50" s="1598"/>
      <c r="G50" s="97"/>
      <c r="H50" s="97"/>
      <c r="I50" s="138"/>
      <c r="J50" s="97"/>
    </row>
    <row r="51" spans="1:11">
      <c r="A51" s="1594" t="s">
        <v>920</v>
      </c>
      <c r="B51" s="1595"/>
      <c r="C51" s="1596"/>
      <c r="D51" s="1596"/>
      <c r="E51" s="1597"/>
      <c r="F51" s="1598"/>
      <c r="G51" s="97"/>
      <c r="H51" s="97"/>
      <c r="I51" s="169"/>
      <c r="J51" s="97"/>
    </row>
    <row r="52" spans="1:11">
      <c r="A52" s="1594" t="s">
        <v>921</v>
      </c>
      <c r="B52" s="1595"/>
      <c r="C52" s="1596"/>
      <c r="D52" s="1596"/>
      <c r="E52" s="1597"/>
      <c r="F52" s="1598"/>
      <c r="G52" s="97"/>
      <c r="H52" s="97"/>
      <c r="I52" s="138"/>
      <c r="J52" s="97"/>
    </row>
    <row r="53" spans="1:11" ht="42" customHeight="1">
      <c r="A53" s="1977" t="s">
        <v>580</v>
      </c>
      <c r="B53" s="1978"/>
      <c r="C53" s="1978"/>
      <c r="D53" s="1978"/>
      <c r="E53" s="1978"/>
      <c r="F53" s="1979"/>
      <c r="G53" s="97"/>
      <c r="H53" s="97"/>
      <c r="I53" s="97"/>
      <c r="J53" s="142"/>
    </row>
    <row r="54" spans="1:11">
      <c r="A54" s="1599" t="s">
        <v>713</v>
      </c>
      <c r="B54" s="1600"/>
      <c r="C54" s="1600"/>
      <c r="D54" s="1600"/>
      <c r="E54" s="1600"/>
      <c r="F54" s="1601"/>
      <c r="G54" s="97"/>
      <c r="H54" s="97"/>
      <c r="I54" s="138"/>
      <c r="J54" s="97"/>
    </row>
    <row r="55" spans="1:11">
      <c r="A55" s="136"/>
      <c r="B55" s="136"/>
      <c r="C55" s="97"/>
      <c r="D55" s="104"/>
      <c r="E55" s="104"/>
      <c r="F55" s="103"/>
      <c r="G55" s="103"/>
      <c r="H55" s="97"/>
      <c r="J55" s="138"/>
      <c r="K55" s="97"/>
    </row>
    <row r="56" spans="1:11" ht="15">
      <c r="A56" s="136"/>
      <c r="B56" s="136"/>
      <c r="C56" s="136"/>
      <c r="D56" s="134"/>
      <c r="E56" s="134"/>
      <c r="F56" s="134"/>
      <c r="G56" s="134"/>
      <c r="H56" s="134"/>
      <c r="I56" s="134"/>
      <c r="J56" s="138"/>
      <c r="K56" s="97"/>
    </row>
    <row r="57" spans="1:11">
      <c r="A57" s="132"/>
      <c r="B57" s="132"/>
      <c r="C57" s="132"/>
      <c r="D57" s="133"/>
      <c r="E57" s="97"/>
      <c r="F57" s="97"/>
      <c r="G57" s="97"/>
      <c r="H57" s="97"/>
      <c r="I57" s="97"/>
      <c r="J57" s="104"/>
      <c r="K57" s="97"/>
    </row>
    <row r="58" spans="1:11" ht="15.75">
      <c r="A58" s="387" t="s">
        <v>663</v>
      </c>
      <c r="B58" s="186"/>
      <c r="C58" s="186"/>
      <c r="D58" s="135"/>
      <c r="E58" s="135"/>
      <c r="F58" s="135"/>
      <c r="G58" s="135"/>
      <c r="H58" s="135"/>
      <c r="I58" s="135"/>
      <c r="J58" s="135"/>
      <c r="K58" s="97"/>
    </row>
    <row r="59" spans="1:11" ht="15">
      <c r="A59" s="134"/>
      <c r="B59" s="134"/>
      <c r="C59" s="134"/>
      <c r="D59" s="135"/>
      <c r="E59" s="135"/>
      <c r="F59" s="135"/>
      <c r="G59" s="135"/>
      <c r="H59" s="135"/>
      <c r="I59" s="135"/>
      <c r="J59" s="135"/>
      <c r="K59" s="97"/>
    </row>
    <row r="60" spans="1:11">
      <c r="A60" s="157" t="s">
        <v>761</v>
      </c>
      <c r="B60" s="136"/>
      <c r="C60" s="136"/>
      <c r="E60" s="157" t="s">
        <v>851</v>
      </c>
      <c r="F60" s="157" t="s">
        <v>742</v>
      </c>
      <c r="G60" s="157" t="s">
        <v>762</v>
      </c>
      <c r="H60" s="157" t="s">
        <v>760</v>
      </c>
      <c r="I60" s="157" t="s">
        <v>175</v>
      </c>
      <c r="J60" s="157" t="s">
        <v>763</v>
      </c>
      <c r="K60" s="97"/>
    </row>
    <row r="61" spans="1:11">
      <c r="A61" s="2"/>
      <c r="B61" s="1188"/>
      <c r="C61" s="834" t="s">
        <v>850</v>
      </c>
      <c r="D61" s="180" t="s">
        <v>850</v>
      </c>
      <c r="E61" s="127" t="s">
        <v>850</v>
      </c>
      <c r="F61" s="127" t="s">
        <v>118</v>
      </c>
      <c r="G61" s="127" t="s">
        <v>120</v>
      </c>
      <c r="H61" s="87"/>
      <c r="I61" s="87"/>
      <c r="J61" s="2"/>
      <c r="K61" s="97"/>
    </row>
    <row r="62" spans="1:11">
      <c r="A62" s="631" t="s">
        <v>945</v>
      </c>
      <c r="B62" s="1189"/>
      <c r="C62" s="180" t="s">
        <v>346</v>
      </c>
      <c r="D62" s="180" t="s">
        <v>235</v>
      </c>
      <c r="E62" s="127" t="s">
        <v>347</v>
      </c>
      <c r="F62" s="127" t="s">
        <v>119</v>
      </c>
      <c r="G62" s="127" t="s">
        <v>943</v>
      </c>
      <c r="H62" s="127" t="s">
        <v>115</v>
      </c>
      <c r="I62" s="127" t="s">
        <v>117</v>
      </c>
      <c r="J62" s="1190"/>
      <c r="K62" s="97"/>
    </row>
    <row r="63" spans="1:11">
      <c r="A63" s="1189"/>
      <c r="B63" s="1189"/>
      <c r="C63" s="1189"/>
      <c r="D63" s="1191"/>
      <c r="E63" s="127"/>
      <c r="F63" s="127" t="s">
        <v>116</v>
      </c>
      <c r="G63" s="127" t="s">
        <v>116</v>
      </c>
      <c r="H63" s="127" t="s">
        <v>116</v>
      </c>
      <c r="I63" s="127" t="s">
        <v>116</v>
      </c>
      <c r="J63" s="127" t="s">
        <v>734</v>
      </c>
      <c r="K63" s="97"/>
    </row>
    <row r="64" spans="1:11">
      <c r="A64" s="1602" t="s">
        <v>949</v>
      </c>
      <c r="B64" s="1603"/>
      <c r="C64" s="1574">
        <v>-592857535.70560002</v>
      </c>
      <c r="D64" s="1574">
        <v>-579835948</v>
      </c>
      <c r="E64" s="1574">
        <f>AVERAGE(C64,D64)</f>
        <v>-586346741.85280001</v>
      </c>
      <c r="F64" s="1574">
        <v>-586346741.85280001</v>
      </c>
      <c r="G64" s="1574"/>
      <c r="H64" s="1574"/>
      <c r="I64" s="1574"/>
      <c r="J64" s="1580" t="s">
        <v>111</v>
      </c>
      <c r="K64" s="97"/>
    </row>
    <row r="65" spans="1:15">
      <c r="A65" s="1602" t="s">
        <v>950</v>
      </c>
      <c r="B65" s="1603"/>
      <c r="C65" s="1574">
        <v>-1206105806.2944</v>
      </c>
      <c r="D65" s="1574">
        <v>-1185921697</v>
      </c>
      <c r="E65" s="1574">
        <f>AVERAGE(C65,D65)</f>
        <v>-1196013751.6472001</v>
      </c>
      <c r="F65" s="1574">
        <v>0</v>
      </c>
      <c r="G65" s="1574"/>
      <c r="H65" s="1574">
        <v>-1196013751.6472001</v>
      </c>
      <c r="I65" s="1574"/>
      <c r="J65" s="1580" t="s">
        <v>461</v>
      </c>
      <c r="K65" s="97"/>
    </row>
    <row r="66" spans="1:15">
      <c r="A66" s="1602" t="s">
        <v>1332</v>
      </c>
      <c r="B66" s="1603"/>
      <c r="C66" s="1940">
        <v>2487178</v>
      </c>
      <c r="D66" s="1940">
        <v>2301533</v>
      </c>
      <c r="E66" s="1574">
        <f>AVERAGE(C66,D66)</f>
        <v>2394355.5</v>
      </c>
      <c r="F66" s="1574">
        <v>2394355.5</v>
      </c>
      <c r="G66" s="1574"/>
      <c r="H66" s="1574"/>
      <c r="I66" s="1574"/>
      <c r="J66" s="1580" t="s">
        <v>1333</v>
      </c>
      <c r="K66" s="97"/>
    </row>
    <row r="67" spans="1:15">
      <c r="A67" s="1487"/>
      <c r="B67" s="1488"/>
      <c r="C67" s="1488"/>
      <c r="D67" s="161"/>
      <c r="E67" s="130"/>
      <c r="F67" s="130"/>
      <c r="G67" s="130"/>
      <c r="H67" s="130"/>
      <c r="I67" s="130"/>
      <c r="J67" s="160"/>
      <c r="K67" s="97"/>
      <c r="O67" s="1526"/>
    </row>
    <row r="68" spans="1:15">
      <c r="A68" s="1604" t="s">
        <v>714</v>
      </c>
      <c r="B68" s="1489"/>
      <c r="C68" s="1489"/>
      <c r="D68" s="161"/>
      <c r="E68" s="1477">
        <f>SUM(E64:E67)</f>
        <v>-1779966138</v>
      </c>
      <c r="F68" s="1477">
        <f>SUM(F64:F67)</f>
        <v>-583952386.35280001</v>
      </c>
      <c r="G68" s="130">
        <f>SUM(G64:G67)</f>
        <v>0</v>
      </c>
      <c r="H68" s="130">
        <f>SUM(H64:H67)</f>
        <v>-1196013751.6472001</v>
      </c>
      <c r="I68" s="130">
        <f>SUM(I64:I67)</f>
        <v>0</v>
      </c>
      <c r="J68" s="160"/>
      <c r="K68" s="97"/>
    </row>
    <row r="69" spans="1:15">
      <c r="A69" s="1605" t="s">
        <v>670</v>
      </c>
      <c r="B69" s="1490"/>
      <c r="C69" s="1888">
        <v>647817341.05170012</v>
      </c>
      <c r="D69" s="1888">
        <v>616967562</v>
      </c>
      <c r="E69" s="130">
        <f>AVERAGE(C69,D69)</f>
        <v>632392451.52585006</v>
      </c>
      <c r="F69" s="1477">
        <f>E69</f>
        <v>632392451.52585006</v>
      </c>
      <c r="G69" s="130"/>
      <c r="H69" s="130">
        <v>0</v>
      </c>
      <c r="I69" s="130"/>
      <c r="J69" s="162"/>
      <c r="K69" s="97"/>
      <c r="O69" s="1527"/>
    </row>
    <row r="70" spans="1:15">
      <c r="A70" s="1606" t="s">
        <v>671</v>
      </c>
      <c r="B70" s="1491"/>
      <c r="C70" s="1820"/>
      <c r="D70" s="1820"/>
      <c r="E70" s="1477">
        <f>SUM(F70:I70)</f>
        <v>0</v>
      </c>
      <c r="F70" s="1477"/>
      <c r="G70" s="130"/>
      <c r="H70" s="130"/>
      <c r="I70" s="130"/>
      <c r="J70" s="162"/>
      <c r="K70" s="97"/>
    </row>
    <row r="71" spans="1:15">
      <c r="A71" s="1607" t="s">
        <v>850</v>
      </c>
      <c r="B71" s="1333"/>
      <c r="C71" s="1821">
        <f>SUM(C64:C70)</f>
        <v>-1148658822.9482999</v>
      </c>
      <c r="D71" s="1821">
        <f>SUM(D64:D70)</f>
        <v>-1146488550</v>
      </c>
      <c r="E71" s="1477">
        <f>+E68-E69-E70</f>
        <v>-2412358589.5258503</v>
      </c>
      <c r="F71" s="1477">
        <f>+F68-F69-F70</f>
        <v>-1216344837.8786502</v>
      </c>
      <c r="G71" s="130">
        <f>+G68-G69-G70</f>
        <v>0</v>
      </c>
      <c r="H71" s="130">
        <f>+H68-H69-H70</f>
        <v>-1196013751.6472001</v>
      </c>
      <c r="I71" s="130">
        <f>+I68-I69-I70</f>
        <v>0</v>
      </c>
      <c r="J71" s="160"/>
      <c r="K71" s="97"/>
    </row>
    <row r="72" spans="1:15">
      <c r="A72" s="1189"/>
      <c r="B72" s="1189"/>
      <c r="C72" s="1189"/>
      <c r="D72" s="1492"/>
      <c r="E72" s="1486"/>
      <c r="F72" s="1486"/>
      <c r="G72" s="146"/>
      <c r="H72" s="103"/>
      <c r="I72" s="103"/>
      <c r="J72" s="138"/>
      <c r="K72" s="97"/>
    </row>
    <row r="73" spans="1:15">
      <c r="A73" s="1588" t="s">
        <v>123</v>
      </c>
      <c r="B73" s="1590"/>
      <c r="C73" s="1590"/>
      <c r="D73" s="1590"/>
      <c r="E73" s="1608"/>
      <c r="F73" s="1593"/>
      <c r="G73" s="138"/>
      <c r="H73" s="104"/>
      <c r="I73" s="2"/>
      <c r="J73" s="2"/>
    </row>
    <row r="74" spans="1:15">
      <c r="A74" s="1974" t="s">
        <v>572</v>
      </c>
      <c r="B74" s="1975"/>
      <c r="C74" s="1975"/>
      <c r="D74" s="1975"/>
      <c r="E74" s="1975"/>
      <c r="F74" s="1976"/>
      <c r="G74" s="138"/>
      <c r="H74" s="1808"/>
      <c r="I74" s="104"/>
      <c r="J74" s="2"/>
    </row>
    <row r="75" spans="1:15">
      <c r="A75" s="1594" t="s">
        <v>573</v>
      </c>
      <c r="B75" s="1596"/>
      <c r="C75" s="1596"/>
      <c r="D75" s="1596"/>
      <c r="E75" s="1597"/>
      <c r="F75" s="1598"/>
      <c r="G75" s="138"/>
      <c r="H75" s="1808"/>
      <c r="I75" s="104"/>
      <c r="J75" s="2"/>
      <c r="O75" s="1527"/>
    </row>
    <row r="76" spans="1:15">
      <c r="A76" s="1594" t="s">
        <v>920</v>
      </c>
      <c r="B76" s="1596"/>
      <c r="C76" s="1596"/>
      <c r="D76" s="1596"/>
      <c r="E76" s="1597"/>
      <c r="F76" s="1598"/>
      <c r="G76" s="138"/>
      <c r="H76" s="1808"/>
      <c r="I76" s="104"/>
      <c r="J76" s="2"/>
    </row>
    <row r="77" spans="1:15">
      <c r="A77" s="1594" t="s">
        <v>921</v>
      </c>
      <c r="B77" s="1596"/>
      <c r="C77" s="1596"/>
      <c r="D77" s="1596"/>
      <c r="E77" s="1597"/>
      <c r="F77" s="1598"/>
      <c r="G77" s="138"/>
      <c r="H77" s="104"/>
      <c r="I77" s="2"/>
      <c r="J77" s="2"/>
    </row>
    <row r="78" spans="1:15" ht="39" customHeight="1">
      <c r="A78" s="1974" t="s">
        <v>580</v>
      </c>
      <c r="B78" s="1975"/>
      <c r="C78" s="1975"/>
      <c r="D78" s="1975"/>
      <c r="E78" s="1975"/>
      <c r="F78" s="1976"/>
      <c r="G78" s="104"/>
      <c r="H78" s="142"/>
      <c r="I78" s="2"/>
      <c r="J78" s="2"/>
    </row>
    <row r="79" spans="1:15">
      <c r="A79" s="1599" t="s">
        <v>713</v>
      </c>
      <c r="B79" s="1609"/>
      <c r="C79" s="1609"/>
      <c r="D79" s="1609"/>
      <c r="E79" s="1610"/>
      <c r="F79" s="1611"/>
      <c r="G79" s="138"/>
      <c r="H79" s="104"/>
      <c r="I79" s="2"/>
      <c r="J79" s="2"/>
    </row>
    <row r="80" spans="1:15">
      <c r="A80" s="1188"/>
      <c r="B80" s="1188"/>
      <c r="C80" s="1188"/>
      <c r="D80" s="143"/>
      <c r="E80" s="104"/>
      <c r="F80" s="104"/>
      <c r="G80" s="104"/>
      <c r="H80" s="103"/>
      <c r="I80" s="103"/>
      <c r="J80" s="138"/>
      <c r="K80" s="97"/>
    </row>
    <row r="81" spans="1:11" ht="18">
      <c r="A81" s="1192"/>
      <c r="B81" s="1192"/>
      <c r="C81" s="1192"/>
      <c r="D81" s="1193"/>
      <c r="E81" s="1193"/>
      <c r="F81" s="1193"/>
      <c r="G81" s="1193"/>
      <c r="H81" s="1193"/>
      <c r="I81" s="1193"/>
      <c r="J81" s="1194"/>
      <c r="K81" s="97"/>
    </row>
    <row r="82" spans="1:11" ht="18">
      <c r="A82" s="1195"/>
      <c r="B82" s="1195"/>
      <c r="C82" s="1195"/>
      <c r="D82" s="1196"/>
      <c r="E82" s="165"/>
      <c r="F82" s="165"/>
      <c r="G82" s="165"/>
      <c r="H82" s="165"/>
      <c r="I82" s="165"/>
      <c r="J82" s="165"/>
      <c r="K82" s="97"/>
    </row>
    <row r="83" spans="1:11" ht="15.75">
      <c r="A83" s="1426" t="s">
        <v>663</v>
      </c>
      <c r="B83" s="1197"/>
      <c r="C83" s="1197"/>
      <c r="D83" s="1194"/>
      <c r="E83" s="1194"/>
      <c r="F83" s="1194"/>
      <c r="G83" s="1194"/>
      <c r="H83" s="1194"/>
      <c r="I83" s="1194"/>
      <c r="J83" s="1194"/>
      <c r="K83" s="97"/>
    </row>
    <row r="84" spans="1:11">
      <c r="A84" s="1188"/>
      <c r="B84" s="1188"/>
      <c r="C84" s="1188"/>
      <c r="D84" s="104"/>
      <c r="E84" s="104"/>
      <c r="F84" s="104"/>
      <c r="G84" s="104"/>
      <c r="H84" s="104"/>
      <c r="I84" s="1198"/>
      <c r="J84" s="138"/>
      <c r="K84" s="97"/>
    </row>
    <row r="85" spans="1:11">
      <c r="A85" s="127" t="s">
        <v>761</v>
      </c>
      <c r="B85" s="1188"/>
      <c r="C85" s="1188"/>
      <c r="D85" s="2"/>
      <c r="E85" s="127" t="s">
        <v>851</v>
      </c>
      <c r="F85" s="127" t="s">
        <v>742</v>
      </c>
      <c r="G85" s="127" t="s">
        <v>762</v>
      </c>
      <c r="H85" s="127" t="s">
        <v>760</v>
      </c>
      <c r="I85" s="127" t="s">
        <v>175</v>
      </c>
      <c r="J85" s="127" t="s">
        <v>763</v>
      </c>
      <c r="K85" s="97"/>
    </row>
    <row r="86" spans="1:11">
      <c r="A86" s="185"/>
      <c r="B86" s="1199"/>
      <c r="C86" s="834" t="s">
        <v>850</v>
      </c>
      <c r="D86" s="180" t="s">
        <v>850</v>
      </c>
      <c r="E86" s="127" t="s">
        <v>850</v>
      </c>
      <c r="F86" s="127" t="s">
        <v>118</v>
      </c>
      <c r="G86" s="127" t="s">
        <v>120</v>
      </c>
      <c r="H86" s="127"/>
      <c r="I86" s="127"/>
      <c r="J86" s="84"/>
      <c r="K86" s="97"/>
    </row>
    <row r="87" spans="1:11">
      <c r="A87" s="631" t="s">
        <v>946</v>
      </c>
      <c r="B87" s="1200"/>
      <c r="C87" s="180" t="s">
        <v>346</v>
      </c>
      <c r="D87" s="180" t="s">
        <v>235</v>
      </c>
      <c r="E87" s="127" t="s">
        <v>347</v>
      </c>
      <c r="F87" s="127" t="s">
        <v>119</v>
      </c>
      <c r="G87" s="127" t="s">
        <v>943</v>
      </c>
      <c r="H87" s="127" t="s">
        <v>115</v>
      </c>
      <c r="I87" s="127" t="s">
        <v>117</v>
      </c>
      <c r="J87" s="84"/>
      <c r="K87" s="97"/>
    </row>
    <row r="88" spans="1:11">
      <c r="A88" s="1200"/>
      <c r="B88" s="1200"/>
      <c r="C88" s="1200"/>
      <c r="D88" s="1157"/>
      <c r="E88" s="127"/>
      <c r="F88" s="127" t="s">
        <v>116</v>
      </c>
      <c r="G88" s="127" t="s">
        <v>116</v>
      </c>
      <c r="H88" s="127" t="s">
        <v>116</v>
      </c>
      <c r="I88" s="127" t="s">
        <v>116</v>
      </c>
      <c r="J88" s="127" t="s">
        <v>734</v>
      </c>
      <c r="K88" s="97"/>
    </row>
    <row r="89" spans="1:11">
      <c r="A89" s="1602" t="s">
        <v>955</v>
      </c>
      <c r="B89" s="1603"/>
      <c r="C89" s="1574">
        <v>0</v>
      </c>
      <c r="D89" s="1574">
        <v>0</v>
      </c>
      <c r="E89" s="1574">
        <f t="shared" ref="E89:E98" si="1">AVERAGE(C89,D89)</f>
        <v>0</v>
      </c>
      <c r="F89" s="1574"/>
      <c r="G89" s="1574"/>
      <c r="H89" s="1581"/>
      <c r="I89" s="1574"/>
      <c r="J89" s="1580" t="s">
        <v>462</v>
      </c>
      <c r="K89" s="97"/>
    </row>
    <row r="90" spans="1:11">
      <c r="A90" s="1602" t="s">
        <v>951</v>
      </c>
      <c r="B90" s="1603"/>
      <c r="C90" s="1574">
        <v>-41611990.995958999</v>
      </c>
      <c r="D90" s="1574">
        <v>-44729000.700499997</v>
      </c>
      <c r="E90" s="1574">
        <f t="shared" si="1"/>
        <v>-43170495.848229498</v>
      </c>
      <c r="F90" s="1574"/>
      <c r="G90" s="1574"/>
      <c r="H90" s="1612"/>
      <c r="I90" s="1574">
        <f>E90</f>
        <v>-43170495.848229498</v>
      </c>
      <c r="J90" s="1580" t="s">
        <v>112</v>
      </c>
      <c r="K90" s="97"/>
    </row>
    <row r="91" spans="1:11">
      <c r="A91" s="1602" t="s">
        <v>956</v>
      </c>
      <c r="B91" s="1603"/>
      <c r="C91" s="1574">
        <v>-20108300.199999999</v>
      </c>
      <c r="D91" s="1574">
        <v>-25290476.029999997</v>
      </c>
      <c r="E91" s="1574">
        <f t="shared" si="1"/>
        <v>-22699388.114999998</v>
      </c>
      <c r="F91" s="1574">
        <f>E91</f>
        <v>-22699388.114999998</v>
      </c>
      <c r="G91" s="1574"/>
      <c r="H91" s="1574"/>
      <c r="I91" s="1574"/>
      <c r="J91" s="1575" t="s">
        <v>727</v>
      </c>
      <c r="K91" s="97"/>
    </row>
    <row r="92" spans="1:11">
      <c r="A92" s="1602" t="s">
        <v>957</v>
      </c>
      <c r="B92" s="1603"/>
      <c r="C92" s="1574">
        <v>-73935896.979999989</v>
      </c>
      <c r="D92" s="1574">
        <v>-77708198.959999949</v>
      </c>
      <c r="E92" s="1574">
        <f t="shared" si="1"/>
        <v>-75822047.969999969</v>
      </c>
      <c r="F92" s="1574">
        <f>E92</f>
        <v>-75822047.969999969</v>
      </c>
      <c r="G92" s="1574"/>
      <c r="H92" s="1574"/>
      <c r="I92" s="1574"/>
      <c r="J92" s="1575" t="s">
        <v>727</v>
      </c>
      <c r="K92" s="1806"/>
    </row>
    <row r="93" spans="1:11">
      <c r="A93" s="1602" t="s">
        <v>958</v>
      </c>
      <c r="B93" s="1613"/>
      <c r="C93" s="1574">
        <v>0</v>
      </c>
      <c r="D93" s="1574">
        <v>0</v>
      </c>
      <c r="E93" s="1574">
        <f t="shared" si="1"/>
        <v>0</v>
      </c>
      <c r="F93" s="1574"/>
      <c r="G93" s="1574"/>
      <c r="H93" s="1574"/>
      <c r="I93" s="1574"/>
      <c r="J93" s="1575" t="s">
        <v>614</v>
      </c>
      <c r="K93" s="1806"/>
    </row>
    <row r="94" spans="1:11">
      <c r="A94" s="1602" t="s">
        <v>87</v>
      </c>
      <c r="B94" s="1613"/>
      <c r="C94" s="1574">
        <v>0</v>
      </c>
      <c r="D94" s="1574">
        <v>0</v>
      </c>
      <c r="E94" s="1574">
        <f t="shared" si="1"/>
        <v>0</v>
      </c>
      <c r="F94" s="1574"/>
      <c r="G94" s="1574"/>
      <c r="H94" s="1574"/>
      <c r="I94" s="1574"/>
      <c r="J94" s="1575" t="s">
        <v>727</v>
      </c>
      <c r="K94" s="1806"/>
    </row>
    <row r="95" spans="1:11">
      <c r="A95" s="1602" t="s">
        <v>1327</v>
      </c>
      <c r="B95" s="1613"/>
      <c r="C95" s="1574">
        <v>-64274291.259999998</v>
      </c>
      <c r="D95" s="1574">
        <v>-61108732.059999995</v>
      </c>
      <c r="E95" s="1574">
        <f t="shared" si="1"/>
        <v>-62691511.659999996</v>
      </c>
      <c r="F95" s="1574">
        <f>E95</f>
        <v>-62691511.659999996</v>
      </c>
      <c r="G95" s="1574"/>
      <c r="H95" s="1574"/>
      <c r="I95" s="1574"/>
      <c r="J95" s="1580" t="s">
        <v>1330</v>
      </c>
      <c r="K95" s="1829"/>
    </row>
    <row r="96" spans="1:11">
      <c r="A96" s="1602" t="s">
        <v>169</v>
      </c>
      <c r="B96" s="1613"/>
      <c r="C96" s="1574">
        <v>-4834780.96</v>
      </c>
      <c r="D96" s="1574">
        <v>-7005983.5599999996</v>
      </c>
      <c r="E96" s="1574">
        <f t="shared" si="1"/>
        <v>-5920382.2599999998</v>
      </c>
      <c r="F96" s="1574"/>
      <c r="G96" s="1574"/>
      <c r="H96" s="1574">
        <f>E96</f>
        <v>-5920382.2599999998</v>
      </c>
      <c r="I96" s="1574"/>
      <c r="J96" s="1575" t="s">
        <v>461</v>
      </c>
      <c r="K96" s="1808"/>
    </row>
    <row r="97" spans="1:11">
      <c r="A97" s="1602" t="s">
        <v>88</v>
      </c>
      <c r="B97" s="1613"/>
      <c r="C97" s="1574">
        <v>-64319956.414041013</v>
      </c>
      <c r="D97" s="1574">
        <v>-62338027.909500003</v>
      </c>
      <c r="E97" s="1574">
        <f t="shared" si="1"/>
        <v>-63328992.161770508</v>
      </c>
      <c r="F97" s="1574">
        <f>E97</f>
        <v>-63328992.161770508</v>
      </c>
      <c r="G97" s="1574"/>
      <c r="H97" s="1574"/>
      <c r="I97" s="1574"/>
      <c r="J97" s="1580" t="s">
        <v>1269</v>
      </c>
      <c r="K97" s="1806"/>
    </row>
    <row r="98" spans="1:11">
      <c r="A98" s="1614" t="s">
        <v>1329</v>
      </c>
      <c r="B98" s="1615"/>
      <c r="C98" s="1574">
        <v>-28042689.079999998</v>
      </c>
      <c r="D98" s="1574">
        <v>-79563412.309999987</v>
      </c>
      <c r="E98" s="1574">
        <f t="shared" si="1"/>
        <v>-53803050.694999993</v>
      </c>
      <c r="F98" s="1574">
        <f>E98</f>
        <v>-53803050.694999993</v>
      </c>
      <c r="G98" s="1581"/>
      <c r="H98" s="1581"/>
      <c r="I98" s="1581"/>
      <c r="J98" s="1575"/>
      <c r="K98" s="97"/>
    </row>
    <row r="99" spans="1:11">
      <c r="A99" s="1602"/>
      <c r="B99" s="1613"/>
      <c r="C99" s="1613"/>
      <c r="D99" s="1616"/>
      <c r="E99" s="1574"/>
      <c r="F99" s="1574"/>
      <c r="G99" s="1574"/>
      <c r="H99" s="1581"/>
      <c r="I99" s="1574"/>
      <c r="J99" s="1580"/>
      <c r="K99" s="97"/>
    </row>
    <row r="100" spans="1:11">
      <c r="A100" s="1602"/>
      <c r="B100" s="1603"/>
      <c r="C100" s="1603"/>
      <c r="D100" s="1617"/>
      <c r="E100" s="1574"/>
      <c r="F100" s="1574"/>
      <c r="G100" s="1574"/>
      <c r="H100" s="1574"/>
      <c r="I100" s="1574"/>
      <c r="J100" s="1575"/>
      <c r="K100" s="97"/>
    </row>
    <row r="101" spans="1:11">
      <c r="A101" s="1614"/>
      <c r="B101" s="1615"/>
      <c r="C101" s="1615"/>
      <c r="D101" s="1617"/>
      <c r="E101" s="1574"/>
      <c r="F101" s="1574"/>
      <c r="G101" s="1581"/>
      <c r="H101" s="1574"/>
      <c r="I101" s="1574"/>
      <c r="J101" s="1575"/>
      <c r="K101" s="97"/>
    </row>
    <row r="102" spans="1:11">
      <c r="A102" s="1576"/>
      <c r="B102" s="1615"/>
      <c r="C102" s="1615"/>
      <c r="D102" s="1616"/>
      <c r="E102" s="1574"/>
      <c r="F102" s="1574"/>
      <c r="G102" s="1574"/>
      <c r="H102" s="1574"/>
      <c r="I102" s="1574"/>
      <c r="J102" s="1575"/>
      <c r="K102" s="97"/>
    </row>
    <row r="103" spans="1:11">
      <c r="A103" s="1576"/>
      <c r="B103" s="1577"/>
      <c r="C103" s="1577"/>
      <c r="D103" s="1616"/>
      <c r="E103" s="1574"/>
      <c r="F103" s="1574"/>
      <c r="G103" s="1574"/>
      <c r="H103" s="1574"/>
      <c r="I103" s="1574"/>
      <c r="J103" s="1575"/>
      <c r="K103" s="97"/>
    </row>
    <row r="104" spans="1:11">
      <c r="A104" s="1618"/>
      <c r="B104" s="1619"/>
      <c r="C104" s="1619"/>
      <c r="D104" s="1616"/>
      <c r="E104" s="1574"/>
      <c r="F104" s="1574"/>
      <c r="G104" s="1574"/>
      <c r="H104" s="1574"/>
      <c r="I104" s="1574"/>
      <c r="J104" s="1575"/>
      <c r="K104" s="97"/>
    </row>
    <row r="105" spans="1:11">
      <c r="A105" s="1620"/>
      <c r="B105" s="1621"/>
      <c r="C105" s="1621"/>
      <c r="D105" s="1616"/>
      <c r="E105" s="1574"/>
      <c r="F105" s="1581"/>
      <c r="G105" s="1581"/>
      <c r="H105" s="1581"/>
      <c r="I105" s="1581"/>
      <c r="J105" s="1575"/>
      <c r="K105" s="97"/>
    </row>
    <row r="106" spans="1:11">
      <c r="A106" s="1622" t="s">
        <v>715</v>
      </c>
      <c r="B106" s="1493"/>
      <c r="C106" s="1493"/>
      <c r="D106" s="161"/>
      <c r="E106" s="1477">
        <f>SUM(E89:E105)</f>
        <v>-327435868.70999992</v>
      </c>
      <c r="F106" s="1477">
        <f>SUM(F89:F105)</f>
        <v>-278344990.60177046</v>
      </c>
      <c r="G106" s="130">
        <f>SUM(G89:G105)</f>
        <v>0</v>
      </c>
      <c r="H106" s="130">
        <f>SUM(H89:H105)</f>
        <v>-5920382.2599999998</v>
      </c>
      <c r="I106" s="130">
        <f>SUM(I89:I105)</f>
        <v>-43170495.848229498</v>
      </c>
      <c r="J106" s="162"/>
      <c r="K106" s="97"/>
    </row>
    <row r="107" spans="1:11">
      <c r="A107" s="1607" t="s">
        <v>670</v>
      </c>
      <c r="B107" s="1333"/>
      <c r="C107" s="1333"/>
      <c r="D107" s="161"/>
      <c r="E107" s="1494">
        <v>0</v>
      </c>
      <c r="F107" s="1494">
        <f>+E107</f>
        <v>0</v>
      </c>
      <c r="G107" s="131">
        <v>0</v>
      </c>
      <c r="H107" s="131">
        <v>0</v>
      </c>
      <c r="I107" s="131">
        <v>0</v>
      </c>
      <c r="J107" s="162"/>
      <c r="K107" s="97"/>
    </row>
    <row r="108" spans="1:11">
      <c r="A108" s="1607" t="s">
        <v>671</v>
      </c>
      <c r="B108" s="1333"/>
      <c r="C108" s="1333"/>
      <c r="D108" s="161"/>
      <c r="E108" s="1494">
        <v>0</v>
      </c>
      <c r="F108" s="1494">
        <v>0</v>
      </c>
      <c r="G108" s="131">
        <v>0</v>
      </c>
      <c r="H108" s="131">
        <v>0</v>
      </c>
      <c r="I108" s="131">
        <f>+E108</f>
        <v>0</v>
      </c>
      <c r="J108" s="160"/>
      <c r="K108" s="97"/>
    </row>
    <row r="109" spans="1:11">
      <c r="A109" s="1623" t="s">
        <v>850</v>
      </c>
      <c r="B109" s="1495"/>
      <c r="C109" s="1822">
        <f>SUM(C89:C108)</f>
        <v>-297127905.88999999</v>
      </c>
      <c r="D109" s="1822">
        <f>SUM(D89:D108)</f>
        <v>-357743831.52999997</v>
      </c>
      <c r="E109" s="1494">
        <f>+E106-E107-E108</f>
        <v>-327435868.70999992</v>
      </c>
      <c r="F109" s="1494">
        <f>+F106-F107-F108</f>
        <v>-278344990.60177046</v>
      </c>
      <c r="G109" s="131">
        <f>+G106-G107-G108</f>
        <v>0</v>
      </c>
      <c r="H109" s="131">
        <f>+H106-H107-H108</f>
        <v>-5920382.2599999998</v>
      </c>
      <c r="I109" s="131">
        <f>+I106-I107-I108</f>
        <v>-43170495.848229498</v>
      </c>
      <c r="J109" s="160"/>
      <c r="K109" s="97"/>
    </row>
    <row r="110" spans="1:11">
      <c r="A110" s="1189"/>
      <c r="B110" s="1189"/>
      <c r="C110" s="1189"/>
      <c r="D110" s="1828"/>
      <c r="E110" s="1486"/>
      <c r="F110" s="1496"/>
      <c r="G110" s="146"/>
      <c r="H110" s="146"/>
      <c r="I110" s="146"/>
      <c r="J110" s="138"/>
      <c r="K110" s="97"/>
    </row>
    <row r="111" spans="1:11">
      <c r="A111" s="1588" t="s">
        <v>122</v>
      </c>
      <c r="B111" s="1589"/>
      <c r="C111" s="1590"/>
      <c r="D111" s="1590"/>
      <c r="E111" s="1608"/>
      <c r="F111" s="1593"/>
      <c r="G111" s="170"/>
      <c r="H111" s="323"/>
    </row>
    <row r="112" spans="1:11">
      <c r="A112" s="1974" t="s">
        <v>572</v>
      </c>
      <c r="B112" s="1975"/>
      <c r="C112" s="1975"/>
      <c r="D112" s="1975"/>
      <c r="E112" s="1975"/>
      <c r="F112" s="1976"/>
      <c r="G112" s="138"/>
      <c r="H112" s="324"/>
    </row>
    <row r="113" spans="1:11">
      <c r="A113" s="1594" t="s">
        <v>573</v>
      </c>
      <c r="B113" s="1595"/>
      <c r="C113" s="1596"/>
      <c r="D113" s="1596"/>
      <c r="E113" s="1597"/>
      <c r="F113" s="1598"/>
      <c r="G113" s="170"/>
      <c r="H113" s="97"/>
    </row>
    <row r="114" spans="1:11">
      <c r="A114" s="1594" t="s">
        <v>920</v>
      </c>
      <c r="B114" s="1595"/>
      <c r="C114" s="1596"/>
      <c r="D114" s="1596"/>
      <c r="E114" s="1597"/>
      <c r="F114" s="1598"/>
      <c r="G114" s="138"/>
      <c r="H114" s="325"/>
    </row>
    <row r="115" spans="1:11">
      <c r="A115" s="1594" t="s">
        <v>921</v>
      </c>
      <c r="B115" s="1595"/>
      <c r="C115" s="1595"/>
      <c r="D115" s="1595"/>
      <c r="E115" s="1595"/>
      <c r="F115" s="1624"/>
      <c r="G115" s="142"/>
      <c r="H115" s="97"/>
    </row>
    <row r="116" spans="1:11" ht="38.25" customHeight="1">
      <c r="A116" s="1977" t="str">
        <f>+A78</f>
        <v>5. Deferred income taxes arise when items are included in taxable income in different periods than they are included in rates, therefore if the item giving rise to the ADIT is not included in the formula, the associated ADIT amount shall be excluded</v>
      </c>
      <c r="B116" s="1978"/>
      <c r="C116" s="1978"/>
      <c r="D116" s="1978"/>
      <c r="E116" s="1978"/>
      <c r="F116" s="1979"/>
      <c r="G116" s="138"/>
      <c r="H116" s="97"/>
    </row>
    <row r="117" spans="1:11">
      <c r="A117" s="1599" t="s">
        <v>713</v>
      </c>
      <c r="B117" s="1625"/>
      <c r="C117" s="1625"/>
      <c r="D117" s="1625"/>
      <c r="E117" s="1625"/>
      <c r="F117" s="1626"/>
      <c r="G117" s="138"/>
      <c r="H117" s="97"/>
      <c r="J117" s="428"/>
    </row>
    <row r="118" spans="1:11">
      <c r="A118" s="136"/>
      <c r="B118" s="136"/>
      <c r="C118" s="136"/>
      <c r="D118" s="97"/>
      <c r="E118" s="97"/>
      <c r="F118" s="97"/>
      <c r="G118" s="97"/>
      <c r="H118" s="97"/>
      <c r="I118" s="97"/>
      <c r="J118" s="1806"/>
      <c r="K118" s="97"/>
    </row>
    <row r="119" spans="1:11" ht="18">
      <c r="A119" s="163"/>
      <c r="B119" s="163"/>
      <c r="C119" s="163"/>
      <c r="D119" s="164"/>
      <c r="E119" s="164"/>
      <c r="F119" s="164"/>
      <c r="G119" s="164"/>
      <c r="H119" s="164"/>
      <c r="I119" s="164"/>
      <c r="J119" s="1823"/>
      <c r="K119" s="97"/>
    </row>
    <row r="120" spans="1:11">
      <c r="A120" s="187" t="s">
        <v>864</v>
      </c>
      <c r="B120" s="187"/>
      <c r="C120" s="187"/>
      <c r="D120" s="135"/>
      <c r="E120" s="135"/>
      <c r="F120" s="135"/>
      <c r="G120" s="135"/>
      <c r="H120" s="135"/>
      <c r="I120" s="135"/>
      <c r="J120" s="135"/>
      <c r="K120" s="135"/>
    </row>
    <row r="121" spans="1:11">
      <c r="A121" s="97"/>
      <c r="B121" s="97"/>
      <c r="C121" s="97"/>
      <c r="D121" s="97"/>
      <c r="E121" s="97"/>
      <c r="F121" s="97"/>
      <c r="G121" s="97"/>
      <c r="H121" s="97"/>
      <c r="I121" s="97"/>
      <c r="J121" s="1806"/>
      <c r="K121" s="97"/>
    </row>
    <row r="122" spans="1:11">
      <c r="A122" s="97"/>
      <c r="B122" s="97"/>
      <c r="C122" s="97"/>
      <c r="D122" s="97"/>
      <c r="E122" s="97"/>
      <c r="F122" s="97"/>
      <c r="G122" s="97"/>
      <c r="H122" s="97"/>
      <c r="I122" s="97"/>
      <c r="J122" s="1806"/>
      <c r="K122" s="97"/>
    </row>
    <row r="123" spans="1:11">
      <c r="A123" s="97"/>
      <c r="B123" s="97"/>
      <c r="C123" s="97"/>
      <c r="D123" s="97"/>
      <c r="E123" s="97"/>
      <c r="F123" s="97"/>
      <c r="G123" s="97"/>
      <c r="H123" s="97"/>
      <c r="I123" s="97"/>
      <c r="J123" s="1806"/>
      <c r="K123" s="97"/>
    </row>
    <row r="124" spans="1:11" ht="15">
      <c r="A124" s="139" t="s">
        <v>865</v>
      </c>
      <c r="B124" s="139"/>
      <c r="C124" s="139"/>
      <c r="D124" s="97"/>
      <c r="E124" s="97"/>
      <c r="F124" s="140"/>
      <c r="G124" s="140"/>
      <c r="H124" s="140"/>
      <c r="I124" s="140"/>
      <c r="J124" s="1824"/>
      <c r="K124" s="140"/>
    </row>
    <row r="125" spans="1:11" ht="15">
      <c r="A125" s="139"/>
      <c r="B125" s="139"/>
      <c r="C125" s="139"/>
      <c r="D125" s="658"/>
      <c r="E125" s="97"/>
      <c r="F125" s="141"/>
      <c r="G125" s="141"/>
      <c r="H125" s="140"/>
      <c r="I125" s="140"/>
      <c r="J125" s="1824"/>
      <c r="K125" s="140"/>
    </row>
    <row r="126" spans="1:11">
      <c r="A126" s="128"/>
      <c r="B126" s="1201"/>
      <c r="C126" s="1202" t="s">
        <v>445</v>
      </c>
      <c r="D126" s="1202" t="s">
        <v>445</v>
      </c>
      <c r="E126" s="1202" t="s">
        <v>445</v>
      </c>
      <c r="F126" s="2"/>
      <c r="G126" s="1202" t="s">
        <v>446</v>
      </c>
      <c r="H126" s="1202" t="s">
        <v>446</v>
      </c>
      <c r="I126" s="1202" t="s">
        <v>446</v>
      </c>
      <c r="J126" s="104"/>
      <c r="K126" s="97"/>
    </row>
    <row r="127" spans="1:11">
      <c r="A127" s="128"/>
      <c r="B127" s="1201"/>
      <c r="F127" s="2"/>
      <c r="J127" s="104"/>
      <c r="K127" s="97"/>
    </row>
    <row r="128" spans="1:11">
      <c r="A128" s="128">
        <v>1</v>
      </c>
      <c r="B128" s="1184" t="s">
        <v>867</v>
      </c>
      <c r="C128" s="1201" t="s">
        <v>348</v>
      </c>
      <c r="D128" s="1201" t="s">
        <v>349</v>
      </c>
      <c r="E128" s="1203" t="s">
        <v>350</v>
      </c>
      <c r="F128" s="2"/>
      <c r="G128" s="1201" t="s">
        <v>348</v>
      </c>
      <c r="H128" s="1201" t="s">
        <v>349</v>
      </c>
      <c r="I128" s="1203" t="s">
        <v>350</v>
      </c>
      <c r="J128" s="104"/>
      <c r="K128" s="97"/>
    </row>
    <row r="129" spans="1:11">
      <c r="A129" s="128">
        <v>2</v>
      </c>
      <c r="B129" s="1202" t="s">
        <v>1109</v>
      </c>
      <c r="C129" s="1627">
        <v>0</v>
      </c>
      <c r="D129" s="1627">
        <v>0</v>
      </c>
      <c r="E129" s="1204">
        <f>+C129/2+D129/2</f>
        <v>0</v>
      </c>
      <c r="F129" s="2"/>
      <c r="G129" s="1628"/>
      <c r="H129" s="1628"/>
      <c r="I129" s="1204">
        <f>+G129+H129</f>
        <v>0</v>
      </c>
      <c r="J129" s="104"/>
      <c r="K129" s="97"/>
    </row>
    <row r="130" spans="1:11">
      <c r="A130" s="128"/>
      <c r="B130" s="1184"/>
      <c r="C130" s="1203"/>
      <c r="D130" s="1204"/>
      <c r="E130" s="1204"/>
      <c r="F130" s="2"/>
      <c r="G130" s="1204"/>
      <c r="H130" s="1204"/>
      <c r="I130" s="1204"/>
      <c r="J130" s="104"/>
      <c r="K130" s="97"/>
    </row>
    <row r="131" spans="1:11">
      <c r="A131" s="128">
        <v>3</v>
      </c>
      <c r="B131" s="1184" t="s">
        <v>866</v>
      </c>
      <c r="C131" s="1203"/>
      <c r="D131" s="1204" t="s">
        <v>866</v>
      </c>
      <c r="E131" s="1204"/>
      <c r="F131" s="2"/>
      <c r="G131" s="1204"/>
      <c r="H131" s="1204" t="str">
        <f>+D131</f>
        <v>Amortization</v>
      </c>
      <c r="I131" s="1204"/>
      <c r="J131" s="104"/>
      <c r="K131" s="97"/>
    </row>
    <row r="132" spans="1:11">
      <c r="A132" s="128">
        <v>4</v>
      </c>
      <c r="B132" s="1202" t="s">
        <v>1110</v>
      </c>
      <c r="C132" s="1628"/>
      <c r="D132" s="1627"/>
      <c r="E132" s="130"/>
      <c r="F132" s="2"/>
      <c r="G132" s="1628">
        <v>0</v>
      </c>
      <c r="H132" s="1628">
        <v>0</v>
      </c>
      <c r="I132" s="1341">
        <f>AVERAGE(G132,H132)</f>
        <v>0</v>
      </c>
      <c r="J132" s="104"/>
      <c r="K132" s="97"/>
    </row>
    <row r="133" spans="1:11">
      <c r="A133" s="128"/>
      <c r="B133" s="1184"/>
      <c r="C133" s="1203"/>
      <c r="D133" s="1204"/>
      <c r="E133" s="1204"/>
      <c r="F133" s="2"/>
      <c r="G133" s="1204"/>
      <c r="H133" s="1204"/>
      <c r="I133" s="1204"/>
      <c r="J133" s="104"/>
      <c r="K133" s="97"/>
    </row>
    <row r="134" spans="1:11">
      <c r="A134" s="128">
        <v>5</v>
      </c>
      <c r="B134" s="1184" t="s">
        <v>850</v>
      </c>
      <c r="C134" s="1203"/>
      <c r="D134" s="1204">
        <f>+D132+D129</f>
        <v>0</v>
      </c>
      <c r="E134" s="1204"/>
      <c r="F134" s="2"/>
      <c r="G134" s="1204">
        <f>+G132+G129</f>
        <v>0</v>
      </c>
      <c r="H134" s="1204">
        <f>+H132+H129</f>
        <v>0</v>
      </c>
      <c r="I134" s="1204">
        <f>+I132+I129</f>
        <v>0</v>
      </c>
      <c r="J134" s="104"/>
      <c r="K134" s="97"/>
    </row>
    <row r="135" spans="1:11">
      <c r="A135" s="128"/>
      <c r="B135" s="1184"/>
      <c r="C135" s="1203"/>
      <c r="D135" s="1204"/>
      <c r="E135" s="1204"/>
      <c r="F135" s="2"/>
      <c r="G135" s="1204"/>
      <c r="H135" s="1204"/>
      <c r="I135" s="1204"/>
      <c r="J135" s="104"/>
      <c r="K135" s="97"/>
    </row>
    <row r="136" spans="1:11">
      <c r="A136" s="128">
        <v>6</v>
      </c>
      <c r="B136" s="1184" t="s">
        <v>934</v>
      </c>
      <c r="C136" s="1203"/>
      <c r="D136" s="1204">
        <f>D134</f>
        <v>0</v>
      </c>
      <c r="E136" s="1204"/>
      <c r="F136" s="2"/>
      <c r="G136" s="1204">
        <f>G134</f>
        <v>0</v>
      </c>
      <c r="H136" s="1204">
        <f>H134</f>
        <v>0</v>
      </c>
      <c r="I136" s="1204">
        <f>I134</f>
        <v>0</v>
      </c>
      <c r="J136" s="104"/>
      <c r="K136" s="97"/>
    </row>
    <row r="137" spans="1:11">
      <c r="A137" s="129"/>
      <c r="B137" s="1184"/>
      <c r="C137" s="1184"/>
      <c r="D137" s="1184"/>
      <c r="E137" s="1204"/>
      <c r="F137" s="2"/>
      <c r="G137" s="1204"/>
      <c r="H137" s="1204"/>
      <c r="I137" s="1204"/>
      <c r="J137" s="104"/>
      <c r="K137" s="97"/>
    </row>
    <row r="138" spans="1:11">
      <c r="A138" s="128">
        <v>7</v>
      </c>
      <c r="B138" s="129" t="s">
        <v>868</v>
      </c>
      <c r="C138" s="128"/>
      <c r="D138" s="1184"/>
      <c r="E138" s="159">
        <f>+E134-E136</f>
        <v>0</v>
      </c>
      <c r="G138" s="159">
        <f>+G134-G136</f>
        <v>0</v>
      </c>
      <c r="H138" s="159">
        <f>+H134-H136</f>
        <v>0</v>
      </c>
      <c r="I138" s="159">
        <f>+I134-I136</f>
        <v>0</v>
      </c>
      <c r="J138" s="97"/>
      <c r="K138" s="97"/>
    </row>
    <row r="139" spans="1:11">
      <c r="A139" s="97"/>
      <c r="B139" s="97"/>
      <c r="C139" s="97"/>
      <c r="D139" s="97"/>
      <c r="E139" s="97"/>
      <c r="F139" s="156"/>
      <c r="G139" s="156"/>
      <c r="I139" s="97"/>
      <c r="J139" s="97"/>
      <c r="K139" s="97"/>
    </row>
    <row r="140" spans="1:11">
      <c r="A140" s="136"/>
      <c r="B140" s="136"/>
      <c r="C140" s="136"/>
      <c r="D140" s="97" t="s">
        <v>869</v>
      </c>
      <c r="E140" s="97"/>
      <c r="F140" s="97"/>
      <c r="G140" s="97"/>
      <c r="I140" s="97"/>
      <c r="J140" s="97"/>
      <c r="K140" s="97"/>
    </row>
  </sheetData>
  <customSheetViews>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1"/>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2"/>
      <headerFooter alignWithMargins="0">
        <oddHeader>&amp;R&amp;12Page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4"/>
      <headerFooter alignWithMargins="0">
        <oddHeader>&amp;R&amp;14Page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6"/>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8"/>
      <headerFooter alignWithMargins="0">
        <oddHeader>&amp;R&amp;12Page &amp;P of &amp;N</oddHeader>
      </headerFooter>
    </customSheetView>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5" right="0.5" top="1" bottom="0.5" header="0.5" footer="0.5"/>
  <pageSetup scale="54"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16"/>
  <sheetViews>
    <sheetView topLeftCell="A4" zoomScale="75" zoomScaleNormal="75" workbookViewId="0">
      <selection activeCell="E70" sqref="E70"/>
    </sheetView>
  </sheetViews>
  <sheetFormatPr defaultRowHeight="12.75"/>
  <cols>
    <col min="1" max="2" width="4.7109375" customWidth="1"/>
    <col min="3" max="3" width="63" customWidth="1"/>
    <col min="4" max="4" width="3.140625" customWidth="1"/>
    <col min="5" max="5" width="14.42578125" style="90"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12" ht="18">
      <c r="A1" s="1980" t="str">
        <f>+'ATT H-1 '!A3</f>
        <v xml:space="preserve">Puget Sound Energy </v>
      </c>
      <c r="B1" s="1980"/>
      <c r="C1" s="1980"/>
      <c r="D1" s="1980"/>
      <c r="E1" s="1980"/>
      <c r="F1" s="1980"/>
      <c r="G1" s="1980"/>
      <c r="H1" s="1982"/>
    </row>
    <row r="2" spans="1:12">
      <c r="A2" s="92"/>
    </row>
    <row r="3" spans="1:12" ht="15.75">
      <c r="A3" s="1984" t="s">
        <v>664</v>
      </c>
      <c r="B3" s="1985"/>
      <c r="C3" s="1985"/>
      <c r="D3" s="1985"/>
      <c r="E3" s="1985"/>
      <c r="F3" s="1986"/>
      <c r="G3" s="1986"/>
      <c r="H3" s="1986"/>
    </row>
    <row r="5" spans="1:12">
      <c r="D5" s="93"/>
    </row>
    <row r="7" spans="1:12">
      <c r="D7" s="87"/>
      <c r="E7" s="127" t="s">
        <v>127</v>
      </c>
      <c r="F7" s="127"/>
      <c r="G7" s="127" t="s">
        <v>135</v>
      </c>
      <c r="H7" s="87"/>
    </row>
    <row r="8" spans="1:12">
      <c r="A8" s="773" t="s">
        <v>766</v>
      </c>
      <c r="B8" s="80"/>
      <c r="D8" s="87"/>
      <c r="E8" s="127" t="s">
        <v>128</v>
      </c>
      <c r="F8" s="127" t="s">
        <v>890</v>
      </c>
      <c r="G8" s="127" t="s">
        <v>136</v>
      </c>
      <c r="H8" s="87"/>
    </row>
    <row r="9" spans="1:12">
      <c r="A9" s="80"/>
      <c r="B9" s="80"/>
      <c r="D9" s="87"/>
      <c r="E9" s="98"/>
      <c r="F9" s="87"/>
      <c r="G9" s="87"/>
      <c r="H9" s="87"/>
    </row>
    <row r="10" spans="1:12">
      <c r="A10" s="119"/>
      <c r="B10" s="119"/>
      <c r="C10" s="2"/>
      <c r="D10" s="87"/>
      <c r="E10" s="98"/>
      <c r="F10" s="87"/>
      <c r="G10" s="87"/>
      <c r="H10" s="87"/>
    </row>
    <row r="11" spans="1:12">
      <c r="A11" s="2"/>
      <c r="B11" s="176"/>
      <c r="C11" s="2"/>
      <c r="D11" s="87"/>
      <c r="E11" s="98"/>
      <c r="F11" s="2"/>
      <c r="G11" s="87"/>
      <c r="H11" s="89"/>
    </row>
    <row r="12" spans="1:12">
      <c r="A12" s="2"/>
      <c r="B12" s="180" t="s">
        <v>126</v>
      </c>
      <c r="C12" s="2"/>
      <c r="D12" s="87"/>
      <c r="E12" s="91"/>
      <c r="F12" s="1427" t="s">
        <v>743</v>
      </c>
      <c r="G12" s="87"/>
      <c r="H12" s="89"/>
    </row>
    <row r="13" spans="1:12">
      <c r="A13" s="2"/>
      <c r="B13" s="84"/>
      <c r="C13" s="2"/>
      <c r="D13" s="87"/>
      <c r="E13" s="91"/>
      <c r="F13" s="87"/>
      <c r="G13" s="87"/>
      <c r="H13" s="89"/>
    </row>
    <row r="14" spans="1:12" s="341" customFormat="1" ht="12.75" customHeight="1">
      <c r="A14" s="1205"/>
      <c r="B14" s="1344">
        <v>1</v>
      </c>
      <c r="C14" s="1444" t="s">
        <v>1081</v>
      </c>
      <c r="D14" s="714"/>
      <c r="E14" s="1442">
        <f>35107811-G49-G50-E56-E57</f>
        <v>29243002.371120002</v>
      </c>
      <c r="F14" s="797">
        <f>+'ATT H-1 '!$H$23</f>
        <v>0.18218326084989409</v>
      </c>
      <c r="G14" s="1206">
        <f t="shared" ref="G14:G19" si="0">+F14*E14</f>
        <v>5327585.529011827</v>
      </c>
      <c r="H14" s="1987"/>
    </row>
    <row r="15" spans="1:12" ht="12.75" customHeight="1">
      <c r="A15" s="2"/>
      <c r="B15" s="1345">
        <v>2</v>
      </c>
      <c r="C15" s="1440"/>
      <c r="D15" s="179"/>
      <c r="E15" s="1442"/>
      <c r="F15" s="797">
        <f>+F16</f>
        <v>0.18218326084989409</v>
      </c>
      <c r="G15" s="1207">
        <f t="shared" si="0"/>
        <v>0</v>
      </c>
      <c r="H15" s="1987"/>
      <c r="L15" s="445"/>
    </row>
    <row r="16" spans="1:12" ht="12.75" customHeight="1">
      <c r="A16" s="2"/>
      <c r="B16" s="1345">
        <v>3</v>
      </c>
      <c r="C16" s="1440"/>
      <c r="D16" s="179"/>
      <c r="E16" s="1442"/>
      <c r="F16" s="797">
        <f>+F17</f>
        <v>0.18218326084989409</v>
      </c>
      <c r="G16" s="1207">
        <f t="shared" si="0"/>
        <v>0</v>
      </c>
      <c r="H16" s="82"/>
    </row>
    <row r="17" spans="1:8" ht="12.75" customHeight="1">
      <c r="A17" s="2"/>
      <c r="B17" s="1345">
        <v>4</v>
      </c>
      <c r="C17" s="1440"/>
      <c r="D17" s="179"/>
      <c r="E17" s="1442"/>
      <c r="F17" s="797">
        <f>+F18</f>
        <v>0.18218326084989409</v>
      </c>
      <c r="G17" s="1207">
        <f t="shared" si="0"/>
        <v>0</v>
      </c>
      <c r="H17" s="82"/>
    </row>
    <row r="18" spans="1:8" ht="12.75" customHeight="1">
      <c r="A18" s="2"/>
      <c r="B18" s="1345">
        <v>5</v>
      </c>
      <c r="C18" s="1440"/>
      <c r="D18" s="179"/>
      <c r="E18" s="1445"/>
      <c r="F18" s="797">
        <f>+F19</f>
        <v>0.18218326084989409</v>
      </c>
      <c r="G18" s="1207">
        <f t="shared" si="0"/>
        <v>0</v>
      </c>
      <c r="H18" s="2" t="s">
        <v>759</v>
      </c>
    </row>
    <row r="19" spans="1:8" ht="12.75" customHeight="1">
      <c r="A19" s="2"/>
      <c r="B19" s="1345"/>
      <c r="C19" s="1441"/>
      <c r="D19" s="179"/>
      <c r="E19" s="1445"/>
      <c r="F19" s="797">
        <f>+'ATT H-1 '!$H$23</f>
        <v>0.18218326084989409</v>
      </c>
      <c r="G19" s="1207">
        <f t="shared" si="0"/>
        <v>0</v>
      </c>
      <c r="H19" s="82"/>
    </row>
    <row r="20" spans="1:8" ht="12.75" customHeight="1">
      <c r="A20" s="2"/>
      <c r="B20" s="180" t="s">
        <v>131</v>
      </c>
      <c r="C20" s="2"/>
      <c r="D20" s="179"/>
      <c r="E20" s="108">
        <f>SUM(E14:E19)</f>
        <v>29243002.371120002</v>
      </c>
      <c r="F20" s="2"/>
      <c r="G20" s="108">
        <f>SUM(G14:G19)</f>
        <v>5327585.529011827</v>
      </c>
      <c r="H20" s="82"/>
    </row>
    <row r="21" spans="1:8" ht="12.75" customHeight="1">
      <c r="A21" s="2"/>
      <c r="B21" s="84"/>
      <c r="C21" s="2"/>
      <c r="D21" s="179"/>
      <c r="E21" s="1208"/>
      <c r="F21" s="179"/>
      <c r="G21" s="179"/>
      <c r="H21" s="82"/>
    </row>
    <row r="22" spans="1:8" ht="12.75" customHeight="1">
      <c r="A22" s="2"/>
      <c r="B22" s="84"/>
      <c r="C22" s="2"/>
      <c r="D22" s="179"/>
      <c r="E22" s="1208"/>
      <c r="F22" s="179"/>
      <c r="G22" s="179"/>
      <c r="H22" s="82"/>
    </row>
    <row r="23" spans="1:8" ht="12.75" customHeight="1">
      <c r="A23" s="2"/>
      <c r="B23" s="180" t="s">
        <v>129</v>
      </c>
      <c r="C23" s="2"/>
      <c r="D23" s="179"/>
      <c r="E23" s="1208"/>
      <c r="F23" s="1428" t="s">
        <v>871</v>
      </c>
      <c r="G23" s="179"/>
      <c r="H23" s="82"/>
    </row>
    <row r="24" spans="1:8" ht="12.75" customHeight="1">
      <c r="A24" s="2"/>
      <c r="B24" s="180"/>
      <c r="C24" s="2"/>
      <c r="D24" s="179"/>
      <c r="E24" s="122"/>
      <c r="F24" s="2"/>
      <c r="G24" s="179"/>
      <c r="H24" s="82"/>
    </row>
    <row r="25" spans="1:8" ht="12.75" customHeight="1">
      <c r="A25" s="2"/>
      <c r="B25" s="84"/>
      <c r="C25" s="2"/>
      <c r="D25" s="179"/>
      <c r="E25" s="1208"/>
      <c r="F25" s="179"/>
      <c r="G25" s="179"/>
      <c r="H25" s="82"/>
    </row>
    <row r="26" spans="1:8" ht="12.75" customHeight="1">
      <c r="A26" s="2"/>
      <c r="B26" s="1342">
        <v>6</v>
      </c>
      <c r="C26" s="1439" t="s">
        <v>952</v>
      </c>
      <c r="D26" s="715"/>
      <c r="E26" s="1442">
        <v>11959981</v>
      </c>
      <c r="F26" s="715"/>
      <c r="G26" s="715"/>
      <c r="H26" s="83"/>
    </row>
    <row r="27" spans="1:8">
      <c r="A27" s="2"/>
      <c r="B27" s="1342"/>
      <c r="C27" s="1440"/>
      <c r="D27" s="2"/>
      <c r="E27" s="1442"/>
      <c r="F27" s="2"/>
      <c r="G27" s="2"/>
    </row>
    <row r="28" spans="1:8">
      <c r="A28" s="2"/>
      <c r="B28" s="1342"/>
      <c r="C28" s="1441"/>
      <c r="D28" s="2"/>
      <c r="E28" s="1443"/>
      <c r="F28" s="2"/>
      <c r="G28" s="2"/>
    </row>
    <row r="29" spans="1:8">
      <c r="A29" s="2"/>
      <c r="B29" s="1342"/>
      <c r="C29" s="1441"/>
      <c r="D29" s="2"/>
      <c r="E29" s="1443"/>
      <c r="F29" s="2"/>
      <c r="G29" s="2"/>
    </row>
    <row r="30" spans="1:8">
      <c r="A30" s="2"/>
      <c r="B30" s="84"/>
      <c r="C30" s="1441"/>
      <c r="D30" s="2"/>
      <c r="E30" s="1443"/>
      <c r="F30" s="2"/>
      <c r="G30" s="2"/>
    </row>
    <row r="31" spans="1:8">
      <c r="A31" s="2"/>
      <c r="B31" s="180" t="s">
        <v>132</v>
      </c>
      <c r="C31" s="2"/>
      <c r="D31" s="2"/>
      <c r="E31" s="108">
        <f>SUM(E26:E30)</f>
        <v>11959981</v>
      </c>
      <c r="F31" s="797">
        <f>+'ATT H-1 '!H13</f>
        <v>0.10926820886382468</v>
      </c>
      <c r="G31" s="108">
        <f>+F31*E31</f>
        <v>1306845.7019153747</v>
      </c>
    </row>
    <row r="32" spans="1:8">
      <c r="A32" s="2"/>
      <c r="B32" s="180"/>
      <c r="C32" s="1208"/>
      <c r="D32" s="2"/>
      <c r="E32" s="122"/>
      <c r="F32" s="2"/>
      <c r="G32" s="2"/>
    </row>
    <row r="33" spans="1:14">
      <c r="A33" s="2"/>
      <c r="B33" s="84"/>
      <c r="C33" s="2"/>
      <c r="D33" s="2"/>
      <c r="E33" s="122"/>
      <c r="F33" s="2"/>
      <c r="G33" s="2"/>
    </row>
    <row r="34" spans="1:14">
      <c r="A34" s="2"/>
      <c r="B34" s="180" t="s">
        <v>130</v>
      </c>
      <c r="C34" s="2"/>
      <c r="D34" s="2"/>
      <c r="E34" s="122"/>
      <c r="F34" s="1427" t="s">
        <v>743</v>
      </c>
      <c r="G34" s="2"/>
    </row>
    <row r="35" spans="1:14">
      <c r="A35" s="2"/>
      <c r="B35" s="84"/>
      <c r="C35" s="2"/>
      <c r="D35" s="2"/>
      <c r="E35" s="122"/>
      <c r="F35" s="2"/>
      <c r="G35" s="2"/>
      <c r="L35" s="428"/>
    </row>
    <row r="36" spans="1:14">
      <c r="A36" s="2"/>
      <c r="B36" s="84">
        <v>7</v>
      </c>
      <c r="C36" s="715" t="s">
        <v>947</v>
      </c>
      <c r="D36" s="2"/>
      <c r="E36" s="122">
        <v>0</v>
      </c>
      <c r="F36" s="2"/>
      <c r="G36" s="2"/>
      <c r="L36" s="428"/>
    </row>
    <row r="37" spans="1:14">
      <c r="A37" s="2"/>
      <c r="B37" s="84"/>
      <c r="C37" s="84"/>
      <c r="D37" s="2"/>
      <c r="E37" s="108"/>
      <c r="F37" s="2"/>
      <c r="G37" s="2"/>
      <c r="L37" s="428"/>
      <c r="N37" s="428"/>
    </row>
    <row r="38" spans="1:14">
      <c r="A38" s="2"/>
      <c r="B38" s="84"/>
      <c r="C38" s="2"/>
      <c r="D38" s="2"/>
      <c r="E38" s="122"/>
      <c r="F38" s="2"/>
      <c r="G38" s="2"/>
      <c r="L38" s="428"/>
      <c r="N38" s="428"/>
    </row>
    <row r="39" spans="1:14">
      <c r="A39" s="2"/>
      <c r="B39" s="84"/>
      <c r="C39" s="2"/>
      <c r="D39" s="2"/>
      <c r="E39" s="122"/>
      <c r="F39" s="2"/>
      <c r="G39" s="2"/>
      <c r="L39" s="428"/>
      <c r="N39" s="445"/>
    </row>
    <row r="40" spans="1:14">
      <c r="A40" s="2"/>
      <c r="B40" s="180" t="s">
        <v>133</v>
      </c>
      <c r="C40" s="2"/>
      <c r="D40" s="2"/>
      <c r="E40" s="108">
        <f>SUM(E36:E39)</f>
        <v>0</v>
      </c>
      <c r="F40" s="797">
        <f>+F19</f>
        <v>0.18218326084989409</v>
      </c>
      <c r="G40" s="108">
        <f>+F40*E40</f>
        <v>0</v>
      </c>
      <c r="L40" s="428"/>
    </row>
    <row r="41" spans="1:14">
      <c r="A41" s="2"/>
      <c r="B41" s="180"/>
      <c r="C41" s="2"/>
      <c r="D41" s="2"/>
      <c r="E41" s="108"/>
      <c r="F41" s="797"/>
      <c r="G41" s="108"/>
      <c r="L41" s="428"/>
    </row>
    <row r="42" spans="1:14">
      <c r="A42" s="2"/>
      <c r="B42" s="180" t="s">
        <v>966</v>
      </c>
      <c r="C42" s="2"/>
      <c r="D42" s="2"/>
      <c r="E42" s="108"/>
      <c r="F42" s="797"/>
      <c r="G42" s="108"/>
      <c r="L42" s="428"/>
    </row>
    <row r="43" spans="1:14">
      <c r="A43" s="2"/>
      <c r="B43" s="1440">
        <v>8</v>
      </c>
      <c r="C43" s="1441" t="s">
        <v>967</v>
      </c>
      <c r="D43" s="1441"/>
      <c r="E43" s="1442"/>
      <c r="F43" s="797"/>
      <c r="G43" s="108"/>
      <c r="L43" s="428"/>
    </row>
    <row r="44" spans="1:14">
      <c r="A44" s="2"/>
      <c r="B44" s="84"/>
      <c r="C44" s="2"/>
      <c r="D44" s="2"/>
      <c r="E44" s="108"/>
      <c r="F44" s="797"/>
      <c r="G44" s="108"/>
      <c r="L44" s="428"/>
    </row>
    <row r="45" spans="1:14">
      <c r="A45" s="2"/>
      <c r="B45" s="180" t="s">
        <v>968</v>
      </c>
      <c r="C45" s="2"/>
      <c r="D45" s="2"/>
      <c r="E45" s="108">
        <f>SUM(E43:E44)</f>
        <v>0</v>
      </c>
      <c r="F45" s="797">
        <v>1</v>
      </c>
      <c r="G45" s="108">
        <f>E45*F45</f>
        <v>0</v>
      </c>
      <c r="L45" s="428"/>
    </row>
    <row r="46" spans="1:14">
      <c r="A46" s="2"/>
      <c r="B46" s="84"/>
      <c r="C46" s="2"/>
      <c r="D46" s="2"/>
      <c r="E46" s="122"/>
      <c r="F46" s="2"/>
      <c r="G46" s="2"/>
      <c r="L46" s="428"/>
    </row>
    <row r="47" spans="1:14">
      <c r="A47" s="2"/>
      <c r="B47" s="180" t="s">
        <v>103</v>
      </c>
      <c r="C47" s="2"/>
      <c r="D47" s="2"/>
      <c r="E47" s="122"/>
      <c r="F47" s="2"/>
      <c r="G47" s="1209">
        <f>+G40+G31+G20+G45</f>
        <v>6634431.2309272019</v>
      </c>
      <c r="L47" s="428"/>
    </row>
    <row r="48" spans="1:14">
      <c r="A48" s="2"/>
      <c r="B48" s="180"/>
      <c r="C48" s="2"/>
      <c r="D48" s="2"/>
      <c r="E48" s="122"/>
      <c r="F48" s="2"/>
      <c r="G48" s="1209"/>
    </row>
    <row r="49" spans="1:12">
      <c r="A49" s="2"/>
      <c r="B49" s="180" t="s">
        <v>104</v>
      </c>
      <c r="C49" s="2"/>
      <c r="D49" s="2"/>
      <c r="E49" s="1543">
        <f>G49</f>
        <v>1242690.4688799998</v>
      </c>
      <c r="F49" s="2"/>
      <c r="G49" s="1845">
        <v>1242690.4688799998</v>
      </c>
    </row>
    <row r="50" spans="1:12">
      <c r="A50" s="2"/>
      <c r="B50" s="180" t="s">
        <v>105</v>
      </c>
      <c r="C50" s="99"/>
      <c r="D50" s="2"/>
      <c r="E50" s="1543">
        <f>G50</f>
        <v>547687.83000000007</v>
      </c>
      <c r="F50" s="2"/>
      <c r="G50" s="1455">
        <v>547687.83000000007</v>
      </c>
    </row>
    <row r="51" spans="1:12">
      <c r="A51" s="2"/>
      <c r="B51" s="180"/>
      <c r="C51" s="99"/>
      <c r="D51" s="2"/>
      <c r="E51" s="122"/>
      <c r="F51" s="2"/>
      <c r="G51" s="177"/>
    </row>
    <row r="52" spans="1:12">
      <c r="A52" s="2"/>
      <c r="B52" s="180" t="s">
        <v>106</v>
      </c>
      <c r="C52" s="99"/>
      <c r="D52" s="2"/>
      <c r="E52" s="122"/>
      <c r="F52" s="2"/>
      <c r="G52" s="1753">
        <f>G47</f>
        <v>6634431.2309272019</v>
      </c>
    </row>
    <row r="53" spans="1:12">
      <c r="A53" s="2"/>
      <c r="B53" s="2"/>
      <c r="C53" s="99"/>
      <c r="D53" s="2"/>
      <c r="E53" s="122"/>
      <c r="F53" s="2"/>
      <c r="G53" s="2"/>
    </row>
    <row r="54" spans="1:12">
      <c r="A54" s="2"/>
      <c r="B54" s="2"/>
      <c r="C54" s="119" t="s">
        <v>134</v>
      </c>
      <c r="D54" s="2"/>
      <c r="E54" s="122"/>
      <c r="F54" s="2"/>
      <c r="G54" s="2"/>
    </row>
    <row r="55" spans="1:12">
      <c r="A55" s="2"/>
      <c r="B55" s="2"/>
      <c r="C55" s="2"/>
      <c r="D55" s="2"/>
      <c r="E55" s="122"/>
      <c r="F55" s="2"/>
      <c r="G55" s="119"/>
      <c r="H55" s="2"/>
      <c r="I55" s="2"/>
    </row>
    <row r="56" spans="1:12">
      <c r="A56" s="2"/>
      <c r="B56" s="1343">
        <f>B43+1</f>
        <v>9</v>
      </c>
      <c r="C56" s="1439" t="s">
        <v>1177</v>
      </c>
      <c r="D56" s="2"/>
      <c r="E56" s="1442">
        <v>3528963.3300000005</v>
      </c>
      <c r="F56" s="109"/>
      <c r="G56" s="2"/>
      <c r="H56" s="99"/>
      <c r="I56" s="2"/>
    </row>
    <row r="57" spans="1:12">
      <c r="A57" s="2"/>
      <c r="B57" s="1343">
        <f t="shared" ref="B57:B64" si="1">+B56+1</f>
        <v>10</v>
      </c>
      <c r="C57" s="1439" t="s">
        <v>1180</v>
      </c>
      <c r="D57" s="2"/>
      <c r="E57" s="1442">
        <v>545467</v>
      </c>
      <c r="F57" s="109"/>
      <c r="G57" s="2"/>
      <c r="H57" s="99"/>
      <c r="I57" s="2"/>
    </row>
    <row r="58" spans="1:12">
      <c r="A58" s="2"/>
      <c r="B58" s="1343">
        <f t="shared" si="1"/>
        <v>11</v>
      </c>
      <c r="C58" s="1439" t="s">
        <v>953</v>
      </c>
      <c r="D58" s="2"/>
      <c r="E58" s="1442">
        <v>117028609</v>
      </c>
      <c r="F58" s="2"/>
      <c r="G58" s="2"/>
      <c r="H58" s="99"/>
      <c r="I58" s="2"/>
    </row>
    <row r="59" spans="1:12">
      <c r="A59" s="2"/>
      <c r="B59" s="1343">
        <f t="shared" si="1"/>
        <v>12</v>
      </c>
      <c r="C59" s="1439" t="s">
        <v>954</v>
      </c>
      <c r="D59" s="2"/>
      <c r="E59" s="1442">
        <v>111654177</v>
      </c>
      <c r="F59" s="2"/>
      <c r="G59" s="2"/>
      <c r="H59" s="99"/>
      <c r="I59" s="2"/>
    </row>
    <row r="60" spans="1:12">
      <c r="A60" s="2"/>
      <c r="B60" s="1343">
        <f>+B59+1</f>
        <v>13</v>
      </c>
      <c r="C60" s="1439" t="s">
        <v>169</v>
      </c>
      <c r="D60" s="2"/>
      <c r="E60" s="1442">
        <v>791962</v>
      </c>
      <c r="F60" s="2"/>
      <c r="G60" s="2"/>
    </row>
    <row r="61" spans="1:12">
      <c r="A61" s="2"/>
      <c r="B61" s="1343">
        <f t="shared" si="1"/>
        <v>14</v>
      </c>
      <c r="C61" s="1446" t="s">
        <v>1178</v>
      </c>
      <c r="D61" s="2"/>
      <c r="E61" s="1442">
        <v>72806761</v>
      </c>
      <c r="F61" s="2"/>
      <c r="G61" s="2"/>
    </row>
    <row r="62" spans="1:12">
      <c r="A62" s="2"/>
      <c r="B62" s="1343">
        <f t="shared" si="1"/>
        <v>15</v>
      </c>
      <c r="C62" s="1446"/>
      <c r="D62" s="2"/>
      <c r="E62" s="1442"/>
      <c r="F62" s="2"/>
      <c r="G62" s="2"/>
    </row>
    <row r="63" spans="1:12">
      <c r="A63" s="2"/>
      <c r="B63" s="1343">
        <f t="shared" si="1"/>
        <v>16</v>
      </c>
      <c r="C63" s="1446"/>
      <c r="D63" s="2"/>
      <c r="E63" s="1442"/>
      <c r="F63" s="2"/>
      <c r="G63" s="2"/>
      <c r="L63" s="485"/>
    </row>
    <row r="64" spans="1:12">
      <c r="A64" s="2"/>
      <c r="B64" s="1343">
        <f t="shared" si="1"/>
        <v>17</v>
      </c>
      <c r="C64" s="1446"/>
      <c r="D64" s="2"/>
      <c r="E64" s="1442"/>
      <c r="F64" s="2"/>
      <c r="G64" s="2"/>
    </row>
    <row r="65" spans="1:19">
      <c r="A65" s="2"/>
      <c r="B65" s="1343">
        <f>B64+1</f>
        <v>18</v>
      </c>
      <c r="C65" s="1446"/>
      <c r="D65" s="2"/>
      <c r="E65" s="1442"/>
      <c r="F65" s="2"/>
      <c r="G65" s="2"/>
    </row>
    <row r="66" spans="1:19">
      <c r="A66" s="2"/>
      <c r="B66" s="1343">
        <f>B65+1</f>
        <v>19</v>
      </c>
      <c r="C66" s="1446"/>
      <c r="D66" s="2"/>
      <c r="E66" s="1442"/>
      <c r="F66" s="2"/>
      <c r="G66" s="2"/>
    </row>
    <row r="67" spans="1:19">
      <c r="A67" s="2"/>
      <c r="B67" s="1343">
        <f>B66+1</f>
        <v>20</v>
      </c>
      <c r="C67" s="1446"/>
      <c r="D67" s="2"/>
      <c r="E67" s="1442"/>
      <c r="F67" s="2"/>
      <c r="G67" s="104"/>
      <c r="H67" s="97"/>
      <c r="I67" s="97"/>
      <c r="J67" s="1791"/>
    </row>
    <row r="68" spans="1:19">
      <c r="A68" s="2"/>
      <c r="B68" s="1343">
        <f>B67+1</f>
        <v>21</v>
      </c>
      <c r="C68" s="1440"/>
      <c r="D68" s="2"/>
      <c r="E68" s="1442"/>
      <c r="F68" s="2"/>
      <c r="G68" s="146"/>
      <c r="H68" s="97"/>
      <c r="I68" s="97"/>
      <c r="J68" s="1988"/>
      <c r="K68" s="1988"/>
      <c r="L68" s="1988"/>
      <c r="M68" s="1988"/>
      <c r="N68" s="1988"/>
      <c r="O68" s="1988"/>
      <c r="P68" s="1988"/>
      <c r="Q68" s="1988"/>
      <c r="R68" s="1988"/>
      <c r="S68" s="1988"/>
    </row>
    <row r="69" spans="1:19">
      <c r="A69" s="2"/>
      <c r="B69" s="2"/>
      <c r="C69" s="2"/>
      <c r="D69" s="2"/>
      <c r="F69" s="2"/>
      <c r="G69" s="146"/>
      <c r="H69" s="97"/>
      <c r="I69" s="97"/>
      <c r="J69" s="1988"/>
      <c r="K69" s="1988"/>
      <c r="L69" s="1988"/>
      <c r="M69" s="1988"/>
      <c r="N69" s="1988"/>
      <c r="O69" s="1988"/>
      <c r="P69" s="1988"/>
      <c r="Q69" s="1988"/>
      <c r="R69" s="1988"/>
      <c r="S69" s="1988"/>
    </row>
    <row r="70" spans="1:19">
      <c r="A70" s="2"/>
      <c r="B70" s="2">
        <f>B68+1</f>
        <v>22</v>
      </c>
      <c r="C70" s="104" t="s">
        <v>877</v>
      </c>
      <c r="D70" s="2"/>
      <c r="E70" s="1544">
        <f>SUM(E56:E68)+E50+E49+E43+E31+E20</f>
        <v>349349300.99999994</v>
      </c>
      <c r="F70" s="2"/>
      <c r="G70" s="1545">
        <v>349349301</v>
      </c>
      <c r="H70" s="97"/>
      <c r="I70" s="97"/>
      <c r="J70" s="1983"/>
      <c r="K70" s="1983"/>
      <c r="L70" s="2"/>
    </row>
    <row r="71" spans="1:19">
      <c r="A71" s="2"/>
      <c r="B71" s="2"/>
      <c r="C71" s="1157"/>
      <c r="D71" s="2"/>
      <c r="E71" s="122"/>
      <c r="F71" s="125"/>
      <c r="G71" s="146">
        <f>G70-E70</f>
        <v>0</v>
      </c>
      <c r="H71" s="97"/>
      <c r="I71" s="97"/>
      <c r="J71" s="1983"/>
      <c r="K71" s="1983"/>
      <c r="L71" s="2"/>
    </row>
    <row r="72" spans="1:19">
      <c r="A72" s="2"/>
      <c r="B72" s="2">
        <f>+B70+1</f>
        <v>23</v>
      </c>
      <c r="C72" s="1157" t="s">
        <v>882</v>
      </c>
      <c r="D72" s="1210"/>
      <c r="E72" s="1571">
        <v>400007135</v>
      </c>
      <c r="F72" s="1663"/>
      <c r="G72" s="1833"/>
      <c r="H72" s="121"/>
      <c r="I72" s="97"/>
      <c r="J72" s="1983"/>
      <c r="K72" s="1983"/>
      <c r="L72" s="2"/>
    </row>
    <row r="73" spans="1:19">
      <c r="A73" s="2"/>
      <c r="B73" s="2"/>
      <c r="C73" s="107"/>
      <c r="D73" s="107"/>
      <c r="E73" s="124"/>
      <c r="F73" s="120"/>
      <c r="G73" s="120"/>
      <c r="H73" s="121"/>
      <c r="I73" s="97"/>
      <c r="J73" s="97"/>
      <c r="K73" s="2"/>
      <c r="L73" s="2"/>
    </row>
    <row r="74" spans="1:19">
      <c r="B74">
        <f>+B72+1</f>
        <v>24</v>
      </c>
      <c r="C74" s="107" t="s">
        <v>720</v>
      </c>
      <c r="D74" s="151"/>
      <c r="E74" s="123">
        <f>+E70-E72</f>
        <v>-50657834.00000006</v>
      </c>
      <c r="F74" s="120"/>
      <c r="G74" s="120"/>
      <c r="H74" s="121"/>
      <c r="I74" s="97"/>
      <c r="J74" s="97"/>
    </row>
    <row r="75" spans="1:19">
      <c r="C75" s="107"/>
      <c r="D75" s="151"/>
      <c r="E75" s="123"/>
      <c r="F75" s="120"/>
      <c r="G75" s="120"/>
      <c r="H75" s="121"/>
    </row>
    <row r="76" spans="1:19">
      <c r="B76" s="2" t="s">
        <v>870</v>
      </c>
      <c r="C76" s="84"/>
      <c r="D76" s="2"/>
      <c r="E76" s="108"/>
      <c r="F76" s="109"/>
      <c r="G76" s="109"/>
      <c r="H76" s="109"/>
    </row>
    <row r="77" spans="1:19">
      <c r="B77" s="2" t="s">
        <v>761</v>
      </c>
      <c r="C77" s="84" t="s">
        <v>721</v>
      </c>
      <c r="D77" s="2"/>
      <c r="E77" s="108"/>
      <c r="F77" s="109"/>
      <c r="G77" s="109"/>
      <c r="H77" s="109"/>
    </row>
    <row r="78" spans="1:19">
      <c r="B78" s="2"/>
      <c r="C78" s="126" t="s">
        <v>582</v>
      </c>
      <c r="D78" s="2"/>
      <c r="E78" s="108"/>
      <c r="F78" s="2"/>
      <c r="G78" s="109"/>
      <c r="H78" s="109"/>
    </row>
    <row r="79" spans="1:19">
      <c r="B79" s="2" t="s">
        <v>851</v>
      </c>
      <c r="C79" s="84" t="s">
        <v>722</v>
      </c>
      <c r="D79" s="2"/>
      <c r="E79" s="108"/>
      <c r="F79" s="2"/>
      <c r="G79" s="109"/>
      <c r="H79" s="109"/>
    </row>
    <row r="80" spans="1:19">
      <c r="B80" s="2"/>
      <c r="C80" s="126" t="s">
        <v>582</v>
      </c>
      <c r="D80" s="2"/>
      <c r="E80" s="108"/>
      <c r="F80" s="2"/>
      <c r="G80" s="109"/>
      <c r="H80" s="109"/>
    </row>
    <row r="81" spans="2:8">
      <c r="B81" s="2" t="s">
        <v>742</v>
      </c>
      <c r="C81" s="84" t="s">
        <v>581</v>
      </c>
      <c r="D81" s="2"/>
      <c r="E81" s="108"/>
      <c r="F81" s="2"/>
      <c r="G81" s="109"/>
      <c r="H81" s="109"/>
    </row>
    <row r="82" spans="2:8">
      <c r="B82" s="2" t="s">
        <v>762</v>
      </c>
      <c r="C82" s="126" t="s">
        <v>917</v>
      </c>
      <c r="D82" s="2"/>
      <c r="E82" s="108"/>
      <c r="F82" s="2"/>
      <c r="G82" s="109"/>
      <c r="H82" s="109"/>
    </row>
    <row r="83" spans="2:8">
      <c r="B83" s="2"/>
      <c r="C83" s="84" t="s">
        <v>918</v>
      </c>
      <c r="D83" s="2"/>
      <c r="E83" s="108"/>
      <c r="F83" s="2"/>
      <c r="G83" s="2"/>
      <c r="H83" s="2"/>
    </row>
    <row r="84" spans="2:8">
      <c r="B84" s="2"/>
      <c r="C84" s="2" t="s">
        <v>919</v>
      </c>
    </row>
    <row r="85" spans="2:8">
      <c r="B85" s="176" t="s">
        <v>760</v>
      </c>
      <c r="C85" s="176" t="s">
        <v>181</v>
      </c>
      <c r="D85" s="176"/>
      <c r="E85" s="178"/>
      <c r="F85" s="176"/>
    </row>
    <row r="116" spans="2:5">
      <c r="B116" s="90"/>
      <c r="E116"/>
    </row>
  </sheetData>
  <customSheetViews>
    <customSheetView guid="{16940A0E-2B20-4241-BF05-A4686E5A0274}" scale="75" fitToPage="1" showRuler="0" topLeftCell="A16">
      <selection activeCell="E60" sqref="E60"/>
      <pageMargins left="0.75" right="0.75" top="1" bottom="1" header="0.5" footer="0.5"/>
      <pageSetup scale="48" orientation="portrait" r:id="rId1"/>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2"/>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3"/>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4"/>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6"/>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8"/>
      <headerFooter alignWithMargins="0">
        <oddHeader>&amp;R&amp;12Page &amp;P of &amp;N</oddHeader>
      </headerFooter>
    </customSheetView>
    <customSheetView guid="{1155D18F-BFDD-426B-8E78-817CEB25FB23}" scale="75" showPageBreaks="1" fitToPage="1" showRuler="0" topLeftCell="A32">
      <selection activeCell="E62" sqref="E62"/>
      <pageMargins left="0.75" right="0.75" top="1" bottom="1" header="0.5" footer="0.5"/>
      <pageSetup scale="66"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60"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6"/>
  <sheetViews>
    <sheetView zoomScale="75" zoomScaleNormal="75" workbookViewId="0">
      <selection activeCell="F17" sqref="F17:H17"/>
    </sheetView>
  </sheetViews>
  <sheetFormatPr defaultRowHeight="12.75"/>
  <cols>
    <col min="1" max="1" width="7.42578125" style="81" customWidth="1"/>
    <col min="2" max="2" width="86.7109375" customWidth="1"/>
    <col min="3" max="3" width="15.7109375" customWidth="1"/>
    <col min="4" max="4" width="15.140625" style="114" customWidth="1"/>
    <col min="5" max="5" width="2.85546875" customWidth="1"/>
    <col min="6" max="6" width="14.5703125" customWidth="1"/>
    <col min="7" max="7" width="13.5703125" customWidth="1"/>
    <col min="8" max="8" width="16.7109375" customWidth="1"/>
    <col min="9" max="9" width="12.28515625" bestFit="1" customWidth="1"/>
    <col min="11" max="11" width="14.42578125" customWidth="1"/>
  </cols>
  <sheetData>
    <row r="1" spans="1:11" ht="18">
      <c r="A1" s="1980" t="str">
        <f>+'ATT H-1 '!A3</f>
        <v xml:space="preserve">Puget Sound Energy </v>
      </c>
      <c r="B1" s="1980"/>
      <c r="C1" s="1980"/>
      <c r="D1" s="1980"/>
      <c r="E1" s="2"/>
    </row>
    <row r="2" spans="1:11">
      <c r="A2" s="152"/>
      <c r="E2" s="2"/>
    </row>
    <row r="3" spans="1:11" ht="15.75">
      <c r="A3" s="1984" t="s">
        <v>730</v>
      </c>
      <c r="B3" s="1985"/>
      <c r="C3" s="1985"/>
      <c r="D3" s="1985"/>
      <c r="E3" s="2"/>
    </row>
    <row r="4" spans="1:11" ht="25.5">
      <c r="B4" s="53"/>
      <c r="C4" s="81"/>
      <c r="D4" s="541" t="s">
        <v>474</v>
      </c>
      <c r="E4" s="541"/>
      <c r="F4" s="541" t="s">
        <v>978</v>
      </c>
      <c r="G4" s="541" t="s">
        <v>437</v>
      </c>
      <c r="H4" s="541" t="s">
        <v>438</v>
      </c>
    </row>
    <row r="5" spans="1:11">
      <c r="B5" s="1211"/>
      <c r="C5" s="174"/>
      <c r="D5" s="116"/>
      <c r="E5" s="174"/>
      <c r="F5" s="2"/>
      <c r="G5" s="2"/>
      <c r="H5" s="2"/>
      <c r="I5" s="2"/>
    </row>
    <row r="6" spans="1:11">
      <c r="A6"/>
      <c r="B6" s="1212" t="s">
        <v>659</v>
      </c>
      <c r="C6" s="2"/>
      <c r="D6" s="116"/>
      <c r="E6" s="2"/>
      <c r="F6" s="2"/>
      <c r="G6" s="2"/>
      <c r="H6" s="2"/>
      <c r="I6" s="2"/>
    </row>
    <row r="7" spans="1:11">
      <c r="A7" s="97">
        <v>1</v>
      </c>
      <c r="B7" s="537" t="s">
        <v>177</v>
      </c>
      <c r="C7" s="112"/>
      <c r="D7" s="448">
        <f>+F7+G7+H7</f>
        <v>4553969.5996444663</v>
      </c>
      <c r="E7" s="182"/>
      <c r="F7" s="1463">
        <f>'WKSHT1 - Rev Credits'!D6</f>
        <v>4553969.5996444663</v>
      </c>
      <c r="G7" s="1463">
        <v>0</v>
      </c>
      <c r="H7" s="1463">
        <v>0</v>
      </c>
      <c r="I7" s="2"/>
    </row>
    <row r="8" spans="1:11">
      <c r="A8" s="97">
        <v>2</v>
      </c>
      <c r="B8" s="185" t="s">
        <v>589</v>
      </c>
      <c r="C8" s="112"/>
      <c r="D8" s="125">
        <f>+F8+G8+H8</f>
        <v>31800.432128251643</v>
      </c>
      <c r="E8" s="182"/>
      <c r="F8" s="1464">
        <f>'WKSHT1 - Rev Credits'!D8</f>
        <v>30403.729686922899</v>
      </c>
      <c r="G8" s="1465">
        <f>'WKSHT1 - Rev Credits'!E8</f>
        <v>469.00510619968543</v>
      </c>
      <c r="H8" s="1465">
        <f>'WKSHT1 - Rev Credits'!F8</f>
        <v>927.69733512905907</v>
      </c>
      <c r="I8" s="2"/>
    </row>
    <row r="9" spans="1:11">
      <c r="A9" s="97">
        <v>3</v>
      </c>
      <c r="B9" s="185" t="s">
        <v>178</v>
      </c>
      <c r="C9" s="112"/>
      <c r="D9" s="1087">
        <f>+F9+G9+H9</f>
        <v>1472874.1813585267</v>
      </c>
      <c r="E9" s="1086"/>
      <c r="F9" s="1466">
        <f>'WKSHT1 - Rev Credits'!D9</f>
        <v>1408184.2753667796</v>
      </c>
      <c r="G9" s="1465">
        <f>'WKSHT1 - Rev Credits'!E9</f>
        <v>21722.519651962015</v>
      </c>
      <c r="H9" s="1465">
        <f>'WKSHT1 - Rev Credits'!F9</f>
        <v>42967.386339785</v>
      </c>
      <c r="I9" s="2"/>
    </row>
    <row r="10" spans="1:11" s="111" customFormat="1">
      <c r="A10" s="113">
        <v>4</v>
      </c>
      <c r="B10" s="112" t="s">
        <v>660</v>
      </c>
      <c r="C10" s="84" t="s">
        <v>179</v>
      </c>
      <c r="D10" s="1085">
        <f>SUM(D7:D9)</f>
        <v>6058644.2131312443</v>
      </c>
      <c r="E10" s="173"/>
      <c r="F10" s="1085">
        <f>SUM(F7:F9)</f>
        <v>5992557.604698169</v>
      </c>
      <c r="G10" s="447">
        <f>SUM(G7:G9)</f>
        <v>22191.5247581617</v>
      </c>
      <c r="H10" s="447">
        <f>SUM(H7:H9)</f>
        <v>43895.083674914058</v>
      </c>
      <c r="I10" s="448"/>
    </row>
    <row r="11" spans="1:11">
      <c r="A11"/>
      <c r="B11" s="149"/>
      <c r="C11" s="149"/>
      <c r="D11" s="115"/>
      <c r="E11" s="2"/>
      <c r="F11" s="2"/>
      <c r="G11" s="2"/>
      <c r="H11" s="2"/>
      <c r="I11" s="2"/>
    </row>
    <row r="12" spans="1:11">
      <c r="A12" s="2"/>
      <c r="B12" s="1212" t="s">
        <v>408</v>
      </c>
      <c r="C12" s="149"/>
      <c r="D12" s="116"/>
      <c r="E12" s="2"/>
      <c r="F12" s="2"/>
      <c r="G12" s="2"/>
      <c r="H12" s="2"/>
      <c r="I12" s="2"/>
      <c r="K12" s="428"/>
    </row>
    <row r="13" spans="1:11">
      <c r="A13" s="2">
        <v>5</v>
      </c>
      <c r="B13" s="126" t="s">
        <v>598</v>
      </c>
      <c r="C13" s="149"/>
      <c r="D13" s="448">
        <f>+F13+G13+H13</f>
        <v>0</v>
      </c>
      <c r="E13" s="2"/>
      <c r="F13" s="1629">
        <f>'WKSHT1 - Rev Credits'!D20</f>
        <v>0</v>
      </c>
      <c r="G13" s="1629">
        <f>'WKSHT1 - Rev Credits'!E20</f>
        <v>0</v>
      </c>
      <c r="H13" s="1629">
        <f>'WKSHT1 - Rev Credits'!F20</f>
        <v>0</v>
      </c>
      <c r="I13" s="448"/>
      <c r="K13" s="445"/>
    </row>
    <row r="14" spans="1:11">
      <c r="A14" s="2">
        <v>6</v>
      </c>
      <c r="B14" s="126" t="s">
        <v>728</v>
      </c>
      <c r="C14" s="179"/>
      <c r="D14" s="449">
        <v>0</v>
      </c>
      <c r="E14" s="84"/>
      <c r="F14" s="1343"/>
      <c r="G14" s="1343"/>
      <c r="H14" s="1343"/>
      <c r="I14" s="2"/>
    </row>
    <row r="15" spans="1:11" ht="25.5">
      <c r="A15" s="166">
        <v>7</v>
      </c>
      <c r="B15" s="179" t="s">
        <v>729</v>
      </c>
      <c r="C15" s="179"/>
      <c r="D15" s="449">
        <v>0</v>
      </c>
      <c r="E15" s="2"/>
      <c r="F15" s="1343"/>
      <c r="G15" s="1343"/>
      <c r="H15" s="1343"/>
      <c r="I15" s="2"/>
    </row>
    <row r="16" spans="1:11" ht="25.5">
      <c r="A16" s="2">
        <v>8</v>
      </c>
      <c r="B16" s="649" t="s">
        <v>732</v>
      </c>
      <c r="C16" s="179"/>
      <c r="D16" s="450">
        <f>F16+G16+H16</f>
        <v>923036</v>
      </c>
      <c r="E16" s="109"/>
      <c r="F16" s="1464">
        <f>'WKSHT1 - Rev Credits'!K150</f>
        <v>486655</v>
      </c>
      <c r="G16" s="1503">
        <f>'WKSHT1 - Rev Credits'!K151</f>
        <v>0</v>
      </c>
      <c r="H16" s="1503">
        <f>'WKSHT1 - Rev Credits'!K152</f>
        <v>436381</v>
      </c>
      <c r="I16" s="2"/>
    </row>
    <row r="17" spans="1:9">
      <c r="A17" s="166">
        <v>9</v>
      </c>
      <c r="B17" s="649" t="s">
        <v>574</v>
      </c>
      <c r="C17" s="179"/>
      <c r="D17" s="450">
        <f>+F17+G17+H17</f>
        <v>39536056</v>
      </c>
      <c r="E17" s="109"/>
      <c r="F17" s="1464">
        <v>39535873</v>
      </c>
      <c r="G17" s="1503"/>
      <c r="H17" s="1503">
        <v>183</v>
      </c>
      <c r="I17" s="448"/>
    </row>
    <row r="18" spans="1:9">
      <c r="A18" s="2">
        <v>10</v>
      </c>
      <c r="B18" s="649" t="s">
        <v>731</v>
      </c>
      <c r="C18" s="179"/>
      <c r="D18" s="450">
        <f>+F18+G18+H18</f>
        <v>0</v>
      </c>
      <c r="E18" s="109"/>
      <c r="F18" s="2"/>
      <c r="G18" s="2"/>
      <c r="H18" s="2"/>
      <c r="I18" s="2"/>
    </row>
    <row r="19" spans="1:9">
      <c r="A19" s="166">
        <v>11</v>
      </c>
      <c r="B19" s="648" t="s">
        <v>931</v>
      </c>
      <c r="C19" s="179"/>
      <c r="D19" s="450">
        <f>+F19+G19+H19</f>
        <v>0</v>
      </c>
      <c r="E19" s="109"/>
      <c r="F19" s="2"/>
      <c r="G19" s="2"/>
      <c r="H19" s="2"/>
      <c r="I19" s="2"/>
    </row>
    <row r="20" spans="1:9" ht="25.5">
      <c r="B20" s="648" t="s">
        <v>932</v>
      </c>
      <c r="C20" s="84"/>
      <c r="D20" s="450">
        <f>+F20+G20+H20</f>
        <v>0</v>
      </c>
      <c r="E20" s="2"/>
      <c r="F20" s="2"/>
      <c r="G20" s="2"/>
      <c r="H20" s="2"/>
      <c r="I20" s="2"/>
    </row>
    <row r="21" spans="1:9">
      <c r="B21" s="648"/>
      <c r="C21" s="84"/>
      <c r="D21" s="449"/>
      <c r="E21" s="2"/>
      <c r="F21" s="2"/>
      <c r="G21" s="2"/>
      <c r="H21" s="2"/>
      <c r="I21" s="2"/>
    </row>
    <row r="22" spans="1:9" ht="13.5" thickBot="1">
      <c r="A22" s="166">
        <v>12</v>
      </c>
      <c r="B22" s="149" t="s">
        <v>724</v>
      </c>
      <c r="C22" s="84" t="s">
        <v>922</v>
      </c>
      <c r="D22" s="540">
        <f>SUM(D13:D18)+D10</f>
        <v>46517736.213131242</v>
      </c>
      <c r="E22" s="1084"/>
      <c r="F22" s="540">
        <f>SUM(F13:F18)+F10</f>
        <v>46015085.604698166</v>
      </c>
      <c r="G22" s="540">
        <f>SUM(G13:G18)+G10</f>
        <v>22191.5247581617</v>
      </c>
      <c r="H22" s="540">
        <f>SUM(H13:H18)+H10</f>
        <v>480459.08367491409</v>
      </c>
      <c r="I22" s="448"/>
    </row>
    <row r="23" spans="1:9" ht="13.5" thickTop="1">
      <c r="A23"/>
      <c r="B23" s="149"/>
      <c r="C23" s="2"/>
      <c r="D23" s="116"/>
      <c r="E23" s="2"/>
      <c r="F23" s="2"/>
      <c r="G23" s="2"/>
      <c r="H23" s="2"/>
      <c r="I23" s="2"/>
    </row>
    <row r="24" spans="1:9">
      <c r="A24"/>
      <c r="B24" s="149"/>
      <c r="C24" s="2"/>
      <c r="D24" s="116"/>
      <c r="E24" s="2"/>
      <c r="F24" s="2"/>
      <c r="G24" s="2"/>
      <c r="H24" s="2"/>
      <c r="I24" s="2"/>
    </row>
    <row r="25" spans="1:9">
      <c r="A25"/>
      <c r="B25" s="1213"/>
      <c r="C25" s="2"/>
      <c r="D25" s="117"/>
      <c r="E25" s="2"/>
      <c r="F25" s="2"/>
      <c r="G25" s="2"/>
      <c r="H25" s="2"/>
      <c r="I25" s="2"/>
    </row>
    <row r="26" spans="1:9">
      <c r="A26" s="166"/>
      <c r="B26" s="647"/>
      <c r="C26" s="649"/>
      <c r="D26" s="116"/>
      <c r="E26" s="125"/>
      <c r="F26" s="2"/>
      <c r="G26" s="2"/>
      <c r="H26" s="2"/>
      <c r="I26" s="2"/>
    </row>
    <row r="27" spans="1:9">
      <c r="A27" s="155"/>
      <c r="B27" s="149"/>
      <c r="C27" s="2"/>
      <c r="D27" s="116"/>
      <c r="E27" s="2"/>
      <c r="F27" s="2"/>
      <c r="G27" s="2"/>
      <c r="H27" s="2"/>
      <c r="I27" s="2"/>
    </row>
    <row r="28" spans="1:9" ht="51">
      <c r="A28" s="155">
        <f>+A26+1</f>
        <v>1</v>
      </c>
      <c r="B28" s="648" t="s">
        <v>82</v>
      </c>
      <c r="C28" s="2"/>
      <c r="D28" s="86"/>
      <c r="E28" s="2"/>
    </row>
    <row r="29" spans="1:9">
      <c r="A29" s="155"/>
      <c r="B29" s="149"/>
      <c r="C29" s="2"/>
      <c r="E29" s="2"/>
    </row>
    <row r="30" spans="1:9" ht="38.25">
      <c r="A30" s="155">
        <f>+A28+1</f>
        <v>2</v>
      </c>
      <c r="B30" s="648" t="s">
        <v>83</v>
      </c>
      <c r="C30" s="2"/>
      <c r="D30" s="175"/>
      <c r="E30" s="175"/>
    </row>
    <row r="31" spans="1:9">
      <c r="B31" s="84"/>
      <c r="C31" s="2"/>
      <c r="E31" s="2"/>
    </row>
    <row r="32" spans="1:9">
      <c r="A32" s="122">
        <v>3</v>
      </c>
      <c r="B32" s="176" t="s">
        <v>689</v>
      </c>
      <c r="C32" s="2"/>
      <c r="E32" s="2"/>
    </row>
    <row r="33" spans="1:9">
      <c r="A33" s="174"/>
      <c r="B33" s="176"/>
      <c r="E33" s="2"/>
    </row>
    <row r="34" spans="1:9">
      <c r="A34" s="174"/>
      <c r="E34" s="2"/>
    </row>
    <row r="35" spans="1:9">
      <c r="A35" s="180"/>
      <c r="B35" s="2"/>
      <c r="G35" s="2"/>
    </row>
    <row r="36" spans="1:9">
      <c r="A36" s="180"/>
      <c r="B36" s="2"/>
      <c r="I36" s="445"/>
    </row>
  </sheetData>
  <customSheetViews>
    <customSheetView guid="{16940A0E-2B20-4241-BF05-A4686E5A0274}" scale="75" fitToPage="1" showRuler="0">
      <selection activeCell="D15" sqref="D15"/>
      <pageMargins left="0.5" right="0.5" top="1" bottom="1" header="0.5" footer="0.5"/>
      <printOptions horizontalCentered="1"/>
      <pageSetup scale="66" orientation="portrait" r:id="rId1"/>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2"/>
      <headerFooter alignWithMargins="0">
        <oddHeader>&amp;R&amp;12Page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4"/>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6"/>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8"/>
      <headerFooter alignWithMargins="0">
        <oddHeader>&amp;R&amp;12Page &amp;P of &amp;N</oddHeader>
      </headerFooter>
    </customSheetView>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84"/>
  <sheetViews>
    <sheetView view="pageBreakPreview" zoomScale="66" zoomScaleNormal="65" zoomScaleSheetLayoutView="66" workbookViewId="0">
      <selection activeCell="J26" sqref="J26"/>
    </sheetView>
  </sheetViews>
  <sheetFormatPr defaultColWidth="9.140625" defaultRowHeight="12.75"/>
  <cols>
    <col min="1" max="1" width="9.42578125" style="309" bestFit="1" customWidth="1"/>
    <col min="2" max="2" width="3" style="309" customWidth="1"/>
    <col min="3" max="3" width="53.140625" style="309" customWidth="1"/>
    <col min="4" max="4" width="36.5703125" style="309" customWidth="1"/>
    <col min="5" max="5" width="36.140625" style="309" customWidth="1"/>
    <col min="6" max="6" width="3.85546875" style="309" customWidth="1"/>
    <col min="7" max="7" width="20.42578125" style="309" customWidth="1"/>
    <col min="8" max="16384" width="9.140625" style="309"/>
  </cols>
  <sheetData>
    <row r="1" spans="1:7" ht="18">
      <c r="A1" s="1980" t="str">
        <f>+'ATT H-1 '!A3</f>
        <v xml:space="preserve">Puget Sound Energy </v>
      </c>
      <c r="B1" s="1980"/>
      <c r="C1" s="1980"/>
      <c r="D1" s="1980"/>
      <c r="E1" s="1980"/>
      <c r="F1" s="1980"/>
      <c r="G1" s="1980"/>
    </row>
    <row r="2" spans="1:7">
      <c r="A2" s="152"/>
      <c r="B2"/>
      <c r="C2"/>
      <c r="D2" s="114"/>
    </row>
    <row r="3" spans="1:7" ht="15.75">
      <c r="A3" s="1984" t="s">
        <v>351</v>
      </c>
      <c r="B3" s="1984"/>
      <c r="C3" s="1984"/>
      <c r="D3" s="1984"/>
      <c r="E3" s="1984"/>
      <c r="F3" s="1984"/>
      <c r="G3" s="1984"/>
    </row>
    <row r="9" spans="1:7" s="252" customFormat="1" ht="15">
      <c r="A9" s="251" t="s">
        <v>761</v>
      </c>
      <c r="B9" s="251"/>
      <c r="C9" s="252" t="s">
        <v>599</v>
      </c>
      <c r="E9" s="252" t="str">
        <f>"Line "&amp;A29&amp;" + Line "&amp;A51&amp;""</f>
        <v>Line 12 + Line 23</v>
      </c>
      <c r="G9" s="253">
        <f>+G29+G51</f>
        <v>110836603.43434328</v>
      </c>
    </row>
    <row r="10" spans="1:7" s="252" customFormat="1" ht="15">
      <c r="A10" s="251"/>
      <c r="B10" s="251"/>
    </row>
    <row r="11" spans="1:7" s="252" customFormat="1" ht="15">
      <c r="A11" s="251" t="s">
        <v>851</v>
      </c>
      <c r="B11" s="251"/>
      <c r="C11" s="252" t="str">
        <f>G11*10000&amp;" Basis Point increase in ROE"</f>
        <v>100 Basis Point increase in ROE</v>
      </c>
      <c r="G11" s="254">
        <v>0.01</v>
      </c>
    </row>
    <row r="12" spans="1:7" s="252" customFormat="1" ht="15">
      <c r="A12" s="251"/>
      <c r="B12" s="251"/>
      <c r="G12" s="254"/>
    </row>
    <row r="13" spans="1:7" s="252" customFormat="1" ht="15.75">
      <c r="A13" s="332" t="s">
        <v>655</v>
      </c>
      <c r="B13" s="255"/>
      <c r="C13" s="255"/>
      <c r="D13" s="255"/>
      <c r="E13" s="255"/>
      <c r="F13" s="255"/>
      <c r="G13" s="255"/>
    </row>
    <row r="14" spans="1:7" s="252" customFormat="1" ht="15">
      <c r="A14" s="251">
        <v>1</v>
      </c>
      <c r="C14" s="256" t="s">
        <v>837</v>
      </c>
      <c r="E14" s="256" t="str">
        <f>"Attachment H-1, Line "&amp;'ATT H-1 '!A102&amp;""</f>
        <v>Attachment H-1, Line 59</v>
      </c>
      <c r="G14" s="253">
        <f>+'ATT H-1 '!H102</f>
        <v>1241595401.7609148</v>
      </c>
    </row>
    <row r="15" spans="1:7" s="252" customFormat="1" ht="15">
      <c r="F15" s="256"/>
      <c r="G15" s="257"/>
    </row>
    <row r="16" spans="1:7" s="252" customFormat="1" ht="15">
      <c r="A16" s="258">
        <f>A14+1</f>
        <v>2</v>
      </c>
      <c r="B16" s="258"/>
      <c r="C16" s="259" t="s">
        <v>908</v>
      </c>
      <c r="D16" s="194"/>
      <c r="E16" s="260" t="str">
        <f>"Attachment H-1, Line "&amp;'ATT H-1 '!A203&amp;""</f>
        <v>Attachment H-1, Line 126</v>
      </c>
      <c r="F16" s="261"/>
      <c r="G16" s="262">
        <f>+'ATT H-1 '!H203</f>
        <v>0.51276307152179434</v>
      </c>
    </row>
    <row r="17" spans="1:7" s="252" customFormat="1" ht="15">
      <c r="A17" s="258">
        <f>A16+1</f>
        <v>3</v>
      </c>
      <c r="B17" s="258"/>
      <c r="C17" s="259" t="s">
        <v>915</v>
      </c>
      <c r="D17" s="194"/>
      <c r="E17" s="260" t="str">
        <f>"Attachment H-1, Line "&amp;'ATT H-1 '!A204&amp;""</f>
        <v>Attachment H-1, Line 127</v>
      </c>
      <c r="F17" s="261"/>
      <c r="G17" s="262">
        <f>+'ATT H-1 '!H204</f>
        <v>0</v>
      </c>
    </row>
    <row r="18" spans="1:7" s="252" customFormat="1" ht="15">
      <c r="A18" s="258">
        <f>A17+1</f>
        <v>4</v>
      </c>
      <c r="B18" s="258"/>
      <c r="C18" s="259" t="s">
        <v>909</v>
      </c>
      <c r="D18" s="194"/>
      <c r="E18" s="260" t="str">
        <f>"Attachment H-1, Line "&amp;'ATT H-1 '!A205&amp;""</f>
        <v>Attachment H-1, Line 128</v>
      </c>
      <c r="F18" s="261"/>
      <c r="G18" s="262">
        <f>+'ATT H-1 '!H205</f>
        <v>0.48723692847820566</v>
      </c>
    </row>
    <row r="19" spans="1:7" s="252" customFormat="1" ht="15">
      <c r="A19" s="258"/>
      <c r="B19" s="258"/>
      <c r="C19" s="263"/>
      <c r="D19" s="261"/>
      <c r="E19" s="260"/>
      <c r="F19" s="261"/>
      <c r="G19" s="264"/>
    </row>
    <row r="20" spans="1:7" s="252" customFormat="1" ht="15">
      <c r="A20" s="258">
        <f>A18+1</f>
        <v>5</v>
      </c>
      <c r="B20" s="258"/>
      <c r="C20" s="263" t="s">
        <v>910</v>
      </c>
      <c r="D20" s="194"/>
      <c r="E20" s="260" t="str">
        <f>"Attachment H-1, Line "&amp;'ATT H-1 '!A208&amp;""</f>
        <v>Attachment H-1, Line 129</v>
      </c>
      <c r="F20" s="261"/>
      <c r="G20" s="329">
        <f>+'ATT H-1 '!H208</f>
        <v>5.2069531043517386E-2</v>
      </c>
    </row>
    <row r="21" spans="1:7" s="252" customFormat="1" ht="15">
      <c r="A21" s="258">
        <f>A20+1</f>
        <v>6</v>
      </c>
      <c r="B21" s="258"/>
      <c r="C21" s="263" t="s">
        <v>916</v>
      </c>
      <c r="D21" s="194"/>
      <c r="E21" s="260" t="str">
        <f>"Attachment H-1, Line "&amp;'ATT H-1 '!A209&amp;""</f>
        <v>Attachment H-1, Line 130</v>
      </c>
      <c r="F21" s="261"/>
      <c r="G21" s="329">
        <f>+'ATT H-1 '!H209</f>
        <v>0</v>
      </c>
    </row>
    <row r="22" spans="1:7" s="252" customFormat="1" ht="15">
      <c r="A22" s="258">
        <f>A21+1</f>
        <v>7</v>
      </c>
      <c r="B22" s="258"/>
      <c r="C22" s="263" t="s">
        <v>911</v>
      </c>
      <c r="D22" s="256" t="s">
        <v>1084</v>
      </c>
      <c r="E22" s="260" t="str">
        <f>"Attachment H-1, Line "&amp;'ATT H-1 '!A210&amp;""</f>
        <v>Attachment H-1, Line 131</v>
      </c>
      <c r="F22" s="261"/>
      <c r="G22" s="329">
        <f>+'ATT H-1 '!H210+0.01</f>
        <v>0.108</v>
      </c>
    </row>
    <row r="23" spans="1:7" s="252" customFormat="1" ht="15">
      <c r="A23" s="258"/>
      <c r="B23" s="258"/>
      <c r="C23" s="263"/>
      <c r="D23" s="265"/>
      <c r="E23" s="261"/>
      <c r="F23" s="261"/>
      <c r="G23" s="266"/>
    </row>
    <row r="24" spans="1:7" s="252" customFormat="1" ht="15">
      <c r="A24" s="258">
        <f>A22+1</f>
        <v>8</v>
      </c>
      <c r="B24" s="258"/>
      <c r="C24" s="259" t="s">
        <v>912</v>
      </c>
      <c r="D24" s="194"/>
      <c r="E24" s="260" t="str">
        <f>"Attachment H-1, Line "&amp;'ATT H-1 '!A212&amp;""</f>
        <v>Attachment H-1, Line 132</v>
      </c>
      <c r="F24" s="267"/>
      <c r="G24" s="319">
        <f>+'ATT H-1 '!H212</f>
        <v>2.6699332670573398E-2</v>
      </c>
    </row>
    <row r="25" spans="1:7" s="252" customFormat="1" ht="15">
      <c r="A25" s="258">
        <f>A24+1</f>
        <v>9</v>
      </c>
      <c r="B25" s="258"/>
      <c r="C25" s="259" t="s">
        <v>942</v>
      </c>
      <c r="D25" s="194"/>
      <c r="E25" s="260" t="str">
        <f>"Attachment H-1, Line "&amp;'ATT H-1 '!A213&amp;""</f>
        <v>Attachment H-1, Line 133</v>
      </c>
      <c r="F25" s="268"/>
      <c r="G25" s="320">
        <f>+'ATT H-1 '!H213</f>
        <v>0</v>
      </c>
    </row>
    <row r="26" spans="1:7" s="252" customFormat="1" ht="15">
      <c r="A26" s="258">
        <f>A25+1</f>
        <v>10</v>
      </c>
      <c r="B26" s="269"/>
      <c r="C26" s="270" t="s">
        <v>913</v>
      </c>
      <c r="D26" s="201"/>
      <c r="E26" s="271" t="str">
        <f>"Line "&amp;A18&amp;" * Line "&amp;A22&amp;""</f>
        <v>Line 4 * Line 7</v>
      </c>
      <c r="F26" s="272"/>
      <c r="G26" s="273">
        <f>G22*G18</f>
        <v>5.2621588275646211E-2</v>
      </c>
    </row>
    <row r="27" spans="1:7" s="252" customFormat="1" ht="15.75">
      <c r="A27" s="258">
        <f>A26+1</f>
        <v>11</v>
      </c>
      <c r="B27" s="274" t="s">
        <v>745</v>
      </c>
      <c r="C27" s="274"/>
      <c r="D27" s="194"/>
      <c r="E27" s="260" t="str">
        <f>"Sum Lines "&amp;A24&amp;" to "&amp;A26&amp;""</f>
        <v>Sum Lines 8 to 10</v>
      </c>
      <c r="F27" s="275"/>
      <c r="G27" s="276">
        <f>SUM(G24:G26)</f>
        <v>7.9320920946219606E-2</v>
      </c>
    </row>
    <row r="28" spans="1:7" s="252" customFormat="1" ht="15.75">
      <c r="A28" s="277"/>
      <c r="B28" s="277"/>
      <c r="C28" s="274"/>
      <c r="D28" s="278"/>
      <c r="E28" s="279"/>
      <c r="F28" s="275"/>
      <c r="G28" s="276"/>
    </row>
    <row r="29" spans="1:7" s="252" customFormat="1" ht="16.5" thickBot="1">
      <c r="A29" s="258">
        <f>A27+1</f>
        <v>12</v>
      </c>
      <c r="B29" s="280" t="s">
        <v>816</v>
      </c>
      <c r="C29" s="281"/>
      <c r="D29" s="282"/>
      <c r="E29" s="281" t="str">
        <f>"Line "&amp;A27&amp;" * Line "&amp;A14&amp;""</f>
        <v>Line 11 * Line 1</v>
      </c>
      <c r="F29" s="283"/>
      <c r="G29" s="282">
        <f>+G27*G14</f>
        <v>98484490.71026729</v>
      </c>
    </row>
    <row r="30" spans="1:7" s="252" customFormat="1" ht="15.75" thickTop="1">
      <c r="A30" s="258"/>
      <c r="B30" s="258"/>
      <c r="C30" s="284"/>
      <c r="D30" s="251"/>
      <c r="E30" s="261"/>
      <c r="F30" s="261"/>
      <c r="G30" s="194"/>
    </row>
    <row r="31" spans="1:7" s="252" customFormat="1" ht="15.75">
      <c r="A31" s="333" t="s">
        <v>602</v>
      </c>
      <c r="B31" s="285"/>
      <c r="C31" s="286"/>
      <c r="D31" s="287"/>
      <c r="E31" s="255"/>
      <c r="F31" s="255"/>
      <c r="G31" s="288"/>
    </row>
    <row r="32" spans="1:7" s="252" customFormat="1" ht="15.75">
      <c r="A32" s="258"/>
      <c r="B32" s="289" t="s">
        <v>817</v>
      </c>
      <c r="C32" s="266"/>
      <c r="D32" s="264"/>
      <c r="E32" s="261"/>
      <c r="F32" s="290"/>
      <c r="G32" s="194"/>
    </row>
    <row r="33" spans="1:7" s="252" customFormat="1" ht="15">
      <c r="A33" s="258">
        <f>A29+1</f>
        <v>13</v>
      </c>
      <c r="B33" s="258"/>
      <c r="C33" s="266" t="s">
        <v>815</v>
      </c>
      <c r="D33" s="251"/>
      <c r="E33" s="252" t="str">
        <f>"Attachment H-1, Line "&amp;'ATT H-1 '!A222&amp;""</f>
        <v>Attachment H-1, Line 137</v>
      </c>
      <c r="F33" s="291"/>
      <c r="G33" s="292">
        <f>+'ATT H-1 '!H222</f>
        <v>0.21</v>
      </c>
    </row>
    <row r="34" spans="1:7" s="252" customFormat="1" ht="15">
      <c r="A34" s="258">
        <f>A33+1</f>
        <v>14</v>
      </c>
      <c r="B34" s="258"/>
      <c r="C34" s="291" t="s">
        <v>814</v>
      </c>
      <c r="D34" s="293"/>
      <c r="E34" s="252" t="str">
        <f>"Attachment H-1, Line "&amp;'ATT H-1 '!A223&amp;""</f>
        <v>Attachment H-1, Line 138</v>
      </c>
      <c r="F34" s="291"/>
      <c r="G34" s="292">
        <f>+'ATT H-1 '!H223</f>
        <v>0</v>
      </c>
    </row>
    <row r="35" spans="1:7" s="252" customFormat="1" ht="15">
      <c r="A35" s="258">
        <f>A34+1</f>
        <v>15</v>
      </c>
      <c r="B35" s="258"/>
      <c r="C35" s="291" t="s">
        <v>275</v>
      </c>
      <c r="D35" s="251"/>
      <c r="E35" s="252" t="str">
        <f>"Attachment H-1, Line "&amp;'ATT H-1 '!A224&amp;""</f>
        <v>Attachment H-1, Line 139</v>
      </c>
      <c r="F35" s="291"/>
      <c r="G35" s="292">
        <f>+'ATT H-1 '!H224</f>
        <v>0</v>
      </c>
    </row>
    <row r="36" spans="1:7" s="252" customFormat="1" ht="15">
      <c r="A36" s="258">
        <f>A35+1</f>
        <v>16</v>
      </c>
      <c r="B36" s="258"/>
      <c r="C36" s="291" t="s">
        <v>276</v>
      </c>
      <c r="D36" s="251"/>
      <c r="E36" s="252" t="str">
        <f>"Attachment H-1, Line "&amp;'ATT H-1 '!A225&amp;""</f>
        <v>Attachment H-1, Line 140</v>
      </c>
      <c r="F36" s="291"/>
      <c r="G36" s="292">
        <f>+'ATT H-1 '!H225</f>
        <v>0.20999999999999996</v>
      </c>
    </row>
    <row r="37" spans="1:7" s="252" customFormat="1" ht="15">
      <c r="A37" s="258">
        <f>A36+1</f>
        <v>17</v>
      </c>
      <c r="B37" s="258"/>
      <c r="C37" s="291" t="s">
        <v>886</v>
      </c>
      <c r="D37" s="251"/>
      <c r="E37" s="252" t="str">
        <f>"Attachment H-1, Line "&amp;'ATT H-1 '!A226&amp;""</f>
        <v>Attachment H-1, Line 141</v>
      </c>
      <c r="F37" s="291"/>
      <c r="G37" s="292">
        <f>+'ATT H-1 '!H226</f>
        <v>0.2658227848101265</v>
      </c>
    </row>
    <row r="38" spans="1:7" s="252" customFormat="1" ht="15">
      <c r="A38" s="258"/>
      <c r="B38" s="258"/>
      <c r="C38" s="266"/>
      <c r="D38" s="295"/>
      <c r="E38" s="296"/>
      <c r="F38" s="290"/>
      <c r="G38" s="294"/>
    </row>
    <row r="39" spans="1:7" s="252" customFormat="1" ht="15.75">
      <c r="A39" s="258"/>
      <c r="B39" s="289" t="s">
        <v>812</v>
      </c>
      <c r="C39" s="284"/>
      <c r="D39" s="293"/>
      <c r="E39" s="261"/>
      <c r="F39" s="290"/>
      <c r="G39" s="297"/>
    </row>
    <row r="40" spans="1:7" s="252" customFormat="1" ht="15">
      <c r="A40" s="258">
        <f>A37+1</f>
        <v>18</v>
      </c>
      <c r="B40" s="258"/>
      <c r="C40" s="284" t="s">
        <v>854</v>
      </c>
      <c r="D40" s="298"/>
      <c r="E40" s="252" t="str">
        <f>"Attachment H-1, Line "&amp;'ATT H-1 '!A229&amp;""</f>
        <v>Attachment H-1, Line 142</v>
      </c>
      <c r="G40" s="317">
        <f>+'ATT H-1 '!H229</f>
        <v>0</v>
      </c>
    </row>
    <row r="41" spans="1:7" s="252" customFormat="1" ht="15">
      <c r="A41" s="258">
        <f>A40+1</f>
        <v>19</v>
      </c>
      <c r="B41" s="258"/>
      <c r="C41" s="284" t="s">
        <v>277</v>
      </c>
      <c r="D41" s="194"/>
      <c r="E41" s="252" t="str">
        <f>"Attachment H-1, Line "&amp;'ATT H-1 '!A230&amp;""</f>
        <v>Attachment H-1, Line 143</v>
      </c>
      <c r="F41" s="290"/>
      <c r="G41" s="318">
        <f>+'ATT H-1 '!H230</f>
        <v>1.2658227848101264</v>
      </c>
    </row>
    <row r="42" spans="1:7" s="252" customFormat="1" ht="15.75">
      <c r="A42" s="258">
        <f>A41+1</f>
        <v>20</v>
      </c>
      <c r="B42" s="299"/>
      <c r="C42" s="300" t="s">
        <v>807</v>
      </c>
      <c r="D42" s="201"/>
      <c r="E42" s="271" t="str">
        <f>"Attachment H-1, Line "&amp;'ATT H-1 '!A231&amp;""</f>
        <v>Attachment H-1, Line 144</v>
      </c>
      <c r="F42" s="301"/>
      <c r="G42" s="318">
        <f>+'ATT H-1 '!H231</f>
        <v>0.21764846437236576</v>
      </c>
    </row>
    <row r="43" spans="1:7" s="252" customFormat="1" ht="15.75">
      <c r="A43" s="258">
        <f>A42+1</f>
        <v>21</v>
      </c>
      <c r="B43" s="258"/>
      <c r="C43" s="302" t="s">
        <v>813</v>
      </c>
      <c r="D43" s="303"/>
      <c r="E43" s="252" t="str">
        <f>"Attachment H-1, Line "&amp;'ATT H-1 '!A232&amp;""</f>
        <v>Attachment H-1, Line 145</v>
      </c>
      <c r="F43" s="304"/>
      <c r="G43" s="305">
        <f>+'ATT H-1 '!H232</f>
        <v>0</v>
      </c>
    </row>
    <row r="44" spans="1:7" s="252" customFormat="1" ht="15.75">
      <c r="A44" s="258"/>
      <c r="B44" s="258"/>
      <c r="C44" s="306"/>
      <c r="D44" s="1873"/>
      <c r="F44" s="301"/>
      <c r="G44" s="1874"/>
    </row>
    <row r="45" spans="1:7" s="252" customFormat="1" ht="15.75">
      <c r="A45" s="1875"/>
      <c r="B45" s="48" t="s">
        <v>1256</v>
      </c>
      <c r="C45" s="1876"/>
      <c r="D45" s="25"/>
      <c r="E45" s="74"/>
      <c r="F45" s="328"/>
      <c r="G45" s="1877"/>
    </row>
    <row r="46" spans="1:7" s="252" customFormat="1" ht="15.75">
      <c r="A46" s="1878" t="s">
        <v>1257</v>
      </c>
      <c r="B46" s="23"/>
      <c r="C46" s="24" t="s">
        <v>1258</v>
      </c>
      <c r="D46" s="74"/>
      <c r="E46" s="1879" t="str">
        <f>"Attachment H-1, Line "&amp;'[6]ATT H-1 '!A235&amp;""</f>
        <v>Attachment H-1, Line 145a</v>
      </c>
      <c r="F46" s="1877"/>
      <c r="G46" s="1883">
        <f>'ATT H-1 '!H235</f>
        <v>-3962122.5756236343</v>
      </c>
    </row>
    <row r="47" spans="1:7" s="252" customFormat="1" ht="15.75">
      <c r="A47" s="1878" t="s">
        <v>1259</v>
      </c>
      <c r="B47" s="23"/>
      <c r="C47" s="24" t="s">
        <v>1260</v>
      </c>
      <c r="D47" s="25" t="s">
        <v>1261</v>
      </c>
      <c r="E47" s="326" t="s">
        <v>1262</v>
      </c>
      <c r="F47" s="1877"/>
      <c r="G47" s="1884">
        <f>G46*(1/(1-G36))</f>
        <v>-5015345.0324349795</v>
      </c>
    </row>
    <row r="48" spans="1:7" s="252" customFormat="1" ht="15.75">
      <c r="A48" s="1878"/>
      <c r="B48" s="1878"/>
      <c r="C48" s="1880"/>
      <c r="D48" s="1881"/>
      <c r="E48" s="1879"/>
      <c r="F48" s="1882"/>
      <c r="G48" s="1877"/>
    </row>
    <row r="49" spans="1:7" ht="15.75">
      <c r="A49" s="258">
        <f>A43+1</f>
        <v>22</v>
      </c>
      <c r="B49" s="307" t="s">
        <v>267</v>
      </c>
      <c r="C49" s="252"/>
      <c r="D49" s="266"/>
      <c r="E49" s="194" t="str">
        <f>"Line "&amp;A37&amp;"*Line "&amp;A29&amp;"*(1-(Line "&amp;A24&amp;"/Line "&amp;A27&amp;"))"</f>
        <v>Line 17*Line 12*(1-(Line 8/Line 11))</v>
      </c>
      <c r="F49" s="266"/>
      <c r="G49" s="308">
        <f>+G37*G29*(1-(G24/G27))</f>
        <v>17367457.756510962</v>
      </c>
    </row>
    <row r="50" spans="1:7" ht="15.75">
      <c r="A50" s="258"/>
      <c r="B50" s="258"/>
      <c r="C50" s="259"/>
      <c r="D50" s="299"/>
      <c r="E50" s="301"/>
      <c r="F50" s="301"/>
      <c r="G50" s="310"/>
    </row>
    <row r="51" spans="1:7" ht="16.5" thickBot="1">
      <c r="A51" s="258">
        <f>A49+1</f>
        <v>23</v>
      </c>
      <c r="B51" s="280" t="s">
        <v>735</v>
      </c>
      <c r="C51" s="280"/>
      <c r="D51" s="311"/>
      <c r="E51" s="1885" t="s">
        <v>1263</v>
      </c>
      <c r="F51" s="312"/>
      <c r="G51" s="313">
        <f>+G49+G43+G47</f>
        <v>12352112.724075982</v>
      </c>
    </row>
    <row r="52" spans="1:7" ht="15.75" thickTop="1">
      <c r="A52" s="258"/>
      <c r="B52" s="258"/>
      <c r="C52" s="296"/>
      <c r="D52" s="251"/>
      <c r="E52" s="314"/>
      <c r="F52" s="315"/>
    </row>
    <row r="53" spans="1:7" ht="15">
      <c r="A53" s="258"/>
    </row>
    <row r="54" spans="1:7" ht="15">
      <c r="A54" s="258"/>
    </row>
    <row r="55" spans="1:7" ht="15">
      <c r="A55" s="258"/>
    </row>
    <row r="56" spans="1:7" ht="15">
      <c r="A56" s="258"/>
    </row>
    <row r="57" spans="1:7" ht="15">
      <c r="A57" s="258"/>
    </row>
    <row r="58" spans="1:7" ht="15">
      <c r="A58" s="258"/>
    </row>
    <row r="59" spans="1:7" ht="15">
      <c r="A59" s="258"/>
    </row>
    <row r="60" spans="1:7" ht="15">
      <c r="A60" s="258"/>
    </row>
    <row r="61" spans="1:7" ht="15">
      <c r="A61" s="258"/>
    </row>
    <row r="62" spans="1:7" ht="15">
      <c r="A62" s="258"/>
    </row>
    <row r="63" spans="1:7" ht="15">
      <c r="A63" s="258"/>
    </row>
    <row r="64" spans="1:7" ht="15">
      <c r="A64" s="258"/>
    </row>
    <row r="65" spans="1:1" ht="15">
      <c r="A65" s="258"/>
    </row>
    <row r="66" spans="1:1" ht="15">
      <c r="A66" s="258"/>
    </row>
    <row r="67" spans="1:1" ht="15">
      <c r="A67" s="258"/>
    </row>
    <row r="68" spans="1:1" ht="15">
      <c r="A68" s="258"/>
    </row>
    <row r="69" spans="1:1" ht="15">
      <c r="A69" s="258"/>
    </row>
    <row r="70" spans="1:1" ht="15">
      <c r="A70" s="258"/>
    </row>
    <row r="276" spans="1:5">
      <c r="A276" s="316"/>
      <c r="B276" s="316"/>
      <c r="C276" s="316"/>
      <c r="D276" s="316"/>
      <c r="E276" s="316"/>
    </row>
    <row r="277" spans="1:5">
      <c r="A277" s="316"/>
      <c r="B277" s="316"/>
      <c r="C277" s="316"/>
      <c r="D277" s="316"/>
      <c r="E277" s="316"/>
    </row>
    <row r="278" spans="1:5">
      <c r="A278" s="316"/>
      <c r="B278" s="316"/>
      <c r="C278" s="316"/>
      <c r="D278" s="316"/>
      <c r="E278" s="316"/>
    </row>
    <row r="279" spans="1:5">
      <c r="A279" s="316"/>
      <c r="B279" s="316"/>
      <c r="C279" s="316"/>
      <c r="D279" s="316"/>
      <c r="E279" s="316"/>
    </row>
    <row r="280" spans="1:5">
      <c r="A280" s="316"/>
      <c r="B280" s="316"/>
      <c r="C280" s="316"/>
      <c r="D280" s="316"/>
      <c r="E280" s="316"/>
    </row>
    <row r="281" spans="1:5">
      <c r="A281" s="316"/>
      <c r="B281" s="316"/>
      <c r="C281" s="316"/>
      <c r="D281" s="316"/>
      <c r="E281" s="316"/>
    </row>
    <row r="282" spans="1:5">
      <c r="A282" s="316"/>
      <c r="B282" s="316"/>
      <c r="C282" s="316"/>
      <c r="D282" s="316"/>
      <c r="E282" s="316"/>
    </row>
    <row r="283" spans="1:5">
      <c r="A283" s="316"/>
      <c r="B283" s="316"/>
      <c r="C283" s="316"/>
      <c r="D283" s="316"/>
      <c r="E283" s="316"/>
    </row>
    <row r="284" spans="1:5">
      <c r="A284" s="316"/>
      <c r="B284" s="316"/>
      <c r="C284" s="316"/>
      <c r="D284" s="316"/>
      <c r="E284" s="316"/>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272"/>
  <sheetViews>
    <sheetView zoomScale="75" zoomScaleNormal="75" zoomScaleSheetLayoutView="75" workbookViewId="0">
      <selection activeCell="E229" sqref="E229"/>
    </sheetView>
  </sheetViews>
  <sheetFormatPr defaultColWidth="9.140625" defaultRowHeight="12.75"/>
  <cols>
    <col min="1" max="1" width="6.42578125" style="189" customWidth="1"/>
    <col min="2" max="2" width="4.28515625" style="189" customWidth="1"/>
    <col min="3" max="3" width="52.140625" style="189" customWidth="1"/>
    <col min="4" max="4" width="27.85546875" style="189" customWidth="1"/>
    <col min="5" max="5" width="16" style="189" customWidth="1"/>
    <col min="6" max="6" width="21.28515625" style="189" customWidth="1"/>
    <col min="7" max="7" width="18.140625" style="189" customWidth="1"/>
    <col min="8" max="8" width="18.7109375" style="189" customWidth="1"/>
    <col min="9" max="10" width="17.28515625" style="189" customWidth="1"/>
    <col min="11" max="11" width="18.28515625" style="413" customWidth="1"/>
    <col min="12" max="12" width="18.85546875" style="413" customWidth="1"/>
    <col min="13" max="13" width="16.5703125" style="413" customWidth="1"/>
    <col min="14" max="14" width="15.140625" style="413" customWidth="1"/>
    <col min="15" max="15" width="11.5703125" style="189" customWidth="1"/>
    <col min="16" max="17" width="15.7109375" style="189" customWidth="1"/>
    <col min="18" max="18" width="4.140625" style="189" customWidth="1"/>
    <col min="19" max="19" width="23" style="189" customWidth="1"/>
    <col min="20" max="20" width="9.140625" style="189" customWidth="1"/>
    <col min="21" max="16384" width="9.140625" style="189"/>
  </cols>
  <sheetData>
    <row r="1" spans="1:19" ht="18">
      <c r="A1" s="1980" t="str">
        <f>+'ATT H-1 '!A3</f>
        <v xml:space="preserve">Puget Sound Energy </v>
      </c>
      <c r="B1" s="1980"/>
      <c r="C1" s="1980"/>
      <c r="D1" s="1980"/>
      <c r="E1" s="1980"/>
      <c r="F1" s="1980"/>
      <c r="G1" s="1980"/>
      <c r="H1" s="1980"/>
      <c r="I1" s="1980"/>
      <c r="J1" s="1980"/>
      <c r="K1" s="1980"/>
      <c r="L1" s="1980"/>
      <c r="M1" s="1980"/>
      <c r="N1" s="1980"/>
    </row>
    <row r="2" spans="1:19">
      <c r="A2" s="152"/>
      <c r="B2"/>
      <c r="C2"/>
      <c r="D2" s="114"/>
      <c r="E2" s="309"/>
      <c r="F2" s="309"/>
      <c r="G2" s="309"/>
      <c r="H2" s="309"/>
    </row>
    <row r="3" spans="1:19" ht="15.75">
      <c r="A3" s="1984" t="s">
        <v>352</v>
      </c>
      <c r="B3" s="1984"/>
      <c r="C3" s="1984"/>
      <c r="D3" s="1984"/>
      <c r="E3" s="1984"/>
      <c r="F3" s="1984"/>
      <c r="G3" s="1984"/>
      <c r="H3" s="1984"/>
      <c r="I3" s="1984"/>
      <c r="J3" s="1984"/>
      <c r="K3" s="1984"/>
      <c r="L3" s="1984"/>
      <c r="M3" s="1984"/>
      <c r="N3" s="1984"/>
    </row>
    <row r="6" spans="1:19" s="339" customFormat="1" ht="13.5" thickBot="1">
      <c r="A6" s="365" t="s">
        <v>182</v>
      </c>
      <c r="B6" s="366"/>
      <c r="C6" s="189"/>
      <c r="D6" s="189"/>
      <c r="E6" s="189"/>
      <c r="F6" s="189"/>
      <c r="G6" s="189"/>
      <c r="H6" s="189"/>
      <c r="K6" s="413"/>
      <c r="L6" s="413"/>
      <c r="M6" s="413"/>
      <c r="N6" s="413"/>
    </row>
    <row r="7" spans="1:19" s="339" customFormat="1">
      <c r="A7" s="1998" t="s">
        <v>1085</v>
      </c>
      <c r="B7" s="1999"/>
      <c r="C7" s="1999"/>
      <c r="D7" s="1999"/>
      <c r="E7" s="1999"/>
      <c r="F7" s="2000"/>
      <c r="G7" s="1225"/>
      <c r="H7" s="1226"/>
      <c r="I7" s="1227"/>
      <c r="J7" s="1227"/>
      <c r="K7" s="2001" t="s">
        <v>139</v>
      </c>
      <c r="L7" s="2001"/>
      <c r="M7" s="2001"/>
      <c r="N7" s="2002"/>
      <c r="O7" s="1095"/>
      <c r="P7" s="2004"/>
      <c r="Q7" s="2004"/>
      <c r="R7" s="1095"/>
      <c r="S7" s="1095"/>
    </row>
    <row r="8" spans="1:19" s="339" customFormat="1" ht="31.5">
      <c r="A8" s="349"/>
      <c r="B8" s="190"/>
      <c r="C8" s="1214" t="s">
        <v>594</v>
      </c>
      <c r="D8" s="211" t="s">
        <v>183</v>
      </c>
      <c r="E8" s="250"/>
      <c r="F8" s="1215" t="s">
        <v>474</v>
      </c>
      <c r="G8" s="1216" t="s">
        <v>973</v>
      </c>
      <c r="H8" s="1215" t="s">
        <v>437</v>
      </c>
      <c r="I8" s="1215" t="s">
        <v>438</v>
      </c>
      <c r="J8" s="1095"/>
      <c r="K8" s="1097"/>
      <c r="L8" s="1095"/>
      <c r="M8" s="1095"/>
      <c r="N8" s="1230"/>
      <c r="O8" s="1095"/>
      <c r="P8" s="95"/>
      <c r="Q8" s="95"/>
      <c r="R8" s="1095"/>
      <c r="S8" s="1095"/>
    </row>
    <row r="9" spans="1:19" s="339" customFormat="1" ht="15">
      <c r="A9" s="196"/>
      <c r="B9" s="190"/>
      <c r="C9" s="202" t="s">
        <v>644</v>
      </c>
      <c r="D9" s="444" t="s">
        <v>436</v>
      </c>
      <c r="E9" s="367">
        <v>2024</v>
      </c>
      <c r="F9" s="1447">
        <f>G9+H9+I9</f>
        <v>2032990461.5384614</v>
      </c>
      <c r="G9" s="1447">
        <f>'WKSHT5 - Plant in Service 13mo '!O160</f>
        <v>1838925692.3076923</v>
      </c>
      <c r="H9" s="1447">
        <f>'WKSHT5 - Plant in Service 13mo '!O161</f>
        <v>99262153.84615384</v>
      </c>
      <c r="I9" s="1447">
        <f>'WKSHT5 - Plant in Service 13mo '!O162</f>
        <v>94802615.384615391</v>
      </c>
      <c r="J9" s="1095"/>
      <c r="K9" s="1098"/>
      <c r="L9" s="1095"/>
      <c r="M9" s="1095"/>
      <c r="N9" s="1230"/>
      <c r="O9" s="1095"/>
      <c r="P9" s="1096"/>
      <c r="Q9" s="1097"/>
      <c r="R9" s="1098"/>
      <c r="S9" s="1095"/>
    </row>
    <row r="10" spans="1:19" s="339" customFormat="1">
      <c r="A10" s="196"/>
      <c r="B10" s="209"/>
      <c r="C10" s="198"/>
      <c r="D10" s="211"/>
      <c r="E10" s="209"/>
      <c r="F10" s="859"/>
      <c r="G10" s="198"/>
      <c r="H10" s="454"/>
      <c r="I10" s="717"/>
      <c r="J10" s="717"/>
      <c r="K10" s="1745"/>
      <c r="L10" s="340"/>
      <c r="M10" s="340"/>
      <c r="N10" s="748"/>
      <c r="O10" s="1095"/>
      <c r="P10" s="423"/>
      <c r="Q10" s="1095"/>
      <c r="R10" s="1095"/>
      <c r="S10" s="1095"/>
    </row>
    <row r="11" spans="1:19" s="339" customFormat="1">
      <c r="A11" s="349"/>
      <c r="B11" s="190"/>
      <c r="C11" s="1214" t="s">
        <v>593</v>
      </c>
      <c r="D11" s="211" t="s">
        <v>183</v>
      </c>
      <c r="E11" s="250"/>
      <c r="F11" s="863"/>
      <c r="G11" s="245"/>
      <c r="H11" s="1095"/>
      <c r="I11" s="457"/>
      <c r="J11" s="717"/>
      <c r="K11" s="716"/>
      <c r="L11" s="340"/>
      <c r="M11" s="340"/>
      <c r="N11" s="748"/>
      <c r="O11" s="1095"/>
      <c r="P11" s="707"/>
      <c r="Q11" s="1095"/>
      <c r="R11" s="1095"/>
      <c r="S11" s="1095"/>
    </row>
    <row r="12" spans="1:19" s="339" customFormat="1" ht="15">
      <c r="A12" s="196"/>
      <c r="B12" s="190"/>
      <c r="C12" s="202" t="s">
        <v>185</v>
      </c>
      <c r="D12" s="444" t="s">
        <v>592</v>
      </c>
      <c r="E12" s="367">
        <f>+E$9</f>
        <v>2024</v>
      </c>
      <c r="F12" s="1447">
        <v>5673043396</v>
      </c>
      <c r="G12" s="1557" t="s">
        <v>879</v>
      </c>
      <c r="H12" s="1095"/>
      <c r="I12" s="1095"/>
      <c r="J12" s="1217"/>
      <c r="K12" s="733"/>
      <c r="L12" s="340"/>
      <c r="M12" s="340"/>
      <c r="N12" s="748"/>
      <c r="O12" s="1095"/>
      <c r="P12" s="1096"/>
      <c r="Q12" s="423"/>
      <c r="R12" s="1096"/>
      <c r="S12" s="1095"/>
    </row>
    <row r="13" spans="1:19" s="339" customFormat="1">
      <c r="A13" s="196"/>
      <c r="B13" s="211"/>
      <c r="C13" s="1095"/>
      <c r="D13" s="211"/>
      <c r="E13" s="232"/>
      <c r="F13" s="431"/>
      <c r="G13" s="210"/>
      <c r="H13" s="210"/>
      <c r="I13" s="457"/>
      <c r="J13" s="457"/>
      <c r="K13" s="716"/>
      <c r="L13" s="340"/>
      <c r="M13" s="340"/>
      <c r="N13" s="748"/>
      <c r="O13" s="1095"/>
      <c r="P13" s="423"/>
      <c r="Q13" s="423"/>
      <c r="R13" s="423"/>
      <c r="S13" s="1095"/>
    </row>
    <row r="14" spans="1:19" s="339" customFormat="1">
      <c r="A14" s="196"/>
      <c r="B14" s="209"/>
      <c r="C14" s="198"/>
      <c r="D14" s="211"/>
      <c r="E14" s="209"/>
      <c r="F14" s="859"/>
      <c r="G14" s="198"/>
      <c r="H14" s="454"/>
      <c r="I14" s="717"/>
      <c r="J14" s="717"/>
      <c r="K14" s="716"/>
      <c r="L14" s="716"/>
      <c r="M14" s="716"/>
      <c r="N14" s="728"/>
      <c r="O14" s="1095"/>
      <c r="P14" s="423"/>
      <c r="Q14" s="423"/>
      <c r="R14" s="423"/>
      <c r="S14" s="334"/>
    </row>
    <row r="15" spans="1:19" s="339" customFormat="1">
      <c r="A15" s="349"/>
      <c r="B15" s="190"/>
      <c r="C15" s="1214" t="s">
        <v>186</v>
      </c>
      <c r="D15" s="211" t="s">
        <v>183</v>
      </c>
      <c r="E15" s="250"/>
      <c r="F15" s="860"/>
      <c r="G15" s="211"/>
      <c r="H15" s="211"/>
      <c r="I15" s="457"/>
      <c r="J15" s="457"/>
      <c r="K15" s="716"/>
      <c r="L15" s="716"/>
      <c r="M15" s="716"/>
      <c r="N15" s="728"/>
      <c r="O15" s="1095"/>
      <c r="P15" s="423"/>
      <c r="Q15" s="423"/>
      <c r="R15" s="423"/>
      <c r="S15" s="455"/>
    </row>
    <row r="16" spans="1:19" s="339" customFormat="1" ht="15">
      <c r="A16" s="196"/>
      <c r="B16" s="190"/>
      <c r="C16" s="202" t="s">
        <v>220</v>
      </c>
      <c r="D16" s="201" t="s">
        <v>583</v>
      </c>
      <c r="E16" s="367">
        <f>+E$9</f>
        <v>2024</v>
      </c>
      <c r="F16" s="1447">
        <v>191764391</v>
      </c>
      <c r="G16" s="210"/>
      <c r="H16" s="334"/>
      <c r="I16" s="717"/>
      <c r="J16" s="457"/>
      <c r="K16" s="733"/>
      <c r="L16" s="480"/>
      <c r="M16" s="480"/>
      <c r="N16" s="737"/>
      <c r="O16" s="1095"/>
      <c r="P16" s="744"/>
      <c r="Q16" s="716"/>
      <c r="R16" s="716"/>
      <c r="S16" s="738"/>
    </row>
    <row r="17" spans="1:19" s="339" customFormat="1">
      <c r="A17" s="196"/>
      <c r="B17" s="211"/>
      <c r="C17" s="1095"/>
      <c r="D17" s="211"/>
      <c r="E17" s="232"/>
      <c r="F17" s="431"/>
      <c r="G17" s="210"/>
      <c r="H17" s="455"/>
      <c r="I17" s="457"/>
      <c r="J17" s="1218"/>
      <c r="K17" s="716"/>
      <c r="L17" s="480"/>
      <c r="M17" s="480"/>
      <c r="N17" s="737"/>
      <c r="O17" s="1095"/>
      <c r="P17" s="453"/>
      <c r="Q17" s="452"/>
      <c r="R17" s="2014"/>
      <c r="S17" s="2014"/>
    </row>
    <row r="18" spans="1:19" s="339" customFormat="1">
      <c r="A18" s="349"/>
      <c r="B18" s="211"/>
      <c r="C18" s="240"/>
      <c r="D18" s="211"/>
      <c r="E18" s="250"/>
      <c r="F18" s="861"/>
      <c r="G18" s="240"/>
      <c r="H18" s="454"/>
      <c r="I18" s="717"/>
      <c r="J18" s="717"/>
      <c r="K18" s="716"/>
      <c r="L18" s="480"/>
      <c r="M18" s="480"/>
      <c r="N18" s="737"/>
      <c r="O18" s="1095"/>
      <c r="P18" s="453"/>
      <c r="Q18" s="452"/>
      <c r="R18" s="2014"/>
      <c r="S18" s="2014"/>
    </row>
    <row r="19" spans="1:19" s="339" customFormat="1">
      <c r="A19" s="349"/>
      <c r="B19" s="190"/>
      <c r="C19" s="1214" t="s">
        <v>221</v>
      </c>
      <c r="D19" s="211" t="s">
        <v>183</v>
      </c>
      <c r="E19" s="250"/>
      <c r="F19" s="860"/>
      <c r="G19" s="211"/>
      <c r="H19" s="211"/>
      <c r="I19" s="457"/>
      <c r="J19" s="457"/>
      <c r="K19" s="716"/>
      <c r="L19" s="716"/>
      <c r="M19" s="716"/>
      <c r="N19" s="728"/>
      <c r="O19" s="1095"/>
      <c r="P19" s="1093"/>
      <c r="Q19" s="452"/>
      <c r="R19" s="2014"/>
      <c r="S19" s="2014"/>
    </row>
    <row r="20" spans="1:19" s="339" customFormat="1" ht="15">
      <c r="A20" s="196"/>
      <c r="B20" s="190"/>
      <c r="C20" s="202" t="s">
        <v>222</v>
      </c>
      <c r="D20" s="201" t="s">
        <v>584</v>
      </c>
      <c r="E20" s="367">
        <f>+E$9</f>
        <v>2024</v>
      </c>
      <c r="F20" s="1447">
        <v>318009333</v>
      </c>
      <c r="G20" s="210"/>
      <c r="H20" s="334"/>
      <c r="I20" s="718"/>
      <c r="J20" s="457"/>
      <c r="K20" s="733"/>
      <c r="L20" s="483"/>
      <c r="M20" s="483"/>
      <c r="N20" s="729"/>
      <c r="O20" s="1095"/>
      <c r="P20" s="1095"/>
      <c r="Q20" s="1095"/>
      <c r="R20" s="1095"/>
      <c r="S20" s="1095"/>
    </row>
    <row r="21" spans="1:19" s="339" customFormat="1">
      <c r="A21" s="196"/>
      <c r="B21" s="211"/>
      <c r="C21" s="1095"/>
      <c r="D21" s="211"/>
      <c r="E21" s="232"/>
      <c r="F21" s="431"/>
      <c r="G21" s="210"/>
      <c r="H21" s="455"/>
      <c r="I21" s="457"/>
      <c r="J21" s="1218"/>
      <c r="K21" s="716"/>
      <c r="L21" s="716"/>
      <c r="M21" s="716"/>
      <c r="N21" s="728"/>
      <c r="O21" s="1095"/>
      <c r="P21" s="1095"/>
      <c r="Q21" s="1095"/>
      <c r="R21" s="1095"/>
      <c r="S21" s="1095"/>
    </row>
    <row r="22" spans="1:19" s="339" customFormat="1">
      <c r="A22" s="196"/>
      <c r="B22" s="190"/>
      <c r="C22" s="198"/>
      <c r="D22" s="368"/>
      <c r="E22" s="232"/>
      <c r="F22" s="862"/>
      <c r="G22" s="719"/>
      <c r="H22" s="211"/>
      <c r="I22" s="457"/>
      <c r="J22" s="457"/>
      <c r="K22" s="733"/>
      <c r="L22" s="483"/>
      <c r="M22" s="483"/>
      <c r="N22" s="729"/>
      <c r="O22" s="1095"/>
      <c r="P22" s="1095"/>
      <c r="Q22" s="1095"/>
      <c r="R22" s="1095"/>
      <c r="S22" s="1095"/>
    </row>
    <row r="23" spans="1:19" s="339" customFormat="1">
      <c r="A23" s="349"/>
      <c r="B23" s="190"/>
      <c r="C23" s="1214" t="s">
        <v>223</v>
      </c>
      <c r="D23" s="211" t="s">
        <v>183</v>
      </c>
      <c r="E23" s="250"/>
      <c r="F23" s="860"/>
      <c r="G23" s="211"/>
      <c r="H23" s="211"/>
      <c r="I23" s="457"/>
      <c r="J23" s="457"/>
      <c r="K23" s="716"/>
      <c r="L23" s="716"/>
      <c r="M23" s="716"/>
      <c r="N23" s="728"/>
      <c r="O23" s="1095"/>
      <c r="P23" s="1095"/>
      <c r="Q23" s="1095"/>
      <c r="R23" s="1095"/>
      <c r="S23" s="1095"/>
    </row>
    <row r="24" spans="1:19" s="339" customFormat="1" ht="15">
      <c r="A24" s="196"/>
      <c r="B24" s="190"/>
      <c r="C24" s="202" t="s">
        <v>224</v>
      </c>
      <c r="D24" s="444" t="s">
        <v>146</v>
      </c>
      <c r="E24" s="367">
        <f>+E$9</f>
        <v>2024</v>
      </c>
      <c r="F24" s="1448">
        <v>3958766215</v>
      </c>
      <c r="G24" s="210"/>
      <c r="H24" s="334"/>
      <c r="I24" s="718"/>
      <c r="J24" s="457"/>
      <c r="K24" s="733"/>
      <c r="L24" s="483"/>
      <c r="M24" s="480"/>
      <c r="N24" s="728"/>
      <c r="O24" s="1095"/>
      <c r="P24" s="1095"/>
      <c r="Q24" s="1095"/>
      <c r="R24" s="1095"/>
      <c r="S24" s="1095"/>
    </row>
    <row r="25" spans="1:19" s="339" customFormat="1">
      <c r="A25" s="196"/>
      <c r="B25" s="211"/>
      <c r="C25" s="1095"/>
      <c r="D25" s="211"/>
      <c r="E25" s="232"/>
      <c r="F25" s="431"/>
      <c r="G25" s="210"/>
      <c r="H25" s="455"/>
      <c r="I25" s="457"/>
      <c r="J25" s="1218"/>
      <c r="K25" s="716"/>
      <c r="L25" s="716"/>
      <c r="M25" s="480"/>
      <c r="N25" s="728"/>
      <c r="O25" s="1095"/>
      <c r="P25" s="1095"/>
      <c r="Q25" s="1095"/>
      <c r="R25" s="1095"/>
      <c r="S25" s="1095"/>
    </row>
    <row r="26" spans="1:19" s="339" customFormat="1">
      <c r="A26" s="196"/>
      <c r="B26" s="211"/>
      <c r="C26" s="198"/>
      <c r="D26" s="211"/>
      <c r="E26" s="209"/>
      <c r="F26" s="864"/>
      <c r="G26" s="720"/>
      <c r="H26" s="454"/>
      <c r="I26" s="717"/>
      <c r="J26" s="1219"/>
      <c r="K26" s="716"/>
      <c r="L26" s="716"/>
      <c r="M26" s="480"/>
      <c r="N26" s="728"/>
      <c r="O26" s="1095"/>
      <c r="P26" s="1095"/>
      <c r="Q26" s="1095"/>
      <c r="R26" s="1095"/>
      <c r="S26" s="1095"/>
    </row>
    <row r="27" spans="1:19" s="339" customFormat="1">
      <c r="A27" s="349"/>
      <c r="B27" s="211"/>
      <c r="C27" s="1088"/>
      <c r="D27" s="1220"/>
      <c r="E27" s="1089"/>
      <c r="F27" s="1221"/>
      <c r="G27" s="210"/>
      <c r="H27" s="210"/>
      <c r="I27" s="210"/>
      <c r="J27" s="210"/>
      <c r="K27" s="730"/>
      <c r="L27" s="716"/>
      <c r="M27" s="480"/>
      <c r="N27" s="728"/>
      <c r="O27" s="1095"/>
      <c r="P27" s="1095"/>
      <c r="Q27" s="1095"/>
      <c r="R27" s="1095"/>
      <c r="S27" s="1095"/>
    </row>
    <row r="28" spans="1:19" s="339" customFormat="1" ht="13.5" thickBot="1">
      <c r="A28" s="196"/>
      <c r="B28" s="190"/>
      <c r="C28" s="1090" t="s">
        <v>803</v>
      </c>
      <c r="D28" s="1091"/>
      <c r="E28" s="1222"/>
      <c r="F28" s="1092">
        <f>F$24+F$20+F$16+F$12+F$9</f>
        <v>12174573796.538462</v>
      </c>
      <c r="G28" s="454"/>
      <c r="H28" s="454"/>
      <c r="I28" s="454"/>
      <c r="J28" s="454"/>
      <c r="K28" s="798"/>
      <c r="L28" s="483"/>
      <c r="M28" s="483"/>
      <c r="N28" s="728"/>
      <c r="O28" s="1095"/>
      <c r="P28" s="1095"/>
      <c r="Q28" s="1095"/>
      <c r="R28" s="1095"/>
      <c r="S28" s="1095"/>
    </row>
    <row r="29" spans="1:19" s="339" customFormat="1" ht="13.5" thickTop="1">
      <c r="A29" s="196"/>
      <c r="B29" s="190"/>
      <c r="C29" s="369"/>
      <c r="D29" s="368"/>
      <c r="E29" s="232"/>
      <c r="F29" s="454"/>
      <c r="G29" s="454"/>
      <c r="H29" s="454"/>
      <c r="I29" s="454"/>
      <c r="J29" s="454"/>
      <c r="K29" s="798"/>
      <c r="L29" s="483"/>
      <c r="M29" s="483"/>
      <c r="N29" s="728"/>
      <c r="O29" s="1095"/>
      <c r="P29" s="1095"/>
      <c r="Q29" s="1095"/>
      <c r="R29" s="1095"/>
      <c r="S29" s="1095"/>
    </row>
    <row r="30" spans="1:19" s="339" customFormat="1" ht="25.5">
      <c r="A30" s="196"/>
      <c r="B30" s="190"/>
      <c r="C30" s="369" t="s">
        <v>552</v>
      </c>
      <c r="D30" s="444" t="s">
        <v>553</v>
      </c>
      <c r="E30" s="367">
        <f>E24</f>
        <v>2024</v>
      </c>
      <c r="F30" s="1223" t="s">
        <v>972</v>
      </c>
      <c r="G30" s="1224" t="s">
        <v>556</v>
      </c>
      <c r="H30" s="1223" t="s">
        <v>971</v>
      </c>
      <c r="I30" s="454"/>
      <c r="J30" s="454"/>
      <c r="K30" s="798"/>
      <c r="L30" s="483"/>
      <c r="M30" s="483"/>
      <c r="N30" s="728"/>
      <c r="O30" s="1096"/>
      <c r="P30" s="733"/>
      <c r="Q30" s="1095"/>
      <c r="R30" s="1095"/>
      <c r="S30" s="1095"/>
    </row>
    <row r="31" spans="1:19" s="339" customFormat="1">
      <c r="A31" s="196"/>
      <c r="B31" s="190"/>
      <c r="C31" s="720" t="s">
        <v>554</v>
      </c>
      <c r="D31" s="368"/>
      <c r="E31" s="232"/>
      <c r="F31" s="1447">
        <v>998987238</v>
      </c>
      <c r="G31" s="1843">
        <v>0.65569999999999995</v>
      </c>
      <c r="H31" s="454">
        <f>F31*G31</f>
        <v>655035931.95659995</v>
      </c>
      <c r="I31" s="454"/>
      <c r="J31" s="454"/>
      <c r="K31" s="798"/>
      <c r="L31" s="483"/>
      <c r="M31" s="483"/>
      <c r="N31" s="728"/>
      <c r="O31" s="423"/>
      <c r="P31" s="716"/>
      <c r="Q31" s="1095"/>
      <c r="R31" s="1095"/>
      <c r="S31" s="1095"/>
    </row>
    <row r="32" spans="1:19" s="339" customFormat="1">
      <c r="A32" s="196"/>
      <c r="B32" s="190"/>
      <c r="C32" s="340"/>
      <c r="D32" s="340"/>
      <c r="E32" s="340"/>
      <c r="F32" s="340"/>
      <c r="G32" s="340"/>
      <c r="H32" s="340"/>
      <c r="I32" s="454"/>
      <c r="J32" s="454"/>
      <c r="K32" s="798"/>
      <c r="L32" s="483"/>
      <c r="M32" s="483"/>
      <c r="N32" s="728"/>
      <c r="O32" s="1094"/>
      <c r="P32" s="716"/>
      <c r="Q32" s="1095"/>
      <c r="R32" s="1095"/>
      <c r="S32" s="1095"/>
    </row>
    <row r="33" spans="1:19" s="339" customFormat="1" ht="13.5" thickBot="1">
      <c r="A33" s="205"/>
      <c r="B33" s="206"/>
      <c r="C33" s="207"/>
      <c r="D33" s="371"/>
      <c r="E33" s="235"/>
      <c r="F33" s="207"/>
      <c r="G33" s="207"/>
      <c r="H33" s="456"/>
      <c r="I33" s="721"/>
      <c r="J33" s="347"/>
      <c r="K33" s="731"/>
      <c r="L33" s="731"/>
      <c r="M33" s="731"/>
      <c r="N33" s="732"/>
      <c r="O33" s="344"/>
      <c r="P33" s="716"/>
      <c r="Q33" s="1095"/>
      <c r="R33" s="1095"/>
      <c r="S33" s="1095"/>
    </row>
    <row r="34" spans="1:19" s="339" customFormat="1">
      <c r="A34" s="209"/>
      <c r="B34" s="197"/>
      <c r="C34" s="198"/>
      <c r="D34" s="191"/>
      <c r="E34" s="209"/>
      <c r="F34" s="198"/>
      <c r="G34" s="198"/>
      <c r="H34" s="370"/>
      <c r="I34" s="436"/>
      <c r="J34" s="436"/>
      <c r="K34" s="716"/>
      <c r="L34" s="716"/>
      <c r="M34" s="716"/>
      <c r="N34" s="716"/>
      <c r="O34" s="1095"/>
      <c r="P34" s="1095"/>
      <c r="Q34" s="1095"/>
      <c r="R34" s="1095"/>
      <c r="S34" s="1095"/>
    </row>
    <row r="35" spans="1:19" s="339" customFormat="1" ht="13.5" thickBot="1">
      <c r="A35" s="365" t="s">
        <v>225</v>
      </c>
      <c r="B35" s="189"/>
      <c r="C35" s="189"/>
      <c r="D35" s="189"/>
      <c r="E35" s="189"/>
      <c r="F35" s="189"/>
      <c r="G35" s="189"/>
      <c r="H35" s="189"/>
      <c r="K35" s="413"/>
      <c r="L35" s="413"/>
      <c r="M35" s="413"/>
      <c r="N35" s="413"/>
      <c r="O35" s="1095"/>
      <c r="P35" s="1095"/>
      <c r="Q35" s="1095"/>
      <c r="R35" s="1095"/>
      <c r="S35" s="1095"/>
    </row>
    <row r="36" spans="1:19" s="339" customFormat="1">
      <c r="A36" s="1998" t="s">
        <v>1085</v>
      </c>
      <c r="B36" s="1999"/>
      <c r="C36" s="1999"/>
      <c r="D36" s="1999"/>
      <c r="E36" s="1999"/>
      <c r="F36" s="2000"/>
      <c r="G36" s="1225"/>
      <c r="H36" s="921"/>
      <c r="I36" s="1227"/>
      <c r="J36" s="1227"/>
      <c r="K36" s="2001" t="s">
        <v>139</v>
      </c>
      <c r="L36" s="2001"/>
      <c r="M36" s="2001"/>
      <c r="N36" s="2002"/>
      <c r="O36" s="1095"/>
      <c r="P36" s="1095"/>
      <c r="Q36" s="1095"/>
      <c r="R36" s="1095"/>
      <c r="S36" s="1095"/>
    </row>
    <row r="37" spans="1:19" s="339" customFormat="1" ht="31.5">
      <c r="A37" s="349"/>
      <c r="B37" s="190"/>
      <c r="C37" s="1214" t="s">
        <v>595</v>
      </c>
      <c r="D37" s="211" t="s">
        <v>183</v>
      </c>
      <c r="E37" s="250"/>
      <c r="F37" s="1215" t="s">
        <v>474</v>
      </c>
      <c r="G37" s="1216" t="s">
        <v>973</v>
      </c>
      <c r="H37" s="1215" t="s">
        <v>437</v>
      </c>
      <c r="I37" s="1215" t="s">
        <v>438</v>
      </c>
      <c r="J37" s="1095"/>
      <c r="K37" s="1095"/>
      <c r="L37" s="716"/>
      <c r="M37" s="716"/>
      <c r="N37" s="728"/>
      <c r="O37" s="1095"/>
      <c r="P37" s="95"/>
      <c r="Q37" s="95"/>
      <c r="R37" s="1095"/>
      <c r="S37" s="1095"/>
    </row>
    <row r="38" spans="1:19" s="339" customFormat="1" ht="15">
      <c r="A38" s="196"/>
      <c r="B38" s="190"/>
      <c r="C38" s="200" t="s">
        <v>184</v>
      </c>
      <c r="D38" s="444" t="s">
        <v>436</v>
      </c>
      <c r="E38" s="367">
        <f>+E$9</f>
        <v>2024</v>
      </c>
      <c r="F38" s="1447">
        <f>G38+H38+I38</f>
        <v>704529881.86769235</v>
      </c>
      <c r="G38" s="1447">
        <f>'WKSHT5 - Plant in Service 13mo '!O321</f>
        <v>574003958.79076922</v>
      </c>
      <c r="H38" s="1447">
        <f>'WKSHT5 - Plant in Service 13mo '!O322</f>
        <v>77926153.84615384</v>
      </c>
      <c r="I38" s="1447">
        <f>'WKSHT5 - Plant in Service 13mo '!O323</f>
        <v>52599769.230769232</v>
      </c>
      <c r="J38" s="1095"/>
      <c r="K38" s="1095"/>
      <c r="L38" s="733"/>
      <c r="M38" s="733"/>
      <c r="N38" s="739"/>
      <c r="O38" s="1095"/>
      <c r="P38" s="1096"/>
      <c r="Q38" s="1096"/>
      <c r="R38" s="1095"/>
      <c r="S38" s="1095"/>
    </row>
    <row r="39" spans="1:19" s="339" customFormat="1">
      <c r="A39" s="196"/>
      <c r="B39" s="211"/>
      <c r="C39" s="202" t="s">
        <v>281</v>
      </c>
      <c r="D39" s="211"/>
      <c r="E39" s="232"/>
      <c r="F39" s="431"/>
      <c r="G39" s="210"/>
      <c r="H39" s="210"/>
      <c r="I39" s="210"/>
      <c r="J39" s="210"/>
      <c r="K39" s="730"/>
      <c r="L39" s="716"/>
      <c r="M39" s="716"/>
      <c r="N39" s="728"/>
      <c r="O39" s="1095"/>
      <c r="P39" s="1099"/>
      <c r="Q39" s="1099"/>
      <c r="R39" s="1095"/>
      <c r="S39" s="1095"/>
    </row>
    <row r="40" spans="1:19" s="339" customFormat="1">
      <c r="A40" s="196"/>
      <c r="B40" s="209"/>
      <c r="C40" s="198"/>
      <c r="D40" s="211"/>
      <c r="E40" s="209"/>
      <c r="F40" s="859"/>
      <c r="G40" s="198"/>
      <c r="H40" s="454"/>
      <c r="I40" s="717"/>
      <c r="J40" s="344"/>
      <c r="K40" s="716"/>
      <c r="L40" s="716"/>
      <c r="M40" s="716"/>
      <c r="N40" s="728"/>
      <c r="O40" s="1095"/>
      <c r="P40" s="1095"/>
      <c r="Q40" s="1095"/>
      <c r="R40" s="1095"/>
      <c r="S40" s="1095"/>
    </row>
    <row r="41" spans="1:19" s="339" customFormat="1" ht="15.75">
      <c r="A41" s="196"/>
      <c r="B41" s="209"/>
      <c r="C41" s="198"/>
      <c r="D41" s="211"/>
      <c r="E41" s="209"/>
      <c r="F41" s="859"/>
      <c r="G41" s="198"/>
      <c r="H41" s="454"/>
      <c r="I41" s="717"/>
      <c r="J41" s="344"/>
      <c r="K41" s="716"/>
      <c r="L41" s="716"/>
      <c r="M41" s="716"/>
      <c r="N41" s="728"/>
      <c r="O41" s="1095"/>
      <c r="P41" s="95"/>
      <c r="Q41" s="95"/>
      <c r="R41" s="1095"/>
      <c r="S41" s="1095"/>
    </row>
    <row r="42" spans="1:19" s="339" customFormat="1">
      <c r="A42" s="349"/>
      <c r="B42" s="190"/>
      <c r="C42" s="1214" t="s">
        <v>597</v>
      </c>
      <c r="D42" s="211" t="s">
        <v>183</v>
      </c>
      <c r="E42" s="250"/>
      <c r="F42" s="863"/>
      <c r="G42" s="245"/>
      <c r="H42" s="245"/>
      <c r="I42" s="457"/>
      <c r="J42" s="344"/>
      <c r="K42" s="716"/>
      <c r="L42" s="716"/>
      <c r="M42" s="716"/>
      <c r="N42" s="728"/>
      <c r="O42" s="1095"/>
      <c r="P42" s="423"/>
      <c r="Q42" s="423"/>
      <c r="R42" s="1095"/>
      <c r="S42" s="1095"/>
    </row>
    <row r="43" spans="1:19" s="339" customFormat="1" ht="15">
      <c r="A43" s="196"/>
      <c r="B43" s="190"/>
      <c r="C43" s="200" t="s">
        <v>184</v>
      </c>
      <c r="D43" s="444" t="s">
        <v>596</v>
      </c>
      <c r="E43" s="367">
        <f>+E$9</f>
        <v>2024</v>
      </c>
      <c r="F43" s="1447">
        <v>2137283129</v>
      </c>
      <c r="G43" s="1557" t="s">
        <v>880</v>
      </c>
      <c r="H43" s="455"/>
      <c r="I43" s="1095"/>
      <c r="J43" s="457"/>
      <c r="K43" s="733"/>
      <c r="L43" s="733"/>
      <c r="M43" s="733"/>
      <c r="N43" s="739"/>
      <c r="O43" s="1095"/>
      <c r="P43" s="1095"/>
      <c r="Q43" s="1095"/>
      <c r="R43" s="1095"/>
      <c r="S43" s="1096"/>
    </row>
    <row r="44" spans="1:19" s="339" customFormat="1">
      <c r="A44" s="196"/>
      <c r="B44" s="211"/>
      <c r="C44" s="202" t="s">
        <v>226</v>
      </c>
      <c r="D44" s="211"/>
      <c r="E44" s="232"/>
      <c r="F44" s="431"/>
      <c r="G44" s="210"/>
      <c r="H44" s="210"/>
      <c r="I44" s="857"/>
      <c r="J44" s="344"/>
      <c r="K44" s="716"/>
      <c r="L44" s="716"/>
      <c r="M44" s="716"/>
      <c r="N44" s="728"/>
      <c r="O44" s="455"/>
      <c r="P44" s="1095"/>
      <c r="Q44" s="1095"/>
      <c r="R44" s="1098"/>
      <c r="S44" s="1095"/>
    </row>
    <row r="45" spans="1:19" s="339" customFormat="1">
      <c r="A45" s="196"/>
      <c r="B45" s="209"/>
      <c r="C45" s="198"/>
      <c r="D45" s="211"/>
      <c r="E45" s="209"/>
      <c r="F45" s="859"/>
      <c r="G45" s="198"/>
      <c r="H45" s="454"/>
      <c r="I45" s="457"/>
      <c r="J45" s="344"/>
      <c r="K45" s="716"/>
      <c r="L45" s="716"/>
      <c r="M45" s="716"/>
      <c r="N45" s="728"/>
      <c r="O45" s="458"/>
      <c r="P45" s="1095"/>
      <c r="Q45" s="1095"/>
      <c r="R45" s="1095"/>
      <c r="S45" s="1095"/>
    </row>
    <row r="46" spans="1:19" s="339" customFormat="1">
      <c r="A46" s="349"/>
      <c r="B46" s="190"/>
      <c r="C46" s="1214" t="s">
        <v>227</v>
      </c>
      <c r="D46" s="211" t="s">
        <v>183</v>
      </c>
      <c r="E46" s="250"/>
      <c r="F46" s="860"/>
      <c r="G46" s="211"/>
      <c r="H46" s="211"/>
      <c r="I46" s="457"/>
      <c r="J46" s="344"/>
      <c r="K46" s="716"/>
      <c r="L46" s="716"/>
      <c r="M46" s="716"/>
      <c r="N46" s="728"/>
      <c r="O46" s="1095"/>
      <c r="P46" s="1095"/>
      <c r="Q46" s="1095"/>
      <c r="R46" s="1095"/>
      <c r="S46" s="1724"/>
    </row>
    <row r="47" spans="1:19" s="339" customFormat="1" ht="15">
      <c r="A47" s="196"/>
      <c r="B47" s="190"/>
      <c r="C47" s="200" t="s">
        <v>184</v>
      </c>
      <c r="D47" s="201" t="s">
        <v>897</v>
      </c>
      <c r="E47" s="367">
        <f>+E$9</f>
        <v>2024</v>
      </c>
      <c r="F47" s="1447">
        <v>65925780</v>
      </c>
      <c r="G47" s="210"/>
      <c r="H47" s="455"/>
      <c r="I47" s="457"/>
      <c r="J47" s="457"/>
      <c r="K47" s="733"/>
      <c r="L47" s="733"/>
      <c r="M47" s="733"/>
      <c r="N47" s="739"/>
      <c r="O47" s="1095"/>
      <c r="P47" s="1095"/>
      <c r="Q47" s="1097"/>
      <c r="R47" s="1095"/>
      <c r="S47" s="1724"/>
    </row>
    <row r="48" spans="1:19" s="339" customFormat="1">
      <c r="A48" s="196"/>
      <c r="B48" s="211"/>
      <c r="C48" s="202" t="s">
        <v>278</v>
      </c>
      <c r="D48" s="211"/>
      <c r="E48" s="232"/>
      <c r="F48" s="431"/>
      <c r="G48" s="210"/>
      <c r="H48" s="458"/>
      <c r="I48" s="457"/>
      <c r="J48" s="457"/>
      <c r="K48" s="716"/>
      <c r="L48" s="716"/>
      <c r="M48" s="716"/>
      <c r="N48" s="728"/>
      <c r="O48" s="455"/>
      <c r="P48" s="1095"/>
      <c r="Q48" s="1097"/>
      <c r="R48" s="1095"/>
      <c r="S48" s="1724"/>
    </row>
    <row r="49" spans="1:19" s="339" customFormat="1">
      <c r="A49" s="349"/>
      <c r="B49" s="211"/>
      <c r="C49" s="240"/>
      <c r="D49" s="211"/>
      <c r="E49" s="250"/>
      <c r="F49" s="861"/>
      <c r="G49" s="240"/>
      <c r="H49" s="454"/>
      <c r="I49" s="717"/>
      <c r="J49" s="1855"/>
      <c r="K49" s="716"/>
      <c r="L49" s="716"/>
      <c r="M49" s="716"/>
      <c r="N49" s="728"/>
      <c r="O49" s="458"/>
      <c r="P49" s="1097"/>
      <c r="Q49" s="1830"/>
      <c r="R49" s="1095"/>
      <c r="S49" s="1724"/>
    </row>
    <row r="50" spans="1:19" s="339" customFormat="1">
      <c r="A50" s="349"/>
      <c r="B50" s="190"/>
      <c r="C50" s="1214" t="s">
        <v>228</v>
      </c>
      <c r="D50" s="211" t="s">
        <v>183</v>
      </c>
      <c r="E50" s="250"/>
      <c r="F50" s="860"/>
      <c r="G50" s="1935"/>
      <c r="H50" s="211"/>
      <c r="I50" s="457"/>
      <c r="J50" s="1856"/>
      <c r="K50" s="716"/>
      <c r="L50" s="716"/>
      <c r="M50" s="716"/>
      <c r="N50" s="728"/>
      <c r="O50" s="1095"/>
      <c r="P50" s="1097"/>
      <c r="Q50" s="1097"/>
      <c r="R50" s="1095"/>
      <c r="S50" s="1095"/>
    </row>
    <row r="51" spans="1:19" s="339" customFormat="1" ht="15">
      <c r="A51" s="196"/>
      <c r="B51" s="190"/>
      <c r="C51" s="200" t="s">
        <v>184</v>
      </c>
      <c r="D51" s="201" t="s">
        <v>434</v>
      </c>
      <c r="E51" s="367">
        <f>+E$9</f>
        <v>2024</v>
      </c>
      <c r="F51" s="1447">
        <v>212736630</v>
      </c>
      <c r="G51" s="1936"/>
      <c r="H51" s="455"/>
      <c r="I51" s="457"/>
      <c r="J51" s="1856"/>
      <c r="K51" s="733"/>
      <c r="L51" s="733"/>
      <c r="M51" s="733"/>
      <c r="N51" s="739"/>
      <c r="O51" s="1095"/>
      <c r="P51" s="1097"/>
      <c r="Q51" s="1097"/>
      <c r="R51" s="1095"/>
      <c r="S51" s="1095"/>
    </row>
    <row r="52" spans="1:19" s="339" customFormat="1" ht="15">
      <c r="A52" s="196"/>
      <c r="B52" s="211"/>
      <c r="C52" s="202" t="s">
        <v>914</v>
      </c>
      <c r="D52" s="211"/>
      <c r="E52" s="232"/>
      <c r="F52" s="431"/>
      <c r="G52" s="1936"/>
      <c r="H52" s="458"/>
      <c r="I52" s="1856"/>
      <c r="J52" s="1856"/>
      <c r="K52" s="716"/>
      <c r="L52" s="423"/>
      <c r="M52" s="716"/>
      <c r="N52" s="728"/>
      <c r="O52" s="1095"/>
      <c r="P52" s="426"/>
      <c r="Q52" s="1097"/>
      <c r="R52" s="1095"/>
      <c r="S52" s="1095"/>
    </row>
    <row r="53" spans="1:19" s="339" customFormat="1">
      <c r="A53" s="196"/>
      <c r="B53" s="190"/>
      <c r="C53" s="198"/>
      <c r="D53" s="368"/>
      <c r="E53" s="232"/>
      <c r="F53" s="862"/>
      <c r="G53" s="1937"/>
      <c r="H53" s="211"/>
      <c r="I53" s="1856"/>
      <c r="J53" s="1856"/>
      <c r="K53" s="733"/>
      <c r="L53" s="1096"/>
      <c r="M53" s="733"/>
      <c r="N53" s="739"/>
      <c r="O53" s="1095"/>
      <c r="P53" s="1097"/>
      <c r="Q53" s="1097"/>
      <c r="R53" s="1095"/>
      <c r="S53" s="1095"/>
    </row>
    <row r="54" spans="1:19" s="339" customFormat="1">
      <c r="A54" s="349"/>
      <c r="B54" s="190"/>
      <c r="C54" s="1214" t="s">
        <v>229</v>
      </c>
      <c r="D54" s="211" t="s">
        <v>183</v>
      </c>
      <c r="E54" s="250"/>
      <c r="F54" s="860"/>
      <c r="G54" s="334"/>
      <c r="H54" s="211"/>
      <c r="I54" s="1856"/>
      <c r="J54" s="1856"/>
      <c r="K54" s="716"/>
      <c r="L54" s="423"/>
      <c r="M54" s="716"/>
      <c r="N54" s="728"/>
      <c r="O54" s="1095"/>
      <c r="P54" s="1097"/>
      <c r="Q54" s="1097"/>
      <c r="R54" s="1095"/>
      <c r="S54" s="1095"/>
    </row>
    <row r="55" spans="1:19" s="339" customFormat="1" ht="15">
      <c r="A55" s="196"/>
      <c r="B55" s="190"/>
      <c r="C55" s="200" t="s">
        <v>184</v>
      </c>
      <c r="D55" s="444" t="s">
        <v>145</v>
      </c>
      <c r="E55" s="367">
        <f>+E$9</f>
        <v>2024</v>
      </c>
      <c r="F55" s="1449">
        <f>976974950+289867698+1140452136</f>
        <v>2407294784</v>
      </c>
      <c r="G55" s="210"/>
      <c r="H55" s="455"/>
      <c r="I55" s="1946"/>
      <c r="J55" s="722"/>
      <c r="K55" s="1231"/>
      <c r="L55" s="1931"/>
      <c r="M55" s="738"/>
      <c r="N55" s="734"/>
      <c r="P55" s="1830"/>
      <c r="Q55" s="1097"/>
    </row>
    <row r="56" spans="1:19" s="339" customFormat="1">
      <c r="A56" s="196"/>
      <c r="B56" s="211"/>
      <c r="C56" s="202" t="s">
        <v>230</v>
      </c>
      <c r="D56" s="211"/>
      <c r="E56" s="232"/>
      <c r="F56" s="858"/>
      <c r="G56" s="210"/>
      <c r="H56" s="458"/>
      <c r="I56" s="457"/>
      <c r="J56" s="457"/>
      <c r="K56" s="716"/>
      <c r="L56" s="423"/>
      <c r="M56" s="738"/>
      <c r="N56" s="734"/>
      <c r="P56" s="1830"/>
      <c r="Q56" s="1830"/>
    </row>
    <row r="57" spans="1:19" s="339" customFormat="1">
      <c r="A57" s="196"/>
      <c r="B57" s="211"/>
      <c r="C57" s="198"/>
      <c r="D57" s="211"/>
      <c r="E57" s="209"/>
      <c r="F57" s="859"/>
      <c r="G57" s="210"/>
      <c r="H57" s="454"/>
      <c r="I57" s="717"/>
      <c r="J57" s="1219"/>
      <c r="K57" s="716"/>
      <c r="L57" s="423"/>
      <c r="M57" s="738"/>
      <c r="N57" s="734"/>
      <c r="P57" s="1830"/>
      <c r="Q57" s="1830"/>
    </row>
    <row r="58" spans="1:19" s="339" customFormat="1">
      <c r="A58" s="349"/>
      <c r="B58" s="211"/>
      <c r="C58" s="202"/>
      <c r="D58" s="1095"/>
      <c r="E58" s="232"/>
      <c r="F58" s="1232"/>
      <c r="G58" s="210"/>
      <c r="H58" s="210"/>
      <c r="I58" s="543"/>
      <c r="J58" s="210"/>
      <c r="K58" s="730"/>
      <c r="L58" s="798"/>
      <c r="M58" s="738"/>
      <c r="N58" s="734"/>
      <c r="P58" s="1830"/>
      <c r="Q58" s="1830"/>
    </row>
    <row r="59" spans="1:19" s="339" customFormat="1" ht="13.5" thickBot="1">
      <c r="A59" s="196"/>
      <c r="B59" s="190"/>
      <c r="C59" s="1090" t="s">
        <v>802</v>
      </c>
      <c r="D59" s="1233"/>
      <c r="E59" s="1222"/>
      <c r="F59" s="1092">
        <f>+F$55+F$51+F$47+F$43+F$38</f>
        <v>5527770204.867692</v>
      </c>
      <c r="G59" s="454"/>
      <c r="H59" s="454"/>
      <c r="I59" s="454"/>
      <c r="J59" s="454"/>
      <c r="K59" s="798"/>
      <c r="L59" s="733"/>
      <c r="M59" s="733"/>
      <c r="N59" s="734"/>
      <c r="P59" s="1830"/>
    </row>
    <row r="60" spans="1:19" s="339" customFormat="1" ht="13.5" thickTop="1">
      <c r="A60" s="196"/>
      <c r="B60" s="190"/>
      <c r="C60" s="369"/>
      <c r="D60" s="368"/>
      <c r="E60" s="232"/>
      <c r="F60" s="856"/>
      <c r="G60" s="454"/>
      <c r="H60" s="454"/>
      <c r="I60" s="454"/>
      <c r="J60" s="454"/>
      <c r="K60" s="798"/>
      <c r="L60" s="733"/>
      <c r="M60" s="733"/>
      <c r="N60" s="734"/>
    </row>
    <row r="61" spans="1:19" s="339" customFormat="1" ht="25.5">
      <c r="A61" s="196"/>
      <c r="B61" s="190"/>
      <c r="C61" s="369" t="s">
        <v>552</v>
      </c>
      <c r="D61" s="444" t="s">
        <v>553</v>
      </c>
      <c r="E61" s="367">
        <f>E55</f>
        <v>2024</v>
      </c>
      <c r="F61" s="1223" t="s">
        <v>972</v>
      </c>
      <c r="G61" s="1224" t="s">
        <v>556</v>
      </c>
      <c r="H61" s="1223" t="s">
        <v>971</v>
      </c>
      <c r="I61" s="454"/>
      <c r="J61" s="454"/>
      <c r="K61" s="798"/>
      <c r="L61" s="733"/>
      <c r="M61" s="733"/>
      <c r="N61" s="734"/>
    </row>
    <row r="62" spans="1:19" s="339" customFormat="1">
      <c r="A62" s="196"/>
      <c r="B62" s="190"/>
      <c r="C62" s="720" t="s">
        <v>555</v>
      </c>
      <c r="D62" s="368"/>
      <c r="E62" s="232"/>
      <c r="F62" s="1447">
        <v>454464709</v>
      </c>
      <c r="G62" s="1843">
        <f>G31</f>
        <v>0.65569999999999995</v>
      </c>
      <c r="H62" s="454">
        <f>F62*G62</f>
        <v>297992509.69129997</v>
      </c>
      <c r="I62" s="454"/>
      <c r="J62" s="454"/>
      <c r="K62" s="798"/>
      <c r="L62" s="733"/>
      <c r="M62" s="733"/>
      <c r="N62" s="734"/>
    </row>
    <row r="63" spans="1:19" s="339" customFormat="1" ht="13.5" thickBot="1">
      <c r="A63" s="345"/>
      <c r="B63" s="459"/>
      <c r="C63" s="346"/>
      <c r="D63" s="1234"/>
      <c r="E63" s="459"/>
      <c r="F63" s="346"/>
      <c r="G63" s="346"/>
      <c r="H63" s="460"/>
      <c r="I63" s="721"/>
      <c r="J63" s="721"/>
      <c r="K63" s="731"/>
      <c r="L63" s="731"/>
      <c r="M63" s="731"/>
      <c r="N63" s="732"/>
      <c r="P63" s="189"/>
    </row>
    <row r="64" spans="1:19" s="339" customFormat="1">
      <c r="A64" s="209"/>
      <c r="B64" s="209"/>
      <c r="C64" s="198"/>
      <c r="D64" s="211"/>
      <c r="E64" s="203"/>
      <c r="F64" s="198"/>
      <c r="G64" s="198"/>
      <c r="H64" s="210"/>
      <c r="I64" s="250"/>
      <c r="J64" s="250"/>
      <c r="K64" s="716"/>
      <c r="L64" s="716"/>
      <c r="M64" s="716"/>
      <c r="N64" s="716"/>
      <c r="P64" s="1666"/>
    </row>
    <row r="65" spans="1:18" s="339" customFormat="1" ht="13.5" thickBot="1">
      <c r="A65" s="365" t="s">
        <v>648</v>
      </c>
      <c r="B65" s="360"/>
      <c r="C65" s="234"/>
      <c r="D65" s="219"/>
      <c r="E65" s="1235"/>
      <c r="F65" s="1236"/>
      <c r="G65" s="1236"/>
      <c r="H65" s="1237"/>
      <c r="I65" s="1237"/>
      <c r="J65" s="1237"/>
      <c r="K65" s="1237"/>
      <c r="L65" s="1237"/>
      <c r="M65" s="1237"/>
      <c r="N65" s="1237"/>
      <c r="P65" s="1666"/>
    </row>
    <row r="66" spans="1:18" s="339" customFormat="1">
      <c r="A66" s="1993" t="s">
        <v>1085</v>
      </c>
      <c r="B66" s="1994"/>
      <c r="C66" s="1994"/>
      <c r="D66" s="1994"/>
      <c r="E66" s="1994"/>
      <c r="F66" s="2003"/>
      <c r="G66" s="920"/>
      <c r="H66" s="1238" t="s">
        <v>164</v>
      </c>
      <c r="I66" s="1239" t="s">
        <v>163</v>
      </c>
      <c r="J66" s="1239" t="s">
        <v>165</v>
      </c>
      <c r="K66" s="1239" t="s">
        <v>139</v>
      </c>
      <c r="L66" s="1239"/>
      <c r="M66" s="1240"/>
      <c r="N66" s="1241"/>
      <c r="P66" s="1666"/>
    </row>
    <row r="67" spans="1:18" s="339" customFormat="1">
      <c r="A67" s="218"/>
      <c r="B67" s="358" t="s">
        <v>841</v>
      </c>
      <c r="C67" s="219"/>
      <c r="D67" s="217"/>
      <c r="E67" s="362"/>
      <c r="F67" s="1242"/>
      <c r="G67" s="1243"/>
      <c r="H67" s="1243"/>
      <c r="I67" s="217"/>
      <c r="J67" s="217"/>
      <c r="K67" s="524"/>
      <c r="L67" s="524"/>
      <c r="M67" s="525"/>
      <c r="N67" s="526"/>
      <c r="P67" s="1666"/>
    </row>
    <row r="68" spans="1:18" s="339" customFormat="1">
      <c r="A68" s="214"/>
      <c r="B68" s="217"/>
      <c r="C68" s="359" t="s">
        <v>278</v>
      </c>
      <c r="D68" s="219"/>
      <c r="E68" s="360"/>
      <c r="F68" s="361" t="s">
        <v>231</v>
      </c>
      <c r="G68" s="360"/>
      <c r="H68" s="1938">
        <v>65925780</v>
      </c>
      <c r="I68" s="1939">
        <v>65925780</v>
      </c>
      <c r="J68" s="221">
        <f>H68-I68</f>
        <v>0</v>
      </c>
      <c r="K68" s="1244"/>
      <c r="L68" s="1244"/>
      <c r="M68" s="1245"/>
      <c r="N68" s="1246"/>
      <c r="P68" s="1666"/>
    </row>
    <row r="69" spans="1:18" s="339" customFormat="1">
      <c r="A69" s="214"/>
      <c r="B69" s="216" t="s">
        <v>792</v>
      </c>
      <c r="C69" s="215"/>
      <c r="D69" s="217"/>
      <c r="E69" s="362"/>
      <c r="F69" s="363"/>
      <c r="G69" s="432"/>
      <c r="H69" s="1243"/>
      <c r="I69" s="217"/>
      <c r="J69" s="217"/>
      <c r="K69" s="222"/>
      <c r="L69" s="222"/>
      <c r="M69" s="1247"/>
      <c r="N69" s="1248"/>
      <c r="O69" s="422"/>
      <c r="P69" s="1666"/>
    </row>
    <row r="70" spans="1:18" s="339" customFormat="1">
      <c r="A70" s="218"/>
      <c r="B70" s="217"/>
      <c r="C70" s="215" t="s">
        <v>809</v>
      </c>
      <c r="D70" s="219"/>
      <c r="E70" s="362"/>
      <c r="F70" s="220" t="s">
        <v>232</v>
      </c>
      <c r="G70" s="219"/>
      <c r="H70" s="1938">
        <v>0</v>
      </c>
      <c r="I70" s="1939">
        <v>0</v>
      </c>
      <c r="J70" s="221">
        <f>+H70-I70</f>
        <v>0</v>
      </c>
      <c r="K70" s="1249"/>
      <c r="L70" s="1249"/>
      <c r="M70" s="1245"/>
      <c r="N70" s="1246"/>
      <c r="O70" s="423"/>
      <c r="P70" s="184"/>
    </row>
    <row r="71" spans="1:18" s="339" customFormat="1">
      <c r="A71" s="218"/>
      <c r="B71" s="216" t="s">
        <v>753</v>
      </c>
      <c r="C71" s="215"/>
      <c r="D71" s="219"/>
      <c r="E71" s="362"/>
      <c r="F71" s="220"/>
      <c r="G71" s="219"/>
      <c r="H71" s="1243"/>
      <c r="I71" s="217"/>
      <c r="J71" s="217"/>
      <c r="K71" s="524"/>
      <c r="L71" s="524"/>
      <c r="M71" s="524"/>
      <c r="N71" s="527"/>
      <c r="O71" s="1094"/>
      <c r="P71" s="184"/>
    </row>
    <row r="72" spans="1:18" s="339" customFormat="1" ht="13.5" thickBot="1">
      <c r="A72" s="1250"/>
      <c r="B72" s="1251"/>
      <c r="C72" s="1252" t="s">
        <v>808</v>
      </c>
      <c r="D72" s="364"/>
      <c r="E72" s="1253"/>
      <c r="F72" s="1254" t="s">
        <v>233</v>
      </c>
      <c r="G72" s="1255"/>
      <c r="H72" s="1947">
        <v>17192498</v>
      </c>
      <c r="I72" s="1948">
        <v>17192498</v>
      </c>
      <c r="J72" s="1256">
        <v>0</v>
      </c>
      <c r="K72" s="1257"/>
      <c r="L72" s="1257"/>
      <c r="M72" s="740"/>
      <c r="N72" s="741"/>
      <c r="O72" s="340"/>
      <c r="P72" s="418"/>
    </row>
    <row r="73" spans="1:18" ht="15.75">
      <c r="A73" s="223"/>
      <c r="B73" s="224"/>
      <c r="C73" s="225"/>
      <c r="D73" s="226"/>
      <c r="E73" s="223"/>
      <c r="F73" s="227"/>
      <c r="G73" s="227"/>
      <c r="H73" s="221"/>
      <c r="I73" s="221"/>
      <c r="J73" s="221"/>
      <c r="K73" s="222"/>
      <c r="L73" s="222"/>
      <c r="M73" s="222"/>
      <c r="N73" s="222"/>
      <c r="P73" s="418"/>
    </row>
    <row r="74" spans="1:18" s="213" customFormat="1" ht="13.5" thickBot="1">
      <c r="A74" s="365" t="s">
        <v>649</v>
      </c>
      <c r="B74" s="234"/>
      <c r="C74" s="234"/>
      <c r="D74" s="234"/>
      <c r="E74" s="234"/>
      <c r="F74" s="234"/>
      <c r="G74" s="234"/>
      <c r="H74" s="234"/>
      <c r="I74" s="234"/>
      <c r="J74" s="234"/>
      <c r="K74" s="412"/>
      <c r="L74" s="412"/>
      <c r="M74" s="412"/>
      <c r="N74" s="412"/>
      <c r="O74" s="212"/>
      <c r="P74" s="418"/>
      <c r="Q74" s="212"/>
      <c r="R74" s="212"/>
    </row>
    <row r="75" spans="1:18" s="213" customFormat="1" ht="39" thickBot="1">
      <c r="A75" s="2005" t="s">
        <v>1085</v>
      </c>
      <c r="B75" s="2006"/>
      <c r="C75" s="2006"/>
      <c r="D75" s="2006"/>
      <c r="E75" s="2006"/>
      <c r="F75" s="2007"/>
      <c r="G75" s="1258"/>
      <c r="H75" s="1259" t="s">
        <v>234</v>
      </c>
      <c r="I75" s="1260" t="s">
        <v>235</v>
      </c>
      <c r="J75" s="1260" t="s">
        <v>236</v>
      </c>
      <c r="K75" s="2008" t="s">
        <v>139</v>
      </c>
      <c r="L75" s="2009"/>
      <c r="M75" s="2009"/>
      <c r="N75" s="2010"/>
      <c r="P75" s="1372"/>
    </row>
    <row r="76" spans="1:18" s="339" customFormat="1">
      <c r="A76" s="352">
        <f>'ATT H-1 '!A78</f>
        <v>44</v>
      </c>
      <c r="B76" s="228"/>
      <c r="C76" s="353" t="s">
        <v>93</v>
      </c>
      <c r="D76" s="354"/>
      <c r="E76" s="355" t="s">
        <v>891</v>
      </c>
      <c r="F76" s="891" t="s">
        <v>850</v>
      </c>
      <c r="G76" s="1866"/>
      <c r="H76" s="1470">
        <v>38798124</v>
      </c>
      <c r="I76" s="1470">
        <v>49562134</v>
      </c>
      <c r="J76" s="417">
        <f>+(I76+H76)/2</f>
        <v>44180129</v>
      </c>
      <c r="K76" s="528"/>
      <c r="L76" s="1228"/>
      <c r="M76" s="1228"/>
      <c r="N76" s="1229"/>
      <c r="O76" s="1830"/>
      <c r="P76" s="418"/>
    </row>
    <row r="77" spans="1:18" s="213" customFormat="1">
      <c r="A77" s="196"/>
      <c r="B77" s="209"/>
      <c r="C77" s="202" t="s">
        <v>302</v>
      </c>
      <c r="D77" s="211"/>
      <c r="E77" s="198"/>
      <c r="F77" s="892"/>
      <c r="G77" s="1867"/>
      <c r="H77" s="1471">
        <f>436565+460720+460994+714663+1870638+1005331</f>
        <v>4948911</v>
      </c>
      <c r="I77" s="1471">
        <f>436565+460720+460994+714663+1870639+1005331</f>
        <v>4948912</v>
      </c>
      <c r="J77" s="637"/>
      <c r="K77" s="414"/>
      <c r="L77" s="716"/>
      <c r="M77" s="716"/>
      <c r="N77" s="728"/>
      <c r="O77" s="1666"/>
      <c r="P77" s="418"/>
    </row>
    <row r="78" spans="1:18" s="213" customFormat="1" ht="15.75" customHeight="1" thickBot="1">
      <c r="A78" s="356"/>
      <c r="B78" s="245"/>
      <c r="C78" s="245"/>
      <c r="D78" s="245"/>
      <c r="E78" s="242"/>
      <c r="F78" s="348"/>
      <c r="G78" s="1867"/>
      <c r="H78" s="1261">
        <v>0</v>
      </c>
      <c r="I78" s="1261">
        <v>0</v>
      </c>
      <c r="J78" s="637"/>
      <c r="K78" s="1990"/>
      <c r="L78" s="1990"/>
      <c r="M78" s="1990"/>
      <c r="N78" s="728"/>
      <c r="O78" s="1666"/>
      <c r="P78" s="418"/>
    </row>
    <row r="79" spans="1:18" s="339" customFormat="1" ht="13.5" thickBot="1">
      <c r="A79" s="330"/>
      <c r="B79" s="236"/>
      <c r="C79" s="236"/>
      <c r="D79" s="236"/>
      <c r="E79" s="236"/>
      <c r="F79" s="357" t="s">
        <v>166</v>
      </c>
      <c r="G79" s="1868"/>
      <c r="H79" s="725">
        <f>+H77</f>
        <v>4948911</v>
      </c>
      <c r="I79" s="725">
        <f>I77</f>
        <v>4948912</v>
      </c>
      <c r="J79" s="375">
        <f>+(I79+H79)/2</f>
        <v>4948911.5</v>
      </c>
      <c r="K79" s="735"/>
      <c r="L79" s="735"/>
      <c r="M79" s="735"/>
      <c r="N79" s="736"/>
      <c r="O79" s="1830"/>
      <c r="P79" s="418"/>
    </row>
    <row r="80" spans="1:18" s="213" customFormat="1">
      <c r="A80" s="234"/>
      <c r="B80" s="234"/>
      <c r="C80" s="234"/>
      <c r="D80" s="234"/>
      <c r="E80" s="234"/>
      <c r="F80" s="234"/>
      <c r="G80" s="234"/>
      <c r="H80" s="234"/>
      <c r="I80" s="234"/>
      <c r="J80" s="234"/>
      <c r="K80" s="412"/>
      <c r="L80" s="412"/>
      <c r="M80" s="412"/>
      <c r="N80" s="412"/>
      <c r="O80" s="1831"/>
      <c r="P80" s="418"/>
      <c r="Q80" s="222"/>
      <c r="R80" s="222"/>
    </row>
    <row r="81" spans="1:16" ht="13.5" thickBot="1">
      <c r="A81" s="365" t="s">
        <v>237</v>
      </c>
      <c r="B81" s="234"/>
      <c r="C81" s="234"/>
      <c r="D81" s="234"/>
      <c r="E81" s="234"/>
      <c r="F81" s="234"/>
      <c r="G81" s="234"/>
      <c r="H81" s="234"/>
      <c r="I81" s="234"/>
      <c r="J81" s="234"/>
      <c r="K81" s="412"/>
      <c r="L81" s="412"/>
      <c r="M81" s="412"/>
      <c r="N81" s="412"/>
      <c r="O81" s="1666"/>
      <c r="P81" s="418"/>
    </row>
    <row r="82" spans="1:16" s="339" customFormat="1">
      <c r="A82" s="1993" t="s">
        <v>1085</v>
      </c>
      <c r="B82" s="1994"/>
      <c r="C82" s="1994"/>
      <c r="D82" s="1994"/>
      <c r="E82" s="1994"/>
      <c r="F82" s="2003"/>
      <c r="G82" s="920"/>
      <c r="H82" s="1262" t="s">
        <v>164</v>
      </c>
      <c r="I82" s="528" t="s">
        <v>238</v>
      </c>
      <c r="J82" s="528" t="s">
        <v>239</v>
      </c>
      <c r="K82" s="1995" t="s">
        <v>139</v>
      </c>
      <c r="L82" s="2001"/>
      <c r="M82" s="2001"/>
      <c r="N82" s="2002"/>
      <c r="O82" s="1830"/>
      <c r="P82" s="418"/>
    </row>
    <row r="83" spans="1:16" s="339" customFormat="1">
      <c r="A83" s="196">
        <f>'ATT H-1 '!A115</f>
        <v>66</v>
      </c>
      <c r="B83" s="230" t="s">
        <v>359</v>
      </c>
      <c r="C83" s="211"/>
      <c r="D83" s="211"/>
      <c r="E83" s="232"/>
      <c r="F83" s="233"/>
      <c r="G83" s="211"/>
      <c r="H83" s="246"/>
      <c r="I83" s="242"/>
      <c r="J83" s="242"/>
      <c r="K83" s="738"/>
      <c r="L83" s="738"/>
      <c r="M83" s="738"/>
      <c r="N83" s="1263"/>
      <c r="O83" s="1830"/>
      <c r="P83" s="418"/>
    </row>
    <row r="84" spans="1:16" s="339" customFormat="1">
      <c r="A84" s="196"/>
      <c r="B84" s="250"/>
      <c r="C84" s="1725" t="s">
        <v>1070</v>
      </c>
      <c r="D84" s="211"/>
      <c r="E84" s="232"/>
      <c r="F84" s="233"/>
      <c r="G84" s="211"/>
      <c r="H84" s="1871">
        <v>0</v>
      </c>
      <c r="I84" s="1381">
        <v>0</v>
      </c>
      <c r="J84" s="247">
        <f>+H84-I84</f>
        <v>0</v>
      </c>
      <c r="K84" s="738" t="s">
        <v>354</v>
      </c>
      <c r="L84" s="738"/>
      <c r="M84" s="738"/>
      <c r="N84" s="1263"/>
      <c r="O84" s="1832"/>
      <c r="P84" s="418"/>
    </row>
    <row r="85" spans="1:16" s="339" customFormat="1">
      <c r="A85" s="196"/>
      <c r="B85" s="250"/>
      <c r="C85" s="190" t="s">
        <v>240</v>
      </c>
      <c r="D85" s="211"/>
      <c r="E85" s="232"/>
      <c r="F85" s="233" t="s">
        <v>612</v>
      </c>
      <c r="G85" s="211"/>
      <c r="H85" s="1872">
        <v>28999820</v>
      </c>
      <c r="I85" s="1540">
        <v>121636</v>
      </c>
      <c r="J85" s="247">
        <f>+H85-I85</f>
        <v>28878184</v>
      </c>
      <c r="K85" s="733" t="s">
        <v>241</v>
      </c>
      <c r="L85" s="733"/>
      <c r="M85" s="733"/>
      <c r="N85" s="739"/>
      <c r="P85" s="418"/>
    </row>
    <row r="86" spans="1:16" s="339" customFormat="1">
      <c r="A86" s="196"/>
      <c r="B86" s="250"/>
      <c r="C86" s="211" t="s">
        <v>242</v>
      </c>
      <c r="D86" s="242"/>
      <c r="E86" s="232"/>
      <c r="F86" s="233"/>
      <c r="G86" s="211"/>
      <c r="H86" s="724"/>
      <c r="I86" s="1956">
        <f>I85-I84</f>
        <v>121636</v>
      </c>
      <c r="J86" s="242"/>
      <c r="K86" s="414"/>
      <c r="L86" s="716"/>
      <c r="M86" s="716"/>
      <c r="N86" s="728"/>
      <c r="P86" s="189"/>
    </row>
    <row r="87" spans="1:16" s="339" customFormat="1">
      <c r="A87" s="246"/>
      <c r="B87" s="190"/>
      <c r="C87" s="211"/>
      <c r="D87" s="211"/>
      <c r="E87" s="232"/>
      <c r="F87" s="233"/>
      <c r="G87" s="211"/>
      <c r="H87" s="246"/>
      <c r="I87" s="242"/>
      <c r="J87" s="242"/>
      <c r="K87" s="414"/>
      <c r="L87" s="716"/>
      <c r="M87" s="716"/>
      <c r="N87" s="728"/>
      <c r="P87" s="189"/>
    </row>
    <row r="88" spans="1:16" ht="13.5" thickBot="1">
      <c r="A88" s="205"/>
      <c r="B88" s="235"/>
      <c r="C88" s="207"/>
      <c r="D88" s="236"/>
      <c r="E88" s="235"/>
      <c r="F88" s="237"/>
      <c r="G88" s="433"/>
      <c r="H88" s="416"/>
      <c r="I88" s="238"/>
      <c r="J88" s="239"/>
      <c r="K88" s="740"/>
      <c r="L88" s="740"/>
      <c r="M88" s="740"/>
      <c r="N88" s="741"/>
    </row>
    <row r="89" spans="1:16">
      <c r="A89" s="234"/>
      <c r="B89" s="234"/>
      <c r="C89" s="234"/>
      <c r="D89" s="234"/>
      <c r="E89" s="234"/>
      <c r="F89" s="234"/>
      <c r="G89" s="234"/>
      <c r="H89" s="234"/>
      <c r="I89" s="234"/>
      <c r="J89" s="234"/>
      <c r="K89" s="412"/>
      <c r="L89" s="412"/>
      <c r="M89" s="412"/>
      <c r="N89" s="412"/>
      <c r="P89" s="1707"/>
    </row>
    <row r="90" spans="1:16" ht="13.5" thickBot="1">
      <c r="A90" s="365" t="s">
        <v>473</v>
      </c>
      <c r="B90" s="234"/>
      <c r="C90" s="234"/>
      <c r="D90" s="234"/>
      <c r="E90" s="234"/>
      <c r="F90" s="234"/>
      <c r="G90" s="234"/>
      <c r="H90" s="234"/>
      <c r="I90" s="234"/>
      <c r="J90" s="234"/>
      <c r="K90" s="412"/>
      <c r="L90" s="412"/>
      <c r="M90" s="412"/>
      <c r="N90" s="412"/>
    </row>
    <row r="91" spans="1:16" ht="25.5" customHeight="1">
      <c r="A91" s="1993" t="s">
        <v>1085</v>
      </c>
      <c r="B91" s="1994"/>
      <c r="C91" s="1994"/>
      <c r="D91" s="1994"/>
      <c r="E91" s="1994"/>
      <c r="F91" s="2003"/>
      <c r="G91" s="920"/>
      <c r="H91" s="1262" t="s">
        <v>850</v>
      </c>
      <c r="I91" s="528"/>
      <c r="J91" s="528"/>
      <c r="K91" s="1995" t="s">
        <v>139</v>
      </c>
      <c r="L91" s="2001"/>
      <c r="M91" s="2001"/>
      <c r="N91" s="2002"/>
    </row>
    <row r="92" spans="1:16">
      <c r="A92" s="196"/>
      <c r="B92" s="230" t="s">
        <v>359</v>
      </c>
      <c r="C92" s="211"/>
      <c r="D92" s="211"/>
      <c r="E92" s="232"/>
      <c r="F92" s="233"/>
      <c r="G92" s="211"/>
      <c r="H92" s="349" t="s">
        <v>279</v>
      </c>
      <c r="I92" s="242"/>
      <c r="J92" s="242"/>
      <c r="K92" s="1990"/>
      <c r="L92" s="2014"/>
      <c r="M92" s="2014"/>
      <c r="N92" s="2015"/>
    </row>
    <row r="93" spans="1:16" ht="13.5" thickBot="1">
      <c r="A93" s="205">
        <f>+'ATT H-1 '!A119</f>
        <v>70</v>
      </c>
      <c r="B93" s="235"/>
      <c r="C93" s="207" t="s">
        <v>472</v>
      </c>
      <c r="D93" s="236"/>
      <c r="E93" s="235"/>
      <c r="F93" s="208" t="s">
        <v>839</v>
      </c>
      <c r="G93" s="207"/>
      <c r="H93" s="1453">
        <v>0</v>
      </c>
      <c r="I93" s="1454">
        <v>0</v>
      </c>
      <c r="J93" s="523"/>
      <c r="K93" s="2012"/>
      <c r="L93" s="2012"/>
      <c r="M93" s="2012"/>
      <c r="N93" s="2013"/>
      <c r="P93" s="1666"/>
    </row>
    <row r="94" spans="1:16">
      <c r="A94" s="234"/>
      <c r="B94" s="234"/>
      <c r="C94" s="234"/>
      <c r="D94" s="234"/>
      <c r="E94" s="234"/>
      <c r="F94" s="234"/>
      <c r="G94" s="234"/>
      <c r="H94" s="234"/>
      <c r="I94" s="234"/>
      <c r="J94" s="234"/>
      <c r="K94" s="412"/>
      <c r="L94" s="412"/>
      <c r="M94" s="412"/>
      <c r="N94" s="412"/>
      <c r="P94" s="1666"/>
    </row>
    <row r="95" spans="1:16" s="418" customFormat="1" ht="13.5" thickBot="1">
      <c r="A95" s="1347" t="s">
        <v>650</v>
      </c>
      <c r="B95" s="665"/>
      <c r="C95" s="665"/>
      <c r="D95" s="665"/>
      <c r="E95" s="665"/>
      <c r="F95" s="665"/>
      <c r="G95" s="665"/>
      <c r="H95" s="665"/>
      <c r="I95" s="665"/>
      <c r="J95" s="665"/>
      <c r="K95" s="665"/>
      <c r="L95" s="665"/>
      <c r="M95" s="665"/>
      <c r="N95" s="665"/>
      <c r="P95" s="1666"/>
    </row>
    <row r="96" spans="1:16" s="418" customFormat="1">
      <c r="A96" s="1348" t="s">
        <v>1085</v>
      </c>
      <c r="B96" s="1349"/>
      <c r="C96" s="1349"/>
      <c r="D96" s="1349"/>
      <c r="E96" s="1349"/>
      <c r="F96" s="1350" t="s">
        <v>164</v>
      </c>
      <c r="G96" s="1351" t="s">
        <v>97</v>
      </c>
      <c r="H96" s="1351" t="s">
        <v>850</v>
      </c>
      <c r="I96" s="1352" t="s">
        <v>983</v>
      </c>
      <c r="J96" s="1352" t="s">
        <v>437</v>
      </c>
      <c r="K96" s="1352" t="s">
        <v>984</v>
      </c>
      <c r="L96" s="1353"/>
      <c r="M96" s="1354" t="s">
        <v>139</v>
      </c>
      <c r="N96" s="1355"/>
      <c r="P96" s="1666"/>
    </row>
    <row r="97" spans="1:32" s="418" customFormat="1">
      <c r="A97" s="1356"/>
      <c r="B97" s="1347"/>
      <c r="C97" s="1347"/>
      <c r="D97" s="1347"/>
      <c r="E97" s="1347"/>
      <c r="F97" s="1357"/>
      <c r="G97" s="1358"/>
      <c r="H97" s="1358"/>
      <c r="I97" s="667"/>
      <c r="J97" s="667"/>
      <c r="K97" s="667"/>
      <c r="L97" s="1359"/>
      <c r="M97" s="1360"/>
      <c r="N97" s="1361"/>
      <c r="P97" s="1666"/>
    </row>
    <row r="98" spans="1:32" s="418" customFormat="1">
      <c r="A98" s="1356"/>
      <c r="B98" s="1347"/>
      <c r="C98" s="1347" t="s">
        <v>985</v>
      </c>
      <c r="D98" s="1347"/>
      <c r="E98" s="1347"/>
      <c r="F98" s="1357"/>
      <c r="G98" s="1358"/>
      <c r="H98" s="1362">
        <f>+I98+J98+K98</f>
        <v>70781.055275559891</v>
      </c>
      <c r="I98" s="1457">
        <f>+'WKSHT4 - Monthly Tx System Peak'!C25</f>
        <v>53729.055275559891</v>
      </c>
      <c r="J98" s="1457">
        <f>'WKSHT4 - Monthly Tx System Peak'!C73</f>
        <v>8952</v>
      </c>
      <c r="K98" s="1457">
        <f>+'WKSHT4 - Monthly Tx System Peak'!C50</f>
        <v>8100</v>
      </c>
      <c r="L98" s="669" t="s">
        <v>102</v>
      </c>
      <c r="M98" s="1360"/>
      <c r="N98" s="1361"/>
      <c r="P98" s="1666"/>
    </row>
    <row r="99" spans="1:32" s="418" customFormat="1">
      <c r="A99" s="1356"/>
      <c r="B99" s="1347"/>
      <c r="C99" s="1347" t="s">
        <v>986</v>
      </c>
      <c r="D99" s="1347"/>
      <c r="E99" s="1347"/>
      <c r="F99" s="1357"/>
      <c r="G99" s="1358"/>
      <c r="H99" s="1362">
        <f>+I99+J99+K99</f>
        <v>28155.536999999997</v>
      </c>
      <c r="I99" s="1457">
        <f>+'WKSHT4 - Monthly Tx System Peak'!C25-'WKSHT4 - Monthly Tx System Peak'!F25</f>
        <v>11103.536999999997</v>
      </c>
      <c r="J99" s="1457">
        <f>'WKSHT4 - Monthly Tx System Peak'!H73</f>
        <v>8952</v>
      </c>
      <c r="K99" s="1457">
        <f>+'WKSHT4 - Monthly Tx System Peak'!H50+'WKSHT4 - Monthly Tx System Peak'!I50</f>
        <v>8100</v>
      </c>
      <c r="L99" s="669" t="s">
        <v>102</v>
      </c>
      <c r="M99" s="1360"/>
      <c r="N99" s="1361"/>
      <c r="P99" s="1666"/>
    </row>
    <row r="100" spans="1:32" s="418" customFormat="1">
      <c r="A100" s="1356"/>
      <c r="B100" s="1347"/>
      <c r="C100" s="1347" t="s">
        <v>97</v>
      </c>
      <c r="D100" s="1347"/>
      <c r="E100" s="1347"/>
      <c r="F100" s="1357"/>
      <c r="G100" s="1358"/>
      <c r="H100" s="1362"/>
      <c r="I100" s="1458">
        <f>+I98/I99</f>
        <v>4.8389135169775095</v>
      </c>
      <c r="J100" s="1802">
        <f>+J98/J99</f>
        <v>1</v>
      </c>
      <c r="K100" s="1458">
        <f>+K98/K99</f>
        <v>1</v>
      </c>
      <c r="L100" s="669" t="s">
        <v>102</v>
      </c>
      <c r="M100" s="1360"/>
      <c r="N100" s="1361"/>
      <c r="P100" s="1666"/>
    </row>
    <row r="101" spans="1:32" s="418" customFormat="1">
      <c r="A101" s="1363"/>
      <c r="B101" s="1364" t="s">
        <v>784</v>
      </c>
      <c r="C101" s="1365"/>
      <c r="D101" s="1366"/>
      <c r="E101" s="1367"/>
      <c r="F101" s="1368"/>
      <c r="G101" s="1369"/>
      <c r="H101" s="1370"/>
      <c r="L101" s="669"/>
      <c r="M101" s="669"/>
      <c r="N101" s="1371"/>
      <c r="P101" s="1666"/>
      <c r="Q101" s="1372"/>
    </row>
    <row r="102" spans="1:32" s="418" customFormat="1">
      <c r="A102" s="1265"/>
      <c r="B102" s="848">
        <v>1</v>
      </c>
      <c r="C102" s="849" t="s">
        <v>923</v>
      </c>
      <c r="D102" s="850"/>
      <c r="E102" s="1266"/>
      <c r="F102" s="1530">
        <v>2006771</v>
      </c>
      <c r="G102" s="1373" t="s">
        <v>987</v>
      </c>
      <c r="H102" s="1533">
        <f>+K102+J102+I102</f>
        <v>5044882.2580223065</v>
      </c>
      <c r="I102" s="1534">
        <f>+I$99/$H$99*$F102*I$100</f>
        <v>3829509.9817982726</v>
      </c>
      <c r="J102" s="1534">
        <f t="shared" ref="I102:K103" si="0">+J$99/$H$99*$F102*J$100</f>
        <v>638049.06267637527</v>
      </c>
      <c r="K102" s="1534">
        <f t="shared" si="0"/>
        <v>577323.21354765864</v>
      </c>
      <c r="L102" s="1267" t="s">
        <v>988</v>
      </c>
      <c r="M102" s="667"/>
      <c r="N102" s="1268"/>
      <c r="O102" s="763"/>
      <c r="P102" s="1666"/>
    </row>
    <row r="103" spans="1:32" s="418" customFormat="1">
      <c r="A103" s="1265"/>
      <c r="B103" s="848">
        <v>2</v>
      </c>
      <c r="C103" s="849" t="s">
        <v>98</v>
      </c>
      <c r="D103" s="850"/>
      <c r="E103" s="1266"/>
      <c r="F103" s="1530">
        <v>349930</v>
      </c>
      <c r="G103" s="1373" t="s">
        <v>987</v>
      </c>
      <c r="H103" s="1533">
        <f>+I103+J103+K103</f>
        <v>879699.60127475718</v>
      </c>
      <c r="I103" s="1534">
        <f t="shared" si="0"/>
        <v>667769.48038947617</v>
      </c>
      <c r="J103" s="1534">
        <f t="shared" si="0"/>
        <v>111259.58492640365</v>
      </c>
      <c r="K103" s="1534">
        <f t="shared" si="0"/>
        <v>100670.53595887731</v>
      </c>
      <c r="L103" s="1096" t="s">
        <v>989</v>
      </c>
      <c r="M103" s="667"/>
      <c r="N103" s="1268"/>
      <c r="O103" s="763"/>
      <c r="P103" s="1666"/>
    </row>
    <row r="104" spans="1:32" s="418" customFormat="1" ht="13.5" customHeight="1">
      <c r="A104" s="1265"/>
      <c r="B104" s="848">
        <v>3</v>
      </c>
      <c r="C104" s="1267" t="s">
        <v>927</v>
      </c>
      <c r="D104" s="850"/>
      <c r="E104" s="1266"/>
      <c r="F104" s="1531"/>
      <c r="G104" s="1374" t="s">
        <v>990</v>
      </c>
      <c r="H104" s="1533"/>
      <c r="I104" s="1535"/>
      <c r="J104" s="1535"/>
      <c r="K104" s="1535"/>
      <c r="L104" s="1267" t="s">
        <v>991</v>
      </c>
      <c r="M104" s="667"/>
      <c r="N104" s="1269"/>
      <c r="P104" s="1666"/>
    </row>
    <row r="105" spans="1:32" s="418" customFormat="1">
      <c r="A105" s="1265"/>
      <c r="B105" s="848">
        <v>4</v>
      </c>
      <c r="C105" s="849" t="s">
        <v>924</v>
      </c>
      <c r="D105" s="850"/>
      <c r="E105" s="1266"/>
      <c r="F105" s="1530"/>
      <c r="G105" s="1374" t="s">
        <v>990</v>
      </c>
      <c r="H105" s="1533"/>
      <c r="I105" s="1535"/>
      <c r="J105" s="1535"/>
      <c r="K105" s="1536"/>
      <c r="L105" s="1267"/>
      <c r="M105" s="1267"/>
      <c r="N105" s="1270"/>
      <c r="P105" s="1666"/>
    </row>
    <row r="106" spans="1:32" s="418" customFormat="1">
      <c r="A106" s="1265"/>
      <c r="B106" s="848">
        <v>5</v>
      </c>
      <c r="C106" s="1267" t="s">
        <v>925</v>
      </c>
      <c r="D106" s="850"/>
      <c r="E106" s="1266"/>
      <c r="F106" s="1530"/>
      <c r="G106" s="1374" t="s">
        <v>990</v>
      </c>
      <c r="H106" s="1533"/>
      <c r="I106" s="1535"/>
      <c r="J106" s="1535"/>
      <c r="K106" s="1536"/>
      <c r="L106" s="1267"/>
      <c r="M106" s="1267"/>
      <c r="N106" s="1270"/>
      <c r="P106" s="1666"/>
    </row>
    <row r="107" spans="1:32" s="418" customFormat="1">
      <c r="A107" s="1265"/>
      <c r="B107" s="848">
        <v>6</v>
      </c>
      <c r="C107" s="849" t="s">
        <v>926</v>
      </c>
      <c r="D107" s="850"/>
      <c r="E107" s="1266"/>
      <c r="F107" s="1530"/>
      <c r="G107" s="1374" t="s">
        <v>990</v>
      </c>
      <c r="H107" s="1533"/>
      <c r="I107" s="1535"/>
      <c r="J107" s="1535"/>
      <c r="K107" s="1536"/>
      <c r="L107" s="1267"/>
      <c r="M107" s="1267"/>
      <c r="N107" s="1270"/>
      <c r="P107" s="1666"/>
    </row>
    <row r="108" spans="1:32" s="418" customFormat="1">
      <c r="A108" s="1265"/>
      <c r="B108" s="848">
        <v>7</v>
      </c>
      <c r="C108" s="849" t="s">
        <v>928</v>
      </c>
      <c r="D108" s="850"/>
      <c r="E108" s="1266"/>
      <c r="F108" s="1532">
        <f>23110830-F102-F103</f>
        <v>20754129</v>
      </c>
      <c r="G108" s="1374" t="s">
        <v>992</v>
      </c>
      <c r="H108" s="1537"/>
      <c r="I108" s="1538"/>
      <c r="J108" s="1538"/>
      <c r="K108" s="1539"/>
      <c r="M108" s="1267"/>
      <c r="N108" s="1270"/>
      <c r="P108" s="1666"/>
    </row>
    <row r="109" spans="1:32" s="418" customFormat="1" ht="13.5" thickBot="1">
      <c r="A109" s="1271">
        <f>+'ATT H-1 '!A126</f>
        <v>75</v>
      </c>
      <c r="B109" s="852">
        <v>8</v>
      </c>
      <c r="C109" s="853" t="s">
        <v>904</v>
      </c>
      <c r="D109" s="853" t="s">
        <v>613</v>
      </c>
      <c r="E109" s="854"/>
      <c r="F109" s="1375">
        <f>SUM(F102:F108)</f>
        <v>23110830</v>
      </c>
      <c r="G109" s="1272"/>
      <c r="H109" s="1376">
        <f>SUM(H102:H108)</f>
        <v>5924581.8592970632</v>
      </c>
      <c r="I109" s="1376">
        <f>SUM(I102:I108)</f>
        <v>4497279.4621877484</v>
      </c>
      <c r="J109" s="1376">
        <f>SUM(J102:J108)</f>
        <v>749308.64760277886</v>
      </c>
      <c r="K109" s="1376">
        <f>SUM(K102:K108)</f>
        <v>677993.74950653594</v>
      </c>
      <c r="L109" s="1301"/>
      <c r="M109" s="1376"/>
      <c r="N109" s="1377"/>
      <c r="P109" s="1666"/>
    </row>
    <row r="110" spans="1:32" s="418" customFormat="1">
      <c r="A110" s="1378"/>
      <c r="B110" s="1379"/>
      <c r="C110" s="1380"/>
      <c r="D110" s="1380"/>
      <c r="E110" s="1378"/>
      <c r="F110" s="1381"/>
      <c r="G110" s="1382"/>
      <c r="H110" s="1383"/>
      <c r="I110" s="1383"/>
      <c r="J110" s="1383"/>
      <c r="K110" s="1383"/>
      <c r="L110" s="1096"/>
      <c r="M110" s="1383"/>
      <c r="N110" s="1383"/>
      <c r="P110" s="189"/>
    </row>
    <row r="111" spans="1:32" ht="13.5" thickBot="1">
      <c r="A111" s="365" t="s">
        <v>651</v>
      </c>
      <c r="B111" s="234"/>
      <c r="C111" s="234"/>
      <c r="D111" s="234"/>
      <c r="E111" s="234"/>
      <c r="F111" s="234"/>
      <c r="G111" s="234"/>
      <c r="H111" s="234"/>
      <c r="I111" s="234"/>
      <c r="J111" s="234"/>
      <c r="K111" s="412"/>
      <c r="L111" s="412"/>
      <c r="M111" s="412"/>
      <c r="N111" s="412"/>
      <c r="AE111" s="418"/>
      <c r="AF111" s="413"/>
    </row>
    <row r="112" spans="1:32" ht="25.5">
      <c r="A112" s="1993" t="s">
        <v>1085</v>
      </c>
      <c r="B112" s="1994"/>
      <c r="C112" s="1994"/>
      <c r="D112" s="1994"/>
      <c r="E112" s="1994"/>
      <c r="F112" s="2003"/>
      <c r="G112" s="920"/>
      <c r="H112" s="1262" t="s">
        <v>164</v>
      </c>
      <c r="I112" s="528" t="s">
        <v>167</v>
      </c>
      <c r="J112" s="528" t="s">
        <v>647</v>
      </c>
      <c r="K112" s="528" t="s">
        <v>168</v>
      </c>
      <c r="L112" s="1995" t="s">
        <v>139</v>
      </c>
      <c r="M112" s="1995"/>
      <c r="N112" s="2011"/>
      <c r="AE112" s="418"/>
      <c r="AF112" s="413"/>
    </row>
    <row r="113" spans="1:14">
      <c r="A113" s="196"/>
      <c r="B113" s="230" t="s">
        <v>784</v>
      </c>
      <c r="C113" s="242"/>
      <c r="D113" s="211"/>
      <c r="E113" s="232"/>
      <c r="F113" s="233"/>
      <c r="G113" s="211"/>
      <c r="H113" s="246"/>
      <c r="I113" s="242"/>
      <c r="J113" s="242"/>
      <c r="K113" s="242"/>
      <c r="L113" s="738"/>
      <c r="M113" s="738"/>
      <c r="N113" s="1263"/>
    </row>
    <row r="114" spans="1:14" ht="13.5" thickBot="1">
      <c r="A114" s="1336" t="s">
        <v>520</v>
      </c>
      <c r="B114" s="241"/>
      <c r="C114" s="207" t="s">
        <v>905</v>
      </c>
      <c r="D114" s="243"/>
      <c r="E114" s="1273"/>
      <c r="F114" s="208" t="s">
        <v>585</v>
      </c>
      <c r="G114" s="207"/>
      <c r="H114" s="416">
        <v>56129</v>
      </c>
      <c r="I114" s="645">
        <v>0</v>
      </c>
      <c r="J114" s="1741">
        <v>0</v>
      </c>
      <c r="K114" s="523">
        <v>0</v>
      </c>
      <c r="L114" s="1100"/>
      <c r="M114" s="1100" t="s">
        <v>661</v>
      </c>
      <c r="N114" s="1101"/>
    </row>
    <row r="115" spans="1:14">
      <c r="A115" s="234"/>
      <c r="B115" s="234"/>
      <c r="C115" s="234"/>
      <c r="D115" s="234"/>
      <c r="E115" s="234"/>
      <c r="F115" s="234"/>
      <c r="G115" s="234"/>
      <c r="H115" s="234"/>
      <c r="I115" s="234"/>
      <c r="J115" s="234"/>
      <c r="K115" s="412"/>
      <c r="L115" s="412"/>
      <c r="M115" s="412"/>
      <c r="N115" s="412"/>
    </row>
    <row r="116" spans="1:14">
      <c r="A116" s="234"/>
      <c r="B116" s="234"/>
      <c r="C116" s="234"/>
      <c r="D116" s="234"/>
      <c r="E116" s="234"/>
      <c r="F116" s="234"/>
      <c r="G116" s="234"/>
      <c r="H116" s="234"/>
      <c r="I116" s="234"/>
      <c r="J116" s="234"/>
      <c r="K116" s="412"/>
      <c r="L116" s="412"/>
      <c r="M116" s="412"/>
      <c r="N116" s="412"/>
    </row>
    <row r="117" spans="1:14" ht="13.5" thickBot="1">
      <c r="A117" s="365" t="s">
        <v>652</v>
      </c>
      <c r="B117" s="234"/>
      <c r="C117" s="234"/>
      <c r="D117" s="234"/>
      <c r="E117" s="234"/>
      <c r="F117" s="234"/>
      <c r="G117" s="234"/>
      <c r="H117" s="234"/>
      <c r="I117" s="234"/>
      <c r="J117" s="234"/>
      <c r="K117" s="412"/>
      <c r="L117" s="412"/>
      <c r="M117" s="412"/>
      <c r="N117" s="412"/>
    </row>
    <row r="118" spans="1:14" ht="51">
      <c r="A118" s="1993" t="s">
        <v>1085</v>
      </c>
      <c r="B118" s="1994"/>
      <c r="C118" s="1994"/>
      <c r="D118" s="1994"/>
      <c r="E118" s="1994"/>
      <c r="F118" s="2003"/>
      <c r="G118" s="920"/>
      <c r="H118" s="1262" t="str">
        <f>+C120</f>
        <v>Excluded Transmission Facilities - Colstrip Facilities</v>
      </c>
      <c r="I118" s="1995" t="s">
        <v>171</v>
      </c>
      <c r="J118" s="1996"/>
      <c r="K118" s="1996"/>
      <c r="L118" s="1996"/>
      <c r="M118" s="1996"/>
      <c r="N118" s="1997"/>
    </row>
    <row r="119" spans="1:14">
      <c r="A119" s="331"/>
      <c r="B119" s="202" t="s">
        <v>786</v>
      </c>
      <c r="C119" s="230"/>
      <c r="D119" s="244"/>
      <c r="E119" s="1264"/>
      <c r="F119" s="1274"/>
      <c r="G119" s="1275"/>
      <c r="H119" s="246"/>
      <c r="I119" s="242"/>
      <c r="J119" s="242"/>
      <c r="K119" s="738"/>
      <c r="L119" s="738"/>
      <c r="M119" s="738"/>
      <c r="N119" s="1263"/>
    </row>
    <row r="120" spans="1:14">
      <c r="A120" s="196">
        <f>'ATT H-1 '!A259</f>
        <v>158</v>
      </c>
      <c r="B120" s="209"/>
      <c r="C120" s="198" t="s">
        <v>257</v>
      </c>
      <c r="D120" s="244" t="s">
        <v>874</v>
      </c>
      <c r="E120" s="203"/>
      <c r="F120" s="204"/>
      <c r="G120" s="198"/>
      <c r="H120" s="1276">
        <f>'WKSHT3 - All GIFs'!C8</f>
        <v>3873000</v>
      </c>
      <c r="I120" s="1990" t="s">
        <v>243</v>
      </c>
      <c r="J120" s="1991"/>
      <c r="K120" s="1991"/>
      <c r="L120" s="1991"/>
      <c r="M120" s="1991"/>
      <c r="N120" s="1992"/>
    </row>
    <row r="121" spans="1:14">
      <c r="A121" s="196"/>
      <c r="B121" s="209"/>
      <c r="C121" s="198" t="s">
        <v>258</v>
      </c>
      <c r="D121" s="244" t="s">
        <v>874</v>
      </c>
      <c r="E121" s="203"/>
      <c r="F121" s="204"/>
      <c r="G121" s="198"/>
      <c r="H121" s="1276">
        <f>'WKSHT3 - All GIFs'!C86</f>
        <v>177711000</v>
      </c>
      <c r="I121" s="414"/>
      <c r="J121" s="192"/>
      <c r="K121" s="716"/>
      <c r="L121" s="716"/>
      <c r="M121" s="716"/>
      <c r="N121" s="728"/>
    </row>
    <row r="122" spans="1:14">
      <c r="A122" s="196"/>
      <c r="B122" s="209"/>
      <c r="C122" s="720" t="s">
        <v>995</v>
      </c>
      <c r="D122" s="244" t="s">
        <v>874</v>
      </c>
      <c r="E122" s="203"/>
      <c r="F122" s="204"/>
      <c r="G122" s="198"/>
      <c r="H122" s="1276">
        <v>0</v>
      </c>
      <c r="I122" s="414"/>
      <c r="J122" s="192"/>
      <c r="K122" s="716"/>
      <c r="L122" s="716"/>
      <c r="M122" s="716"/>
      <c r="N122" s="728"/>
    </row>
    <row r="123" spans="1:14">
      <c r="A123" s="196"/>
      <c r="B123" s="209"/>
      <c r="C123" s="198" t="s">
        <v>850</v>
      </c>
      <c r="D123" s="244"/>
      <c r="E123" s="203"/>
      <c r="F123" s="204"/>
      <c r="G123" s="198"/>
      <c r="H123" s="1277">
        <f>SUM(H120:H122)</f>
        <v>181584000</v>
      </c>
      <c r="I123" s="414"/>
      <c r="J123" s="192"/>
      <c r="K123" s="716"/>
      <c r="L123" s="716"/>
      <c r="M123" s="716"/>
      <c r="N123" s="728"/>
    </row>
    <row r="124" spans="1:14" ht="13.5" thickBot="1">
      <c r="A124" s="330"/>
      <c r="B124" s="236"/>
      <c r="C124" s="236"/>
      <c r="D124" s="236"/>
      <c r="E124" s="236"/>
      <c r="F124" s="1278"/>
      <c r="G124" s="236"/>
      <c r="H124" s="330"/>
      <c r="I124" s="236"/>
      <c r="J124" s="236"/>
      <c r="K124" s="1279"/>
      <c r="L124" s="1280" t="s">
        <v>172</v>
      </c>
      <c r="M124" s="1279"/>
      <c r="N124" s="1281"/>
    </row>
    <row r="125" spans="1:14">
      <c r="A125" s="242"/>
      <c r="B125" s="242"/>
      <c r="C125" s="242"/>
      <c r="D125" s="242"/>
      <c r="E125" s="242"/>
      <c r="F125" s="242"/>
      <c r="G125" s="242"/>
      <c r="H125" s="242"/>
      <c r="I125" s="242"/>
      <c r="J125" s="242"/>
      <c r="K125" s="738"/>
      <c r="L125" s="1282"/>
      <c r="M125" s="738"/>
      <c r="N125" s="738"/>
    </row>
    <row r="126" spans="1:14" ht="13.5" thickBot="1">
      <c r="A126" s="365" t="s">
        <v>872</v>
      </c>
      <c r="B126" s="234"/>
      <c r="C126" s="234"/>
      <c r="D126" s="234"/>
      <c r="E126" s="234"/>
      <c r="F126" s="234"/>
      <c r="G126" s="234"/>
      <c r="H126" s="234"/>
      <c r="I126" s="234"/>
      <c r="J126" s="234"/>
      <c r="K126" s="412"/>
      <c r="L126" s="412"/>
      <c r="M126" s="412"/>
      <c r="N126" s="412"/>
    </row>
    <row r="127" spans="1:14" ht="49.5" customHeight="1">
      <c r="A127" s="1993" t="s">
        <v>1085</v>
      </c>
      <c r="B127" s="1994"/>
      <c r="C127" s="1994"/>
      <c r="D127" s="1994"/>
      <c r="E127" s="1994"/>
      <c r="F127" s="2003"/>
      <c r="G127" s="1105"/>
      <c r="H127" s="528" t="s">
        <v>234</v>
      </c>
      <c r="I127" s="528" t="s">
        <v>235</v>
      </c>
      <c r="J127" s="528" t="s">
        <v>236</v>
      </c>
      <c r="K127" s="528" t="s">
        <v>876</v>
      </c>
      <c r="L127" s="528" t="s">
        <v>280</v>
      </c>
      <c r="M127" s="528" t="s">
        <v>139</v>
      </c>
      <c r="N127" s="1229"/>
    </row>
    <row r="128" spans="1:14">
      <c r="A128" s="331">
        <f>+'ATT H-1 '!A72</f>
        <v>41</v>
      </c>
      <c r="B128" s="230" t="s">
        <v>723</v>
      </c>
      <c r="C128" s="242"/>
      <c r="D128" s="211"/>
      <c r="E128" s="232"/>
      <c r="F128" s="233"/>
      <c r="G128" s="633"/>
      <c r="H128" s="247"/>
      <c r="I128" s="247" t="s">
        <v>170</v>
      </c>
      <c r="J128" s="247"/>
      <c r="K128" s="742"/>
      <c r="L128" s="742"/>
      <c r="M128" s="738"/>
      <c r="N128" s="1263"/>
    </row>
    <row r="129" spans="1:15">
      <c r="A129" s="196"/>
      <c r="B129" s="242" t="s">
        <v>875</v>
      </c>
      <c r="C129" s="242"/>
      <c r="D129" s="229"/>
      <c r="E129" s="232"/>
      <c r="F129" s="233"/>
      <c r="G129" s="633"/>
      <c r="H129" s="242"/>
      <c r="I129" s="242"/>
      <c r="J129" s="242"/>
      <c r="K129" s="1283"/>
      <c r="L129" s="738"/>
      <c r="M129" s="738"/>
      <c r="N129" s="1263"/>
      <c r="O129" s="412"/>
    </row>
    <row r="130" spans="1:15">
      <c r="A130" s="196"/>
      <c r="B130" s="230"/>
      <c r="C130" s="1630" t="s">
        <v>409</v>
      </c>
      <c r="D130" s="242"/>
      <c r="E130" s="232"/>
      <c r="F130" s="233"/>
      <c r="G130" s="633"/>
      <c r="H130" s="1837">
        <v>11856486.98</v>
      </c>
      <c r="I130" s="1837">
        <v>15805497.640000001</v>
      </c>
      <c r="J130" s="1631"/>
      <c r="K130" s="1635"/>
      <c r="L130" s="1636"/>
      <c r="M130" s="1636"/>
      <c r="N130" s="1263"/>
      <c r="O130" s="412"/>
    </row>
    <row r="131" spans="1:15">
      <c r="A131" s="196"/>
      <c r="B131" s="230"/>
      <c r="C131" s="1630" t="s">
        <v>431</v>
      </c>
      <c r="D131" s="242"/>
      <c r="E131" s="232"/>
      <c r="F131" s="233"/>
      <c r="G131" s="633"/>
      <c r="H131" s="1837">
        <v>312479.49</v>
      </c>
      <c r="I131" s="1837">
        <v>463809.99</v>
      </c>
      <c r="J131" s="1631"/>
      <c r="K131" s="1635"/>
      <c r="L131" s="1636"/>
      <c r="M131" s="1636"/>
      <c r="N131" s="1263"/>
      <c r="O131" s="412"/>
    </row>
    <row r="132" spans="1:15">
      <c r="A132" s="196"/>
      <c r="B132" s="230"/>
      <c r="C132" s="1631"/>
      <c r="D132" s="229"/>
      <c r="E132" s="232"/>
      <c r="F132" s="233"/>
      <c r="G132" s="633"/>
      <c r="H132" s="1637"/>
      <c r="I132" s="1637"/>
      <c r="J132" s="1637"/>
      <c r="K132" s="1635"/>
      <c r="L132" s="1636"/>
      <c r="M132" s="1636"/>
      <c r="N132" s="1263"/>
      <c r="O132" s="412"/>
    </row>
    <row r="133" spans="1:15">
      <c r="A133" s="196"/>
      <c r="B133" s="230"/>
      <c r="C133" s="1631" t="s">
        <v>850</v>
      </c>
      <c r="D133" s="211"/>
      <c r="E133" s="211" t="s">
        <v>269</v>
      </c>
      <c r="F133" s="892"/>
      <c r="G133" s="246"/>
      <c r="H133" s="1638">
        <f>SUM(H130:H131)</f>
        <v>12168966.470000001</v>
      </c>
      <c r="I133" s="1638">
        <f>SUM(I130:I131)</f>
        <v>16269307.630000001</v>
      </c>
      <c r="J133" s="1639">
        <f>(I133+H133)/2</f>
        <v>14219137.050000001</v>
      </c>
      <c r="K133" s="1640">
        <v>1</v>
      </c>
      <c r="L133" s="1457">
        <f>+J133*K133</f>
        <v>14219137.050000001</v>
      </c>
      <c r="M133" s="1636" t="s">
        <v>432</v>
      </c>
      <c r="N133" s="1263"/>
      <c r="O133" s="412"/>
    </row>
    <row r="134" spans="1:15">
      <c r="A134" s="196"/>
      <c r="B134" s="230"/>
      <c r="C134" s="1631"/>
      <c r="D134" s="211"/>
      <c r="E134" s="232"/>
      <c r="F134" s="233"/>
      <c r="G134" s="633"/>
      <c r="H134" s="1638"/>
      <c r="I134" s="1638"/>
      <c r="J134" s="1638"/>
      <c r="K134" s="1635"/>
      <c r="L134" s="1641"/>
      <c r="M134" s="1636"/>
      <c r="N134" s="1263"/>
    </row>
    <row r="135" spans="1:15" ht="16.5" customHeight="1">
      <c r="A135" s="196"/>
      <c r="B135" s="242" t="s">
        <v>363</v>
      </c>
      <c r="C135" s="1631"/>
      <c r="D135" s="229"/>
      <c r="E135" s="232"/>
      <c r="F135" s="233"/>
      <c r="G135" s="633"/>
      <c r="H135" s="1638"/>
      <c r="I135" s="1638"/>
      <c r="J135" s="1638"/>
      <c r="K135" s="1636"/>
      <c r="L135" s="1636"/>
      <c r="M135" s="1636"/>
      <c r="N135" s="1263"/>
    </row>
    <row r="136" spans="1:15">
      <c r="A136" s="196"/>
      <c r="C136" s="1630" t="s">
        <v>259</v>
      </c>
      <c r="D136" s="103"/>
      <c r="E136" s="634"/>
      <c r="F136" s="199"/>
      <c r="G136" s="321"/>
      <c r="H136" s="1634">
        <v>7057695.9000000004</v>
      </c>
      <c r="I136" s="1634">
        <v>7630663.7400000002</v>
      </c>
      <c r="J136" s="1639">
        <f t="shared" ref="J136:J148" si="1">(I136+H136)/2</f>
        <v>7344179.8200000003</v>
      </c>
      <c r="K136" s="1642"/>
      <c r="L136" s="1641"/>
      <c r="M136" s="1636"/>
      <c r="N136" s="737"/>
    </row>
    <row r="137" spans="1:15" ht="16.5" customHeight="1">
      <c r="A137" s="196"/>
      <c r="C137" s="1630" t="s">
        <v>260</v>
      </c>
      <c r="D137" s="103"/>
      <c r="E137" s="634"/>
      <c r="F137" s="199"/>
      <c r="G137" s="321"/>
      <c r="H137" s="1634">
        <v>12585903.109999999</v>
      </c>
      <c r="I137" s="1634">
        <v>21722478.09</v>
      </c>
      <c r="J137" s="1639">
        <f t="shared" si="1"/>
        <v>17154190.600000001</v>
      </c>
      <c r="K137" s="1642"/>
      <c r="L137" s="1641"/>
      <c r="M137" s="1636"/>
      <c r="N137" s="737"/>
    </row>
    <row r="138" spans="1:15" ht="16.5" customHeight="1">
      <c r="A138" s="196"/>
      <c r="B138" s="230"/>
      <c r="C138" s="1630" t="s">
        <v>1339</v>
      </c>
      <c r="D138" s="211"/>
      <c r="E138" s="232"/>
      <c r="F138" s="199"/>
      <c r="G138" s="321"/>
      <c r="H138" s="1634">
        <v>3509231.35</v>
      </c>
      <c r="I138" s="1634">
        <v>2810384.71</v>
      </c>
      <c r="J138" s="1639">
        <f t="shared" si="1"/>
        <v>3159808.0300000003</v>
      </c>
      <c r="K138" s="1642"/>
      <c r="L138" s="1641"/>
      <c r="M138" s="1636"/>
      <c r="N138" s="737"/>
    </row>
    <row r="139" spans="1:15" ht="16.5" customHeight="1">
      <c r="A139" s="196"/>
      <c r="B139" s="230"/>
      <c r="C139" s="1630" t="s">
        <v>1270</v>
      </c>
      <c r="D139" s="708"/>
      <c r="E139" s="232"/>
      <c r="F139" s="199"/>
      <c r="G139" s="321"/>
      <c r="H139" s="1634">
        <v>2782500</v>
      </c>
      <c r="I139" s="1634">
        <v>2664000</v>
      </c>
      <c r="J139" s="1639">
        <f t="shared" si="1"/>
        <v>2723250</v>
      </c>
      <c r="K139" s="1642"/>
      <c r="L139" s="1641"/>
      <c r="M139" s="1636"/>
      <c r="N139" s="737"/>
    </row>
    <row r="140" spans="1:15" ht="16.5" customHeight="1">
      <c r="A140" s="196"/>
      <c r="B140" s="230"/>
      <c r="C140" s="1630" t="s">
        <v>1271</v>
      </c>
      <c r="D140" s="708"/>
      <c r="E140" s="232"/>
      <c r="F140" s="199"/>
      <c r="G140" s="321"/>
      <c r="H140" s="1634">
        <v>8550546.8100000005</v>
      </c>
      <c r="I140" s="1634">
        <v>9182310.9299999997</v>
      </c>
      <c r="J140" s="1639">
        <f t="shared" si="1"/>
        <v>8866428.870000001</v>
      </c>
      <c r="K140" s="1642"/>
      <c r="L140" s="1641"/>
      <c r="M140" s="1636"/>
      <c r="N140" s="737"/>
    </row>
    <row r="141" spans="1:15" ht="16.5" customHeight="1">
      <c r="A141" s="196"/>
      <c r="B141" s="230"/>
      <c r="C141" s="1630" t="s">
        <v>1272</v>
      </c>
      <c r="D141" s="709"/>
      <c r="E141" s="232"/>
      <c r="F141" s="199"/>
      <c r="G141" s="321"/>
      <c r="H141" s="1634">
        <v>1956043.13</v>
      </c>
      <c r="I141" s="1634">
        <v>2081675.99</v>
      </c>
      <c r="J141" s="1639">
        <f t="shared" si="1"/>
        <v>2018859.56</v>
      </c>
      <c r="K141" s="1642"/>
      <c r="L141" s="1641"/>
      <c r="M141" s="1636"/>
      <c r="N141" s="737"/>
    </row>
    <row r="142" spans="1:15" ht="16.5" customHeight="1">
      <c r="A142" s="196"/>
      <c r="B142" s="230"/>
      <c r="C142" s="1630" t="s">
        <v>84</v>
      </c>
      <c r="D142" s="709"/>
      <c r="E142" s="232"/>
      <c r="F142" s="199"/>
      <c r="G142" s="321"/>
      <c r="H142" s="1634">
        <v>-307500</v>
      </c>
      <c r="I142" s="1634">
        <v>-235000</v>
      </c>
      <c r="J142" s="1639">
        <f t="shared" si="1"/>
        <v>-271250</v>
      </c>
      <c r="K142" s="1642"/>
      <c r="L142" s="1641"/>
      <c r="M142" s="1636"/>
      <c r="N142" s="737"/>
    </row>
    <row r="143" spans="1:15" ht="16.5" customHeight="1">
      <c r="A143" s="196"/>
      <c r="B143" s="230"/>
      <c r="C143" s="1630" t="s">
        <v>85</v>
      </c>
      <c r="D143" s="709"/>
      <c r="E143" s="232"/>
      <c r="F143" s="199"/>
      <c r="G143" s="321"/>
      <c r="H143" s="1634">
        <v>28222945.059999999</v>
      </c>
      <c r="I143" s="1634">
        <v>25951435.050000001</v>
      </c>
      <c r="J143" s="1639">
        <f t="shared" si="1"/>
        <v>27087190.055</v>
      </c>
      <c r="K143" s="1642"/>
      <c r="L143" s="1641"/>
      <c r="M143" s="1636"/>
      <c r="N143" s="737"/>
    </row>
    <row r="144" spans="1:15" ht="16.5" customHeight="1">
      <c r="A144" s="196"/>
      <c r="B144" s="230"/>
      <c r="C144" s="1632" t="s">
        <v>86</v>
      </c>
      <c r="D144" s="211"/>
      <c r="E144" s="232"/>
      <c r="F144" s="199"/>
      <c r="G144" s="321"/>
      <c r="H144" s="1634">
        <v>2113231.06</v>
      </c>
      <c r="I144" s="1634">
        <v>1976363.78</v>
      </c>
      <c r="J144" s="1639">
        <f t="shared" si="1"/>
        <v>2044797.42</v>
      </c>
      <c r="K144" s="1642"/>
      <c r="L144" s="1641"/>
      <c r="M144" s="1636"/>
      <c r="N144" s="737"/>
    </row>
    <row r="145" spans="1:15" ht="16.5" customHeight="1">
      <c r="A145" s="196"/>
      <c r="B145" s="230"/>
      <c r="C145" s="1632" t="s">
        <v>521</v>
      </c>
      <c r="D145" s="211"/>
      <c r="E145" s="232"/>
      <c r="F145" s="199"/>
      <c r="G145" s="321"/>
      <c r="H145" s="1634">
        <v>-128137502.92</v>
      </c>
      <c r="I145" s="1634">
        <v>-195703851.97999999</v>
      </c>
      <c r="J145" s="1639">
        <f t="shared" si="1"/>
        <v>-161920677.44999999</v>
      </c>
      <c r="K145" s="1642"/>
      <c r="L145" s="1641"/>
      <c r="M145" s="1636"/>
      <c r="N145" s="737"/>
    </row>
    <row r="146" spans="1:15" ht="16.5" customHeight="1">
      <c r="A146" s="196"/>
      <c r="B146" s="230"/>
      <c r="C146" s="1632"/>
      <c r="D146" s="211"/>
      <c r="E146" s="232"/>
      <c r="F146" s="199"/>
      <c r="G146" s="321"/>
      <c r="H146" s="1634"/>
      <c r="I146" s="1634"/>
      <c r="J146" s="1639">
        <f t="shared" si="1"/>
        <v>0</v>
      </c>
      <c r="K146" s="1642"/>
      <c r="L146" s="1641"/>
      <c r="M146" s="1636"/>
      <c r="N146" s="737"/>
    </row>
    <row r="147" spans="1:15" ht="16.5" customHeight="1">
      <c r="A147" s="196"/>
      <c r="B147" s="230"/>
      <c r="C147" s="1783"/>
      <c r="D147" s="211"/>
      <c r="E147" s="232"/>
      <c r="F147" s="199"/>
      <c r="G147" s="321"/>
      <c r="H147" s="1634"/>
      <c r="I147" s="1634"/>
      <c r="J147" s="1639">
        <f t="shared" si="1"/>
        <v>0</v>
      </c>
      <c r="K147" s="1642"/>
      <c r="L147" s="1641"/>
      <c r="M147" s="1636"/>
      <c r="N147" s="737"/>
    </row>
    <row r="148" spans="1:15" ht="16.5" customHeight="1">
      <c r="A148" s="196"/>
      <c r="B148" s="230"/>
      <c r="C148" s="1632"/>
      <c r="D148" s="211"/>
      <c r="E148" s="232"/>
      <c r="F148" s="199"/>
      <c r="G148" s="633"/>
      <c r="H148" s="1643"/>
      <c r="I148" s="1643"/>
      <c r="J148" s="1639">
        <f t="shared" si="1"/>
        <v>0</v>
      </c>
      <c r="K148" s="1642"/>
      <c r="L148" s="1641"/>
      <c r="M148" s="1636"/>
      <c r="N148" s="737"/>
    </row>
    <row r="149" spans="1:15" ht="16.5" customHeight="1">
      <c r="A149" s="196"/>
      <c r="B149" s="230"/>
      <c r="C149" s="1633"/>
      <c r="D149" s="211"/>
      <c r="E149" s="199" t="s">
        <v>268</v>
      </c>
      <c r="F149" s="231"/>
      <c r="G149" s="246"/>
      <c r="H149" s="1638">
        <f>SUM(H136:H148)</f>
        <v>-61666906.5</v>
      </c>
      <c r="I149" s="1638">
        <f>SUM(I136:I148)</f>
        <v>-121919539.68999998</v>
      </c>
      <c r="J149" s="1639">
        <f>(I149+H149)/2</f>
        <v>-91793223.094999999</v>
      </c>
      <c r="K149" s="1640">
        <f>+'ATT H-1 '!H13</f>
        <v>0.10926820886382468</v>
      </c>
      <c r="L149" s="1457">
        <f>+J149*K149</f>
        <v>-10030081.073428115</v>
      </c>
      <c r="M149" s="1636"/>
      <c r="N149" s="737"/>
      <c r="O149" s="413"/>
    </row>
    <row r="150" spans="1:15" ht="16.5" customHeight="1">
      <c r="A150" s="196"/>
      <c r="B150" s="230"/>
      <c r="C150" s="1631"/>
      <c r="D150" s="211"/>
      <c r="E150" s="195"/>
      <c r="F150" s="199"/>
      <c r="G150" s="633"/>
      <c r="H150" s="1638"/>
      <c r="I150" s="1638"/>
      <c r="J150" s="1638"/>
      <c r="K150" s="1640"/>
      <c r="L150" s="1641"/>
      <c r="M150" s="1636"/>
      <c r="N150" s="737"/>
      <c r="O150" s="413"/>
    </row>
    <row r="151" spans="1:15" ht="16.5" customHeight="1">
      <c r="A151" s="196"/>
      <c r="B151" s="242" t="s">
        <v>169</v>
      </c>
      <c r="C151" s="1631"/>
      <c r="D151" s="211"/>
      <c r="E151" s="232"/>
      <c r="F151" s="233"/>
      <c r="G151" s="633"/>
      <c r="H151" s="1638"/>
      <c r="I151" s="1638"/>
      <c r="J151" s="1638"/>
      <c r="K151" s="1636"/>
      <c r="L151" s="1636"/>
      <c r="M151" s="1636"/>
      <c r="N151" s="1263"/>
      <c r="O151" s="413"/>
    </row>
    <row r="152" spans="1:15" ht="16.5" customHeight="1">
      <c r="A152" s="196"/>
      <c r="B152" s="230"/>
      <c r="C152" s="1633" t="s">
        <v>1181</v>
      </c>
      <c r="D152" s="211"/>
      <c r="E152" s="232" t="s">
        <v>270</v>
      </c>
      <c r="F152" s="233"/>
      <c r="G152" s="633"/>
      <c r="H152" s="1638">
        <v>67420386.450000003</v>
      </c>
      <c r="I152" s="1638">
        <v>55504.02</v>
      </c>
      <c r="J152" s="1639">
        <f t="shared" ref="J152:J194" si="2">(I152+H152)/2</f>
        <v>33737945.234999999</v>
      </c>
      <c r="K152" s="1636"/>
      <c r="L152" s="1636"/>
      <c r="M152" s="1644"/>
      <c r="N152" s="1263"/>
      <c r="O152" s="413"/>
    </row>
    <row r="153" spans="1:15" ht="16.5" customHeight="1">
      <c r="A153" s="196"/>
      <c r="B153" s="230"/>
      <c r="C153" s="1633" t="s">
        <v>1182</v>
      </c>
      <c r="D153" s="211"/>
      <c r="E153" s="232"/>
      <c r="F153" s="233"/>
      <c r="G153" s="633"/>
      <c r="H153" s="1638">
        <v>352338.44</v>
      </c>
      <c r="I153" s="1638">
        <v>130868.56</v>
      </c>
      <c r="J153" s="1639">
        <f t="shared" si="2"/>
        <v>241603.5</v>
      </c>
      <c r="K153" s="1640"/>
      <c r="L153" s="1641"/>
      <c r="M153" s="1644"/>
      <c r="N153" s="1263"/>
    </row>
    <row r="154" spans="1:15" ht="16.5" customHeight="1">
      <c r="A154" s="196"/>
      <c r="B154" s="230"/>
      <c r="C154" s="1633" t="s">
        <v>1209</v>
      </c>
      <c r="D154" s="211"/>
      <c r="E154" s="232"/>
      <c r="F154" s="233"/>
      <c r="G154" s="633"/>
      <c r="H154" s="1638">
        <v>1327732.1399999999</v>
      </c>
      <c r="I154" s="1638">
        <v>1409924.92</v>
      </c>
      <c r="J154" s="1639">
        <f t="shared" si="2"/>
        <v>1368828.5299999998</v>
      </c>
      <c r="K154" s="1640"/>
      <c r="L154" s="1641"/>
      <c r="M154" s="1644"/>
      <c r="N154" s="1263"/>
    </row>
    <row r="155" spans="1:15" ht="16.5" customHeight="1">
      <c r="A155" s="196"/>
      <c r="B155" s="230"/>
      <c r="C155" s="1633" t="s">
        <v>1273</v>
      </c>
      <c r="D155" s="211"/>
      <c r="E155" s="232"/>
      <c r="F155" s="233"/>
      <c r="G155" s="633"/>
      <c r="H155" s="1638">
        <v>31921.51</v>
      </c>
      <c r="I155" s="1638">
        <v>33114.35</v>
      </c>
      <c r="J155" s="1639">
        <f t="shared" si="2"/>
        <v>32517.93</v>
      </c>
      <c r="K155" s="1640"/>
      <c r="L155" s="1641"/>
      <c r="M155" s="1644"/>
      <c r="N155" s="1263"/>
    </row>
    <row r="156" spans="1:15" ht="16.5" customHeight="1">
      <c r="A156" s="196"/>
      <c r="B156" s="230"/>
      <c r="C156" s="1633" t="s">
        <v>1183</v>
      </c>
      <c r="D156" s="211"/>
      <c r="E156" s="232"/>
      <c r="F156" s="233"/>
      <c r="G156" s="633"/>
      <c r="H156" s="1638">
        <v>0</v>
      </c>
      <c r="I156" s="1638"/>
      <c r="J156" s="1639">
        <f t="shared" si="2"/>
        <v>0</v>
      </c>
      <c r="K156" s="1640"/>
      <c r="L156" s="1641"/>
      <c r="M156" s="1644"/>
      <c r="N156" s="1263"/>
    </row>
    <row r="157" spans="1:15" ht="16.5" customHeight="1">
      <c r="A157" s="196"/>
      <c r="B157" s="230"/>
      <c r="C157" s="1633" t="s">
        <v>1184</v>
      </c>
      <c r="D157" s="211"/>
      <c r="E157" s="232"/>
      <c r="F157" s="233"/>
      <c r="G157" s="633"/>
      <c r="H157" s="1638">
        <v>365298.03</v>
      </c>
      <c r="I157" s="1638">
        <v>370386.63</v>
      </c>
      <c r="J157" s="1639">
        <f t="shared" si="2"/>
        <v>367842.33</v>
      </c>
      <c r="K157" s="1640"/>
      <c r="L157" s="1641"/>
      <c r="M157" s="1644"/>
      <c r="N157" s="1263"/>
    </row>
    <row r="158" spans="1:15" ht="16.5" customHeight="1">
      <c r="A158" s="196"/>
      <c r="B158" s="230"/>
      <c r="C158" s="1633" t="s">
        <v>1185</v>
      </c>
      <c r="D158" s="211"/>
      <c r="E158" s="232"/>
      <c r="F158" s="233"/>
      <c r="G158" s="633"/>
      <c r="H158" s="1638">
        <v>154552.70000000001</v>
      </c>
      <c r="I158" s="1638">
        <v>125757.35</v>
      </c>
      <c r="J158" s="1639">
        <f t="shared" si="2"/>
        <v>140155.02500000002</v>
      </c>
      <c r="K158" s="1640"/>
      <c r="L158" s="1641"/>
      <c r="M158" s="1644"/>
      <c r="N158" s="1263"/>
    </row>
    <row r="159" spans="1:15" ht="16.5" customHeight="1">
      <c r="A159" s="196"/>
      <c r="B159" s="230"/>
      <c r="C159" s="1633" t="s">
        <v>1186</v>
      </c>
      <c r="D159" s="211"/>
      <c r="E159" s="232"/>
      <c r="F159" s="233"/>
      <c r="G159" s="633"/>
      <c r="H159" s="1638">
        <v>154552.70000000001</v>
      </c>
      <c r="I159" s="1638">
        <v>125757.35</v>
      </c>
      <c r="J159" s="1639">
        <f t="shared" si="2"/>
        <v>140155.02500000002</v>
      </c>
      <c r="K159" s="1640"/>
      <c r="L159" s="1641"/>
      <c r="M159" s="1644"/>
      <c r="N159" s="1263"/>
    </row>
    <row r="160" spans="1:15" ht="16.5" customHeight="1">
      <c r="A160" s="196"/>
      <c r="B160" s="230"/>
      <c r="C160" s="1633" t="s">
        <v>1187</v>
      </c>
      <c r="D160" s="211"/>
      <c r="E160" s="232"/>
      <c r="F160" s="233"/>
      <c r="G160" s="633"/>
      <c r="H160" s="1638">
        <v>37730.300000000003</v>
      </c>
      <c r="I160" s="1638">
        <v>29543.9</v>
      </c>
      <c r="J160" s="1639">
        <f t="shared" si="2"/>
        <v>33637.100000000006</v>
      </c>
      <c r="K160" s="1636"/>
      <c r="L160" s="1641"/>
      <c r="M160" s="1644"/>
      <c r="N160" s="1263"/>
    </row>
    <row r="161" spans="1:16" ht="16.5" customHeight="1">
      <c r="A161" s="196"/>
      <c r="B161" s="230"/>
      <c r="C161" s="1633" t="s">
        <v>1188</v>
      </c>
      <c r="D161" s="211"/>
      <c r="E161" s="232"/>
      <c r="F161" s="233"/>
      <c r="G161" s="633"/>
      <c r="H161" s="1638">
        <v>37730.300000000003</v>
      </c>
      <c r="I161" s="1638">
        <v>29543.9</v>
      </c>
      <c r="J161" s="1639">
        <f t="shared" si="2"/>
        <v>33637.100000000006</v>
      </c>
      <c r="K161" s="1636"/>
      <c r="L161" s="1641"/>
      <c r="M161" s="1644"/>
      <c r="N161" s="1263"/>
    </row>
    <row r="162" spans="1:16" ht="16.5" customHeight="1">
      <c r="A162" s="196"/>
      <c r="B162" s="230"/>
      <c r="C162" s="1633" t="s">
        <v>1189</v>
      </c>
      <c r="D162" s="211"/>
      <c r="E162" s="232"/>
      <c r="F162" s="233"/>
      <c r="G162" s="633"/>
      <c r="H162" s="1638">
        <v>1166666</v>
      </c>
      <c r="I162" s="1638">
        <v>7343601.7699999996</v>
      </c>
      <c r="J162" s="1639">
        <f t="shared" si="2"/>
        <v>4255133.8849999998</v>
      </c>
      <c r="K162" s="1636"/>
      <c r="L162" s="1641"/>
      <c r="M162" s="1644"/>
      <c r="N162" s="1263"/>
    </row>
    <row r="163" spans="1:16" ht="16.5" customHeight="1">
      <c r="A163" s="196"/>
      <c r="B163" s="230"/>
      <c r="C163" s="1633" t="s">
        <v>1323</v>
      </c>
      <c r="D163" s="211"/>
      <c r="E163" s="232"/>
      <c r="F163" s="233"/>
      <c r="G163" s="633"/>
      <c r="H163" s="1638">
        <v>0</v>
      </c>
      <c r="I163" s="1638"/>
      <c r="J163" s="1639">
        <f t="shared" si="2"/>
        <v>0</v>
      </c>
      <c r="K163" s="1636"/>
      <c r="L163" s="1641"/>
      <c r="M163" s="1644"/>
      <c r="N163" s="1263"/>
    </row>
    <row r="164" spans="1:16" ht="16.5" customHeight="1">
      <c r="A164" s="196"/>
      <c r="B164" s="230"/>
      <c r="C164" s="1633" t="s">
        <v>1274</v>
      </c>
      <c r="D164" s="211"/>
      <c r="E164" s="232"/>
      <c r="F164" s="233"/>
      <c r="G164" s="633"/>
      <c r="H164" s="1638"/>
      <c r="I164" s="1638"/>
      <c r="J164" s="1639">
        <f t="shared" si="2"/>
        <v>0</v>
      </c>
      <c r="K164" s="1636"/>
      <c r="L164" s="1641"/>
      <c r="M164" s="1644"/>
      <c r="N164" s="1263"/>
      <c r="P164" s="234"/>
    </row>
    <row r="165" spans="1:16" ht="16.5" customHeight="1">
      <c r="A165" s="196"/>
      <c r="B165" s="230"/>
      <c r="C165" s="1865" t="s">
        <v>1275</v>
      </c>
      <c r="D165" s="211"/>
      <c r="E165" s="232"/>
      <c r="F165" s="233"/>
      <c r="G165" s="633"/>
      <c r="H165" s="1638">
        <v>406375</v>
      </c>
      <c r="I165" s="1638">
        <v>418566.31</v>
      </c>
      <c r="J165" s="1639">
        <f t="shared" si="2"/>
        <v>412470.65500000003</v>
      </c>
      <c r="K165" s="1636"/>
      <c r="L165" s="1641"/>
      <c r="M165" s="1644"/>
      <c r="N165" s="1263"/>
      <c r="P165" s="234"/>
    </row>
    <row r="166" spans="1:16" ht="16.5" customHeight="1">
      <c r="A166" s="196"/>
      <c r="B166" s="230"/>
      <c r="C166" s="1633" t="s">
        <v>1276</v>
      </c>
      <c r="D166" s="211"/>
      <c r="E166" s="232"/>
      <c r="F166" s="233"/>
      <c r="G166" s="633"/>
      <c r="H166" s="1638">
        <v>120352.94</v>
      </c>
      <c r="I166" s="1638">
        <v>123963.65</v>
      </c>
      <c r="J166" s="1639">
        <f t="shared" si="2"/>
        <v>122158.295</v>
      </c>
      <c r="K166" s="1636"/>
      <c r="L166" s="1641"/>
      <c r="M166" s="1644"/>
      <c r="N166" s="1263"/>
      <c r="P166" s="234"/>
    </row>
    <row r="167" spans="1:16" ht="16.5" customHeight="1">
      <c r="A167" s="196"/>
      <c r="B167" s="230"/>
      <c r="C167" s="1633" t="s">
        <v>1277</v>
      </c>
      <c r="D167" s="211"/>
      <c r="E167" s="232"/>
      <c r="F167" s="233"/>
      <c r="G167" s="633"/>
      <c r="H167" s="1638">
        <v>120352.94</v>
      </c>
      <c r="I167" s="1638">
        <v>123963.56</v>
      </c>
      <c r="J167" s="1639">
        <f t="shared" si="2"/>
        <v>122158.25</v>
      </c>
      <c r="K167" s="1636"/>
      <c r="L167" s="1641"/>
      <c r="M167" s="1644"/>
      <c r="N167" s="1263"/>
      <c r="P167" s="234"/>
    </row>
    <row r="168" spans="1:16" ht="16.5" customHeight="1">
      <c r="A168" s="196"/>
      <c r="B168" s="230"/>
      <c r="C168" s="1633" t="s">
        <v>1278</v>
      </c>
      <c r="D168" s="211"/>
      <c r="E168" s="232"/>
      <c r="F168" s="233"/>
      <c r="G168" s="633"/>
      <c r="H168" s="1638">
        <v>356667.67</v>
      </c>
      <c r="I168" s="1638">
        <v>541666.71</v>
      </c>
      <c r="J168" s="1639">
        <f t="shared" si="2"/>
        <v>449167.18999999994</v>
      </c>
      <c r="K168" s="1636"/>
      <c r="L168" s="1641"/>
      <c r="M168" s="1644"/>
      <c r="N168" s="1263"/>
      <c r="P168" s="234"/>
    </row>
    <row r="169" spans="1:16" ht="16.5" customHeight="1">
      <c r="A169" s="196"/>
      <c r="B169" s="230"/>
      <c r="C169" s="1633" t="s">
        <v>1190</v>
      </c>
      <c r="D169" s="211"/>
      <c r="E169" s="232"/>
      <c r="F169" s="233"/>
      <c r="G169" s="633"/>
      <c r="H169" s="1638">
        <v>390302.16</v>
      </c>
      <c r="I169" s="1638">
        <v>437540.56</v>
      </c>
      <c r="J169" s="1639">
        <f t="shared" si="2"/>
        <v>413921.36</v>
      </c>
      <c r="K169" s="1636"/>
      <c r="L169" s="1641"/>
      <c r="M169" s="1644"/>
      <c r="N169" s="1263"/>
      <c r="P169" s="234"/>
    </row>
    <row r="170" spans="1:16" ht="16.5" customHeight="1">
      <c r="A170" s="196"/>
      <c r="B170" s="230"/>
      <c r="C170" s="1633" t="s">
        <v>1191</v>
      </c>
      <c r="D170" s="211"/>
      <c r="E170" s="232"/>
      <c r="F170" s="233"/>
      <c r="G170" s="633"/>
      <c r="H170" s="1638">
        <v>164597.14000000001</v>
      </c>
      <c r="I170" s="1638">
        <v>201565.96</v>
      </c>
      <c r="J170" s="1639">
        <f t="shared" si="2"/>
        <v>183081.55</v>
      </c>
      <c r="K170" s="1636"/>
      <c r="L170" s="1641"/>
      <c r="M170" s="1644"/>
      <c r="N170" s="1263"/>
      <c r="P170" s="234"/>
    </row>
    <row r="171" spans="1:16" ht="16.5" customHeight="1">
      <c r="A171" s="196"/>
      <c r="B171" s="230"/>
      <c r="C171" s="1633" t="s">
        <v>1192</v>
      </c>
      <c r="D171" s="211"/>
      <c r="E171" s="232"/>
      <c r="F171" s="233"/>
      <c r="G171" s="633"/>
      <c r="H171" s="1638">
        <v>186341.14</v>
      </c>
      <c r="I171" s="1638">
        <v>209559.49</v>
      </c>
      <c r="J171" s="1639">
        <f t="shared" si="2"/>
        <v>197950.315</v>
      </c>
      <c r="K171" s="1636"/>
      <c r="L171" s="1641"/>
      <c r="M171" s="1644"/>
      <c r="N171" s="1263"/>
      <c r="P171" s="234"/>
    </row>
    <row r="172" spans="1:16" ht="16.5" customHeight="1">
      <c r="A172" s="196"/>
      <c r="B172" s="230"/>
      <c r="C172" s="1633" t="s">
        <v>1193</v>
      </c>
      <c r="D172" s="211"/>
      <c r="E172" s="232"/>
      <c r="F172" s="233"/>
      <c r="G172" s="633"/>
      <c r="H172" s="1638">
        <v>122717.65</v>
      </c>
      <c r="I172" s="1638">
        <v>98038.47</v>
      </c>
      <c r="J172" s="1639">
        <f t="shared" si="2"/>
        <v>110378.06</v>
      </c>
      <c r="K172" s="1636"/>
      <c r="L172" s="1641"/>
      <c r="M172" s="1644"/>
      <c r="N172" s="1263"/>
      <c r="P172" s="234"/>
    </row>
    <row r="173" spans="1:16" ht="16.5" customHeight="1">
      <c r="A173" s="196"/>
      <c r="B173" s="230"/>
      <c r="C173" s="1633" t="s">
        <v>1194</v>
      </c>
      <c r="D173" s="211"/>
      <c r="E173" s="232"/>
      <c r="F173" s="233"/>
      <c r="G173" s="633"/>
      <c r="H173" s="1638">
        <v>69615.3</v>
      </c>
      <c r="I173" s="1638">
        <v>146073.85999999999</v>
      </c>
      <c r="J173" s="1639">
        <f t="shared" si="2"/>
        <v>107844.57999999999</v>
      </c>
      <c r="K173" s="1636"/>
      <c r="L173" s="1641"/>
      <c r="M173" s="1644"/>
      <c r="N173" s="1263"/>
      <c r="P173" s="2"/>
    </row>
    <row r="174" spans="1:16" ht="16.5" customHeight="1">
      <c r="A174" s="196"/>
      <c r="B174" s="230"/>
      <c r="C174" s="1633" t="s">
        <v>1324</v>
      </c>
      <c r="D174" s="211"/>
      <c r="E174" s="232"/>
      <c r="F174" s="233"/>
      <c r="G174" s="633"/>
      <c r="H174" s="1638">
        <v>37274.620000000003</v>
      </c>
      <c r="I174" s="1638">
        <v>38970.620000000003</v>
      </c>
      <c r="J174" s="1639">
        <f t="shared" si="2"/>
        <v>38122.620000000003</v>
      </c>
      <c r="K174" s="1636"/>
      <c r="L174" s="1641"/>
      <c r="M174" s="1644"/>
      <c r="N174" s="1263"/>
      <c r="P174" s="2"/>
    </row>
    <row r="175" spans="1:16" ht="16.5" customHeight="1">
      <c r="A175" s="196"/>
      <c r="B175" s="230"/>
      <c r="C175" s="1633" t="s">
        <v>1195</v>
      </c>
      <c r="D175" s="211"/>
      <c r="E175" s="232"/>
      <c r="F175" s="233"/>
      <c r="G175" s="633"/>
      <c r="H175" s="1638">
        <v>48207.91</v>
      </c>
      <c r="I175" s="1638">
        <v>50401.37</v>
      </c>
      <c r="J175" s="1639">
        <f t="shared" si="2"/>
        <v>49304.639999999999</v>
      </c>
      <c r="K175" s="1636"/>
      <c r="L175" s="1641"/>
      <c r="M175" s="1644"/>
      <c r="N175" s="1263"/>
      <c r="P175" s="234"/>
    </row>
    <row r="176" spans="1:16" ht="16.5" customHeight="1">
      <c r="A176" s="196"/>
      <c r="B176" s="230"/>
      <c r="C176" s="1633" t="s">
        <v>1196</v>
      </c>
      <c r="D176" s="211"/>
      <c r="E176" s="232"/>
      <c r="F176" s="233"/>
      <c r="G176" s="633"/>
      <c r="H176" s="1638">
        <v>397551.08</v>
      </c>
      <c r="I176" s="1638">
        <v>504078.62</v>
      </c>
      <c r="J176" s="1639">
        <f t="shared" si="2"/>
        <v>450814.85</v>
      </c>
      <c r="K176" s="1636"/>
      <c r="L176" s="1641"/>
      <c r="M176" s="1644"/>
      <c r="N176" s="1263"/>
      <c r="P176" s="234"/>
    </row>
    <row r="177" spans="1:16" ht="16.5" customHeight="1">
      <c r="A177" s="196"/>
      <c r="B177" s="230"/>
      <c r="C177" s="1633" t="s">
        <v>1197</v>
      </c>
      <c r="D177" s="211"/>
      <c r="E177" s="232"/>
      <c r="F177" s="233"/>
      <c r="G177" s="633"/>
      <c r="H177" s="1638">
        <v>143312.95000000001</v>
      </c>
      <c r="I177" s="1638">
        <v>149833.69</v>
      </c>
      <c r="J177" s="1639">
        <f t="shared" si="2"/>
        <v>146573.32</v>
      </c>
      <c r="K177" s="1636"/>
      <c r="L177" s="1641"/>
      <c r="M177" s="1644"/>
      <c r="N177" s="1263"/>
    </row>
    <row r="178" spans="1:16" ht="16.5" customHeight="1">
      <c r="A178" s="196"/>
      <c r="B178" s="193"/>
      <c r="C178" s="1633" t="s">
        <v>1198</v>
      </c>
      <c r="D178" s="103"/>
      <c r="E178" s="634"/>
      <c r="F178" s="233"/>
      <c r="G178" s="633"/>
      <c r="H178" s="1638">
        <v>87763.04</v>
      </c>
      <c r="I178" s="1638">
        <v>91756.26</v>
      </c>
      <c r="J178" s="1639">
        <f t="shared" si="2"/>
        <v>89759.65</v>
      </c>
      <c r="K178" s="1636"/>
      <c r="L178" s="1641"/>
      <c r="M178" s="1644"/>
      <c r="N178" s="1263"/>
    </row>
    <row r="179" spans="1:16" ht="16.5" customHeight="1">
      <c r="A179" s="196"/>
      <c r="B179" s="193"/>
      <c r="C179" s="1633" t="s">
        <v>1199</v>
      </c>
      <c r="D179" s="103"/>
      <c r="E179" s="634"/>
      <c r="F179" s="233"/>
      <c r="G179" s="633"/>
      <c r="H179" s="1638">
        <v>16471.91</v>
      </c>
      <c r="I179" s="1638">
        <v>17221.38</v>
      </c>
      <c r="J179" s="1639">
        <f t="shared" si="2"/>
        <v>16846.645</v>
      </c>
      <c r="K179" s="1636"/>
      <c r="L179" s="1641"/>
      <c r="M179" s="1644"/>
      <c r="N179" s="1263"/>
    </row>
    <row r="180" spans="1:16" ht="16.5" customHeight="1">
      <c r="A180" s="196"/>
      <c r="B180" s="193"/>
      <c r="C180" s="1633" t="s">
        <v>1200</v>
      </c>
      <c r="D180" s="103"/>
      <c r="E180" s="634"/>
      <c r="F180" s="233"/>
      <c r="G180" s="633"/>
      <c r="H180" s="1638">
        <v>2516269.96</v>
      </c>
      <c r="I180" s="1638">
        <v>2625832.44</v>
      </c>
      <c r="J180" s="1639">
        <f t="shared" si="2"/>
        <v>2571051.2000000002</v>
      </c>
      <c r="K180" s="1636"/>
      <c r="L180" s="1641"/>
      <c r="M180" s="1644"/>
      <c r="N180" s="1263"/>
    </row>
    <row r="181" spans="1:16" ht="16.5" customHeight="1">
      <c r="A181" s="196"/>
      <c r="B181" s="193"/>
      <c r="C181" s="1633" t="s">
        <v>1201</v>
      </c>
      <c r="D181" s="103"/>
      <c r="E181" s="634"/>
      <c r="F181" s="233"/>
      <c r="G181" s="633"/>
      <c r="H181" s="1638">
        <v>145403.66</v>
      </c>
      <c r="I181" s="1638">
        <v>112093.59</v>
      </c>
      <c r="J181" s="1639">
        <f t="shared" si="2"/>
        <v>128748.625</v>
      </c>
      <c r="K181" s="1636"/>
      <c r="L181" s="1641"/>
      <c r="M181" s="1644"/>
      <c r="N181" s="1263"/>
    </row>
    <row r="182" spans="1:16" ht="16.5" customHeight="1">
      <c r="A182" s="196"/>
      <c r="B182" s="193"/>
      <c r="C182" s="1633" t="s">
        <v>1202</v>
      </c>
      <c r="D182" s="103"/>
      <c r="E182" s="634"/>
      <c r="F182" s="233"/>
      <c r="G182" s="633"/>
      <c r="H182" s="1638">
        <v>78257.8</v>
      </c>
      <c r="I182" s="1638">
        <v>81818.53</v>
      </c>
      <c r="J182" s="1639">
        <f t="shared" si="2"/>
        <v>80038.165000000008</v>
      </c>
      <c r="K182" s="1636"/>
      <c r="L182" s="1641"/>
      <c r="M182" s="1644"/>
      <c r="N182" s="1263"/>
    </row>
    <row r="183" spans="1:16" ht="16.5" customHeight="1">
      <c r="A183" s="196"/>
      <c r="B183" s="193"/>
      <c r="C183" s="1633" t="s">
        <v>1203</v>
      </c>
      <c r="D183" s="103"/>
      <c r="E183" s="634"/>
      <c r="F183" s="233"/>
      <c r="G183" s="633"/>
      <c r="H183" s="1638">
        <v>230970.58</v>
      </c>
      <c r="I183" s="1638">
        <v>241479.74</v>
      </c>
      <c r="J183" s="1639">
        <f t="shared" si="2"/>
        <v>236225.15999999997</v>
      </c>
      <c r="K183" s="1636"/>
      <c r="L183" s="1641"/>
      <c r="M183" s="1644"/>
      <c r="N183" s="1263"/>
      <c r="P183" s="234"/>
    </row>
    <row r="184" spans="1:16" ht="16.5" customHeight="1">
      <c r="A184" s="196"/>
      <c r="B184" s="193"/>
      <c r="C184" s="1633" t="s">
        <v>1204</v>
      </c>
      <c r="D184" s="103"/>
      <c r="E184" s="634"/>
      <c r="F184" s="233"/>
      <c r="G184" s="633"/>
      <c r="H184" s="1638">
        <v>3624475.94</v>
      </c>
      <c r="I184" s="1638">
        <v>2795195.71</v>
      </c>
      <c r="J184" s="1639">
        <f t="shared" si="2"/>
        <v>3209835.8250000002</v>
      </c>
      <c r="K184" s="1636"/>
      <c r="L184" s="1641"/>
      <c r="M184" s="1644"/>
      <c r="N184" s="1263"/>
      <c r="P184" s="234"/>
    </row>
    <row r="185" spans="1:16" ht="16.5" customHeight="1">
      <c r="A185" s="196"/>
      <c r="B185" s="193"/>
      <c r="C185" s="1633" t="s">
        <v>1205</v>
      </c>
      <c r="D185" s="103"/>
      <c r="E185" s="634"/>
      <c r="F185" s="233"/>
      <c r="G185" s="633"/>
      <c r="H185" s="1638">
        <v>209908.87</v>
      </c>
      <c r="I185" s="1638">
        <v>241097.24</v>
      </c>
      <c r="J185" s="1639">
        <f t="shared" si="2"/>
        <v>225503.05499999999</v>
      </c>
      <c r="K185" s="1636"/>
      <c r="L185" s="1641"/>
      <c r="M185" s="1644"/>
      <c r="N185" s="1263"/>
      <c r="P185" s="234"/>
    </row>
    <row r="186" spans="1:16" ht="16.5" customHeight="1">
      <c r="A186" s="196"/>
      <c r="B186" s="193"/>
      <c r="C186" s="1633" t="s">
        <v>1206</v>
      </c>
      <c r="D186" s="103"/>
      <c r="E186" s="634"/>
      <c r="F186" s="233"/>
      <c r="G186" s="633"/>
      <c r="H186" s="1638">
        <v>104128.74</v>
      </c>
      <c r="I186" s="1638">
        <v>150716.17000000001</v>
      </c>
      <c r="J186" s="1639">
        <f t="shared" si="2"/>
        <v>127422.45500000002</v>
      </c>
      <c r="K186" s="1636"/>
      <c r="L186" s="1641"/>
      <c r="M186" s="1644"/>
      <c r="N186" s="1263"/>
      <c r="P186" s="234"/>
    </row>
    <row r="187" spans="1:16" ht="16.5" customHeight="1">
      <c r="A187" s="196"/>
      <c r="B187" s="193"/>
      <c r="C187" s="1633" t="s">
        <v>1207</v>
      </c>
      <c r="D187" s="242"/>
      <c r="E187" s="242"/>
      <c r="F187" s="635"/>
      <c r="G187" s="196"/>
      <c r="H187" s="1638">
        <v>147937.88</v>
      </c>
      <c r="I187" s="1638">
        <v>143184.44</v>
      </c>
      <c r="J187" s="1639">
        <f t="shared" si="2"/>
        <v>145561.16</v>
      </c>
      <c r="K187" s="1636"/>
      <c r="L187" s="1645"/>
      <c r="M187" s="1636"/>
      <c r="N187" s="1263"/>
      <c r="P187" s="234"/>
    </row>
    <row r="188" spans="1:16" ht="16.5" customHeight="1">
      <c r="A188" s="196"/>
      <c r="B188" s="193"/>
      <c r="C188" s="1633" t="s">
        <v>1208</v>
      </c>
      <c r="D188" s="242"/>
      <c r="E188" s="242"/>
      <c r="F188" s="635"/>
      <c r="G188" s="196"/>
      <c r="H188" s="1634">
        <v>45838.55</v>
      </c>
      <c r="I188" s="1634">
        <v>51768.09</v>
      </c>
      <c r="J188" s="1639">
        <f t="shared" si="2"/>
        <v>48803.32</v>
      </c>
      <c r="K188" s="1636"/>
      <c r="L188" s="1645"/>
      <c r="M188" s="1636"/>
      <c r="N188" s="1263"/>
      <c r="P188" s="234"/>
    </row>
    <row r="189" spans="1:16" ht="16.5" customHeight="1">
      <c r="A189" s="196"/>
      <c r="B189" s="193"/>
      <c r="C189" s="1633" t="s">
        <v>1325</v>
      </c>
      <c r="D189" s="242"/>
      <c r="E189" s="242"/>
      <c r="F189" s="635"/>
      <c r="G189" s="196"/>
      <c r="H189" s="1634">
        <v>2025.3</v>
      </c>
      <c r="I189" s="1634">
        <v>2025.3</v>
      </c>
      <c r="J189" s="1639">
        <f t="shared" si="2"/>
        <v>2025.3</v>
      </c>
      <c r="K189" s="1636"/>
      <c r="L189" s="1645"/>
      <c r="M189" s="1636"/>
      <c r="N189" s="1263"/>
      <c r="P189" s="234"/>
    </row>
    <row r="190" spans="1:16" ht="16.5" customHeight="1">
      <c r="A190" s="196"/>
      <c r="B190" s="193"/>
      <c r="C190" s="1633" t="s">
        <v>1279</v>
      </c>
      <c r="D190" s="242"/>
      <c r="E190" s="242"/>
      <c r="F190" s="635"/>
      <c r="G190" s="196"/>
      <c r="H190" s="1634">
        <v>450770.8</v>
      </c>
      <c r="I190" s="1634">
        <v>524150.25</v>
      </c>
      <c r="J190" s="1639">
        <f t="shared" si="2"/>
        <v>487460.52500000002</v>
      </c>
      <c r="K190" s="1636"/>
      <c r="L190" s="1645"/>
      <c r="M190" s="1636"/>
      <c r="N190" s="1263"/>
      <c r="P190" s="234"/>
    </row>
    <row r="191" spans="1:16" ht="16.5" customHeight="1">
      <c r="A191" s="196"/>
      <c r="B191" s="193"/>
      <c r="C191" s="1633" t="s">
        <v>1210</v>
      </c>
      <c r="D191" s="242"/>
      <c r="E191" s="242"/>
      <c r="F191" s="635"/>
      <c r="G191" s="196"/>
      <c r="H191" s="1634">
        <v>162211.14000000001</v>
      </c>
      <c r="I191" s="1634">
        <v>206441.32</v>
      </c>
      <c r="J191" s="1639">
        <f t="shared" si="2"/>
        <v>184326.23</v>
      </c>
      <c r="K191" s="1636"/>
      <c r="L191" s="1645"/>
      <c r="M191" s="1636"/>
      <c r="N191" s="1263"/>
      <c r="P191" s="234"/>
    </row>
    <row r="192" spans="1:16" ht="16.5" customHeight="1">
      <c r="A192" s="196"/>
      <c r="B192" s="193"/>
      <c r="C192" s="1633" t="s">
        <v>1326</v>
      </c>
      <c r="D192" s="242"/>
      <c r="E192" s="242"/>
      <c r="F192" s="635"/>
      <c r="G192" s="196"/>
      <c r="H192" s="1634">
        <v>70319.69</v>
      </c>
      <c r="I192" s="1634">
        <v>62130.95</v>
      </c>
      <c r="J192" s="1639">
        <f t="shared" si="2"/>
        <v>66225.320000000007</v>
      </c>
      <c r="K192" s="1636"/>
      <c r="L192" s="1645"/>
      <c r="M192" s="1636"/>
      <c r="N192" s="1263"/>
      <c r="P192" s="234"/>
    </row>
    <row r="193" spans="1:17" ht="16.5" customHeight="1">
      <c r="A193" s="196"/>
      <c r="B193" s="193"/>
      <c r="C193" s="1865" t="s">
        <v>1340</v>
      </c>
      <c r="D193" s="242"/>
      <c r="E193" s="242"/>
      <c r="F193" s="635"/>
      <c r="G193" s="196"/>
      <c r="H193" s="1634">
        <v>78624.240000000005</v>
      </c>
      <c r="I193" s="1634">
        <v>82201.64</v>
      </c>
      <c r="J193" s="1639">
        <f t="shared" si="2"/>
        <v>80412.94</v>
      </c>
      <c r="K193" s="1636"/>
      <c r="L193" s="1645"/>
      <c r="M193" s="1636"/>
      <c r="N193" s="1263"/>
      <c r="P193" s="234"/>
    </row>
    <row r="194" spans="1:17" ht="16.5" customHeight="1">
      <c r="A194" s="196"/>
      <c r="B194" s="193"/>
      <c r="C194" s="1633" t="s">
        <v>1341</v>
      </c>
      <c r="D194" s="242"/>
      <c r="E194" s="242"/>
      <c r="F194" s="635"/>
      <c r="G194" s="196"/>
      <c r="H194" s="1634">
        <v>498344.62</v>
      </c>
      <c r="I194" s="1634">
        <v>519802.37</v>
      </c>
      <c r="J194" s="1639">
        <f t="shared" si="2"/>
        <v>509073.495</v>
      </c>
      <c r="K194" s="1636"/>
      <c r="L194" s="1645"/>
      <c r="M194" s="1636"/>
      <c r="N194" s="1263"/>
      <c r="P194" s="234"/>
    </row>
    <row r="195" spans="1:17" ht="16.5" customHeight="1">
      <c r="A195" s="196"/>
      <c r="B195" s="193"/>
      <c r="C195" s="1633" t="s">
        <v>1371</v>
      </c>
      <c r="D195" s="242"/>
      <c r="E195" s="242"/>
      <c r="F195" s="635"/>
      <c r="G195" s="196"/>
      <c r="H195" s="1634"/>
      <c r="I195" s="1634">
        <v>2996.6</v>
      </c>
      <c r="J195" s="1639"/>
      <c r="K195" s="1636"/>
      <c r="L195" s="1645"/>
      <c r="M195" s="1636"/>
      <c r="N195" s="1263"/>
      <c r="P195" s="234"/>
    </row>
    <row r="196" spans="1:17" ht="16.5" customHeight="1">
      <c r="A196" s="196"/>
      <c r="B196" s="193"/>
      <c r="C196" s="428"/>
      <c r="D196" s="242"/>
      <c r="E196" s="242"/>
      <c r="F196" s="635"/>
      <c r="G196" s="196"/>
      <c r="H196" s="1634"/>
      <c r="I196" s="1634"/>
      <c r="J196" s="1639"/>
      <c r="K196" s="1636"/>
      <c r="L196" s="1645"/>
      <c r="M196" s="1636"/>
      <c r="N196" s="1263"/>
      <c r="P196" s="234"/>
    </row>
    <row r="197" spans="1:17" ht="16.5" customHeight="1">
      <c r="A197" s="429"/>
      <c r="B197" s="193"/>
      <c r="C197" s="242"/>
      <c r="D197" s="242"/>
      <c r="E197" s="242"/>
      <c r="F197" s="1460"/>
      <c r="G197" s="1461"/>
      <c r="H197" s="1646">
        <f>SUM(H152:H195)</f>
        <v>82082299.789999977</v>
      </c>
      <c r="I197" s="1646">
        <f>SUM(I152:I195)</f>
        <v>20650137.640000004</v>
      </c>
      <c r="J197" s="1838">
        <f>SUM(J152:J195)</f>
        <v>51364720.414999977</v>
      </c>
      <c r="K197" s="1647">
        <v>0</v>
      </c>
      <c r="L197" s="1648">
        <f>+J197*K197</f>
        <v>0</v>
      </c>
      <c r="M197" s="1649"/>
      <c r="N197" s="1462"/>
      <c r="P197" s="234"/>
    </row>
    <row r="198" spans="1:17" ht="16.5" customHeight="1" thickBot="1">
      <c r="A198" s="1285"/>
      <c r="B198" s="1286"/>
      <c r="C198" s="1286"/>
      <c r="D198" s="1286"/>
      <c r="E198" s="1286"/>
      <c r="F198" s="1287"/>
      <c r="G198" s="1665"/>
      <c r="H198" s="239"/>
      <c r="I198" s="239"/>
      <c r="J198" s="239"/>
      <c r="K198" s="1288"/>
      <c r="L198" s="1456">
        <f>(+L197+L149+L133)</f>
        <v>4189055.9765718859</v>
      </c>
      <c r="M198" s="1289"/>
      <c r="N198" s="1290"/>
      <c r="O198" s="234"/>
      <c r="P198" s="234"/>
      <c r="Q198" s="234"/>
    </row>
    <row r="199" spans="1:17" ht="16.5" customHeight="1">
      <c r="A199" s="234"/>
      <c r="B199" s="234"/>
      <c r="C199" s="234"/>
      <c r="D199" s="234"/>
      <c r="E199" s="234"/>
      <c r="F199" s="234"/>
      <c r="G199" s="234"/>
      <c r="H199" s="234"/>
      <c r="I199" s="234"/>
      <c r="J199" s="234"/>
      <c r="K199" s="412"/>
      <c r="L199" s="412"/>
      <c r="M199" s="412"/>
      <c r="N199" s="412"/>
      <c r="O199" s="234"/>
      <c r="P199" s="234"/>
      <c r="Q199" s="234"/>
    </row>
    <row r="200" spans="1:17" ht="16.5" customHeight="1" thickBot="1">
      <c r="A200" s="365" t="s">
        <v>794</v>
      </c>
      <c r="B200" s="174"/>
      <c r="C200" s="2"/>
      <c r="D200" s="634"/>
      <c r="E200" s="634"/>
      <c r="F200" s="234"/>
      <c r="G200" s="234"/>
      <c r="H200" s="234"/>
      <c r="I200" s="234"/>
      <c r="J200" s="234"/>
      <c r="K200" s="412"/>
      <c r="L200" s="412"/>
      <c r="M200" s="412"/>
      <c r="N200" s="412"/>
      <c r="O200" s="234"/>
      <c r="P200" s="234"/>
      <c r="Q200" s="234"/>
    </row>
    <row r="201" spans="1:17" ht="26.25" customHeight="1">
      <c r="A201" s="1291" t="s">
        <v>1085</v>
      </c>
      <c r="B201" s="920"/>
      <c r="C201" s="920"/>
      <c r="D201" s="889"/>
      <c r="E201" s="889"/>
      <c r="F201" s="891"/>
      <c r="G201" s="889"/>
      <c r="H201" s="1262"/>
      <c r="I201" s="528"/>
      <c r="J201" s="528" t="s">
        <v>416</v>
      </c>
      <c r="K201" s="528" t="s">
        <v>876</v>
      </c>
      <c r="L201" s="528" t="s">
        <v>280</v>
      </c>
      <c r="M201" s="528" t="s">
        <v>139</v>
      </c>
      <c r="N201" s="1229"/>
      <c r="O201" s="234"/>
      <c r="P201" s="234"/>
      <c r="Q201" s="234"/>
    </row>
    <row r="202" spans="1:17" ht="16.5" customHeight="1">
      <c r="A202" s="248">
        <f>+'ATT H-1 '!A75</f>
        <v>42</v>
      </c>
      <c r="B202" s="202" t="s">
        <v>794</v>
      </c>
      <c r="C202" s="244"/>
      <c r="D202" s="242"/>
      <c r="E202" s="242"/>
      <c r="F202" s="892"/>
      <c r="G202" s="242"/>
      <c r="H202" s="1292"/>
      <c r="I202" s="365"/>
      <c r="J202" s="368"/>
      <c r="K202" s="733"/>
      <c r="L202" s="249"/>
      <c r="M202" s="733"/>
      <c r="N202" s="739"/>
      <c r="O202" s="234"/>
      <c r="P202" s="234"/>
      <c r="Q202" s="234"/>
    </row>
    <row r="203" spans="1:17" ht="16.5" customHeight="1">
      <c r="A203" s="196"/>
      <c r="B203" s="209"/>
      <c r="C203" s="211" t="s">
        <v>129</v>
      </c>
      <c r="D203" s="211" t="s">
        <v>873</v>
      </c>
      <c r="E203" s="242"/>
      <c r="F203" s="892"/>
      <c r="G203" s="242"/>
      <c r="H203" s="839"/>
      <c r="I203" s="840"/>
      <c r="J203" s="1293">
        <f>'WKSHT2 - Prepaid'!W22</f>
        <v>44251411.367692307</v>
      </c>
      <c r="K203" s="1294">
        <f>+'ATT H-1 '!H13</f>
        <v>0.10926820886382468</v>
      </c>
      <c r="L203" s="743">
        <f>+J203*K203</f>
        <v>4835272.4598440286</v>
      </c>
      <c r="M203" s="716"/>
      <c r="N203" s="728"/>
      <c r="O203" s="234"/>
      <c r="P203" s="234"/>
      <c r="Q203" s="234"/>
    </row>
    <row r="204" spans="1:17" ht="16.5" customHeight="1">
      <c r="A204" s="196"/>
      <c r="B204" s="209"/>
      <c r="C204" s="242" t="s">
        <v>126</v>
      </c>
      <c r="D204" s="211" t="s">
        <v>873</v>
      </c>
      <c r="E204" s="242"/>
      <c r="F204" s="892"/>
      <c r="G204" s="242"/>
      <c r="H204" s="839"/>
      <c r="I204" s="840"/>
      <c r="J204" s="335">
        <f>'WKSHT2 - Prepaid'!V6</f>
        <v>400331.35846153845</v>
      </c>
      <c r="K204" s="1294">
        <f>+'ATT H-1 '!H26</f>
        <v>0.21764846437236576</v>
      </c>
      <c r="L204" s="743">
        <f>+J204*K204</f>
        <v>87131.505409256933</v>
      </c>
      <c r="M204" s="744"/>
      <c r="N204" s="745"/>
      <c r="O204" s="234"/>
      <c r="P204" s="234"/>
      <c r="Q204" s="234"/>
    </row>
    <row r="205" spans="1:17" ht="16.5" customHeight="1">
      <c r="A205" s="196"/>
      <c r="B205" s="209"/>
      <c r="C205" s="242" t="s">
        <v>271</v>
      </c>
      <c r="D205" s="211" t="s">
        <v>873</v>
      </c>
      <c r="E205" s="242"/>
      <c r="F205" s="892"/>
      <c r="G205" s="242"/>
      <c r="H205" s="839"/>
      <c r="I205" s="840"/>
      <c r="J205" s="335">
        <f>'WKSHT2 - Prepaid'!U27</f>
        <v>0</v>
      </c>
      <c r="K205" s="1294">
        <v>1</v>
      </c>
      <c r="L205" s="743">
        <f>+J205*K205</f>
        <v>0</v>
      </c>
      <c r="M205" s="744"/>
      <c r="N205" s="745"/>
      <c r="O205" s="234"/>
      <c r="P205" s="234"/>
      <c r="Q205" s="234"/>
    </row>
    <row r="206" spans="1:17">
      <c r="A206" s="196"/>
      <c r="B206" s="209"/>
      <c r="C206" s="242" t="s">
        <v>272</v>
      </c>
      <c r="D206" s="211" t="s">
        <v>873</v>
      </c>
      <c r="E206" s="242"/>
      <c r="F206" s="892"/>
      <c r="G206" s="242"/>
      <c r="H206" s="839"/>
      <c r="I206" s="840"/>
      <c r="J206" s="335">
        <f>'WKSHT2 - Prepaid'!T40</f>
        <v>25124641.203846157</v>
      </c>
      <c r="K206" s="1294">
        <v>0</v>
      </c>
      <c r="L206" s="743">
        <f>+J206*K206</f>
        <v>0</v>
      </c>
      <c r="M206" s="744"/>
      <c r="N206" s="745"/>
      <c r="O206" s="234"/>
      <c r="P206" s="234"/>
      <c r="Q206" s="234"/>
    </row>
    <row r="207" spans="1:17" customFormat="1">
      <c r="A207" s="196"/>
      <c r="B207" s="209"/>
      <c r="C207" s="242"/>
      <c r="D207" s="242"/>
      <c r="E207" s="242"/>
      <c r="F207" s="892"/>
      <c r="G207" s="242"/>
      <c r="H207" s="246"/>
      <c r="I207" s="242"/>
      <c r="J207" s="1295"/>
      <c r="K207" s="738"/>
      <c r="L207" s="1296"/>
      <c r="M207" s="746"/>
      <c r="N207" s="728"/>
      <c r="O207" s="2"/>
      <c r="P207" s="234"/>
      <c r="Q207" s="2"/>
    </row>
    <row r="208" spans="1:17" customFormat="1" ht="13.5" thickBot="1">
      <c r="A208" s="205"/>
      <c r="B208" s="235"/>
      <c r="C208" s="1297"/>
      <c r="D208" s="236"/>
      <c r="E208" s="236"/>
      <c r="F208" s="1278"/>
      <c r="G208" s="236"/>
      <c r="H208" s="1298"/>
      <c r="I208" s="1299"/>
      <c r="J208" s="1299"/>
      <c r="K208" s="1300"/>
      <c r="L208" s="1301">
        <f>SUM(L203:L206)</f>
        <v>4922403.9652532851</v>
      </c>
      <c r="M208" s="731"/>
      <c r="N208" s="732"/>
      <c r="O208" s="2"/>
      <c r="P208" s="234"/>
      <c r="Q208" s="2"/>
    </row>
    <row r="209" spans="1:18">
      <c r="A209" s="530"/>
      <c r="B209" s="530"/>
      <c r="C209" s="530"/>
      <c r="D209" s="530"/>
      <c r="E209" s="530"/>
      <c r="F209" s="531"/>
      <c r="G209" s="531"/>
      <c r="H209" s="890"/>
      <c r="I209" s="738"/>
      <c r="J209" s="738"/>
      <c r="K209" s="738"/>
      <c r="L209" s="1282"/>
      <c r="M209" s="738"/>
      <c r="N209" s="738"/>
      <c r="O209" s="234"/>
      <c r="P209" s="234"/>
      <c r="Q209" s="234"/>
    </row>
    <row r="210" spans="1:18" ht="13.5" thickBot="1">
      <c r="A210" s="365" t="s">
        <v>244</v>
      </c>
      <c r="B210" s="234"/>
      <c r="C210" s="234"/>
      <c r="D210" s="234"/>
      <c r="E210" s="234"/>
      <c r="F210" s="242"/>
      <c r="G210" s="242"/>
      <c r="H210" s="242"/>
      <c r="I210" s="242"/>
      <c r="J210" s="234"/>
      <c r="K210" s="412"/>
      <c r="L210" s="412"/>
      <c r="M210" s="412"/>
      <c r="N210" s="412"/>
      <c r="O210" s="234"/>
      <c r="P210" s="234"/>
      <c r="Q210" s="234"/>
    </row>
    <row r="211" spans="1:18">
      <c r="A211" s="1291" t="s">
        <v>1085</v>
      </c>
      <c r="B211" s="920"/>
      <c r="C211" s="920"/>
      <c r="D211" s="889"/>
      <c r="E211" s="889"/>
      <c r="F211" s="889"/>
      <c r="G211" s="889"/>
      <c r="H211" s="528"/>
      <c r="I211" s="528"/>
      <c r="J211" s="528"/>
      <c r="K211" s="528"/>
      <c r="L211" s="528"/>
      <c r="M211" s="528"/>
      <c r="N211" s="1228"/>
      <c r="O211" s="889"/>
      <c r="P211" s="889"/>
      <c r="Q211" s="891"/>
    </row>
    <row r="212" spans="1:18">
      <c r="A212" s="248">
        <v>45</v>
      </c>
      <c r="B212" s="202" t="s">
        <v>792</v>
      </c>
      <c r="C212" s="244"/>
      <c r="D212" s="104"/>
      <c r="E212" s="104"/>
      <c r="F212" s="104"/>
      <c r="G212" s="104"/>
      <c r="H212" s="104"/>
      <c r="I212" s="104"/>
      <c r="J212" s="104"/>
      <c r="K212" s="104"/>
      <c r="L212" s="104"/>
      <c r="M212" s="104"/>
      <c r="N212" s="104"/>
      <c r="O212" s="104"/>
      <c r="P212" s="104"/>
      <c r="Q212" s="893" t="s">
        <v>711</v>
      </c>
    </row>
    <row r="213" spans="1:18">
      <c r="A213" s="246"/>
      <c r="B213" s="242"/>
      <c r="C213" s="242"/>
      <c r="D213" s="1302">
        <v>45291</v>
      </c>
      <c r="E213" s="1302">
        <v>45292</v>
      </c>
      <c r="F213" s="1302">
        <v>45324</v>
      </c>
      <c r="G213" s="1302">
        <v>45357</v>
      </c>
      <c r="H213" s="1302">
        <v>45389</v>
      </c>
      <c r="I213" s="1302">
        <v>45421</v>
      </c>
      <c r="J213" s="1302">
        <v>45453</v>
      </c>
      <c r="K213" s="1302">
        <v>45485</v>
      </c>
      <c r="L213" s="1302">
        <v>45517</v>
      </c>
      <c r="M213" s="1302">
        <v>45549</v>
      </c>
      <c r="N213" s="1302">
        <v>45581</v>
      </c>
      <c r="O213" s="1302">
        <v>45613</v>
      </c>
      <c r="P213" s="1302">
        <v>45645</v>
      </c>
      <c r="Q213" s="1303" t="s">
        <v>79</v>
      </c>
    </row>
    <row r="214" spans="1:18" ht="17.25" customHeight="1">
      <c r="A214" s="867" t="s">
        <v>411</v>
      </c>
      <c r="B214" s="738"/>
      <c r="C214" s="242"/>
      <c r="D214" s="1634">
        <v>-1312553</v>
      </c>
      <c r="E214" s="1634">
        <v>-1109277</v>
      </c>
      <c r="F214" s="1634">
        <v>-969642</v>
      </c>
      <c r="G214" s="1634">
        <v>-836059</v>
      </c>
      <c r="H214" s="1634">
        <v>-647122</v>
      </c>
      <c r="I214" s="1634">
        <v>-733865</v>
      </c>
      <c r="J214" s="1634">
        <v>-593487</v>
      </c>
      <c r="K214" s="1634">
        <v>-539660</v>
      </c>
      <c r="L214" s="1634">
        <v>-383063</v>
      </c>
      <c r="M214" s="1634">
        <v>-465675</v>
      </c>
      <c r="N214" s="1634">
        <v>-4361</v>
      </c>
      <c r="O214" s="1634">
        <v>-88148</v>
      </c>
      <c r="P214" s="1634">
        <v>-96445</v>
      </c>
      <c r="Q214" s="1467">
        <f>AVERAGE(D214:P214)</f>
        <v>-598412.07692307688</v>
      </c>
    </row>
    <row r="215" spans="1:18" ht="17.25" customHeight="1">
      <c r="A215" s="868" t="s">
        <v>412</v>
      </c>
      <c r="B215" s="530"/>
      <c r="C215" s="242"/>
      <c r="D215" s="1634">
        <v>773700</v>
      </c>
      <c r="E215" s="1634">
        <v>1178941</v>
      </c>
      <c r="F215" s="1634">
        <v>1198241</v>
      </c>
      <c r="G215" s="1634">
        <v>1247197</v>
      </c>
      <c r="H215" s="1634">
        <v>1249920</v>
      </c>
      <c r="I215" s="1634">
        <v>1224012</v>
      </c>
      <c r="J215" s="1634">
        <v>1231132</v>
      </c>
      <c r="K215" s="1634">
        <v>1232791</v>
      </c>
      <c r="L215" s="1634">
        <v>1242017</v>
      </c>
      <c r="M215" s="1634">
        <v>1219624</v>
      </c>
      <c r="N215" s="1634">
        <v>1248089</v>
      </c>
      <c r="O215" s="1634">
        <v>1269204</v>
      </c>
      <c r="P215" s="1634">
        <v>1301893</v>
      </c>
      <c r="Q215" s="1467">
        <f>AVERAGE(D215:P215)</f>
        <v>1201289.3076923077</v>
      </c>
    </row>
    <row r="216" spans="1:18" ht="17.25" customHeight="1" thickBot="1">
      <c r="A216" s="869" t="s">
        <v>850</v>
      </c>
      <c r="B216" s="870"/>
      <c r="C216" s="236"/>
      <c r="D216" s="871">
        <f t="shared" ref="D216:N216" si="3">SUM(D214:D215)</f>
        <v>-538853</v>
      </c>
      <c r="E216" s="871">
        <f t="shared" si="3"/>
        <v>69664</v>
      </c>
      <c r="F216" s="871">
        <f t="shared" si="3"/>
        <v>228599</v>
      </c>
      <c r="G216" s="871">
        <f t="shared" si="3"/>
        <v>411138</v>
      </c>
      <c r="H216" s="871">
        <f t="shared" si="3"/>
        <v>602798</v>
      </c>
      <c r="I216" s="871">
        <f t="shared" si="3"/>
        <v>490147</v>
      </c>
      <c r="J216" s="871">
        <f t="shared" si="3"/>
        <v>637645</v>
      </c>
      <c r="K216" s="871">
        <f t="shared" si="3"/>
        <v>693131</v>
      </c>
      <c r="L216" s="871">
        <f t="shared" si="3"/>
        <v>858954</v>
      </c>
      <c r="M216" s="871">
        <f t="shared" si="3"/>
        <v>753949</v>
      </c>
      <c r="N216" s="871">
        <f t="shared" si="3"/>
        <v>1243728</v>
      </c>
      <c r="O216" s="871">
        <f>SUM(O214:O215)</f>
        <v>1181056</v>
      </c>
      <c r="P216" s="871">
        <f>SUM(P214:P215)</f>
        <v>1205448</v>
      </c>
      <c r="Q216" s="1304">
        <f>AVERAGE(D216:P216)</f>
        <v>602877.23076923075</v>
      </c>
    </row>
    <row r="217" spans="1:18">
      <c r="A217" s="209"/>
      <c r="B217" s="209"/>
      <c r="C217" s="244"/>
      <c r="D217" s="242"/>
      <c r="E217" s="242"/>
      <c r="F217" s="242"/>
      <c r="G217" s="242"/>
      <c r="H217" s="1305"/>
      <c r="I217" s="1305"/>
      <c r="J217" s="1295"/>
      <c r="K217" s="1305"/>
      <c r="L217" s="1305"/>
      <c r="M217" s="716"/>
      <c r="N217" s="716"/>
      <c r="O217" s="234"/>
      <c r="P217" s="723"/>
      <c r="Q217" s="234"/>
    </row>
    <row r="218" spans="1:18" ht="13.5" thickBot="1">
      <c r="A218" s="365" t="s">
        <v>653</v>
      </c>
      <c r="B218" s="234"/>
      <c r="C218" s="234"/>
      <c r="D218" s="234"/>
      <c r="E218" s="234"/>
      <c r="F218" s="234"/>
      <c r="G218" s="234"/>
      <c r="H218" s="234"/>
      <c r="I218" s="234"/>
      <c r="J218" s="234"/>
      <c r="K218" s="412"/>
      <c r="L218" s="412"/>
      <c r="M218" s="412"/>
      <c r="N218" s="412"/>
      <c r="O218" s="234"/>
      <c r="P218" s="723"/>
      <c r="Q218" s="234"/>
      <c r="R218" s="193"/>
    </row>
    <row r="219" spans="1:18">
      <c r="A219" s="1993" t="s">
        <v>1085</v>
      </c>
      <c r="B219" s="1994"/>
      <c r="C219" s="1994"/>
      <c r="D219" s="1994"/>
      <c r="E219" s="1994"/>
      <c r="F219" s="2003"/>
      <c r="G219" s="920"/>
      <c r="H219" s="1262"/>
      <c r="I219" s="1995" t="s">
        <v>174</v>
      </c>
      <c r="J219" s="1996"/>
      <c r="K219" s="1996"/>
      <c r="L219" s="1996"/>
      <c r="M219" s="1996"/>
      <c r="N219" s="1997"/>
      <c r="O219" s="234"/>
      <c r="P219" s="1709"/>
      <c r="Q219" s="234"/>
      <c r="R219" s="193"/>
    </row>
    <row r="220" spans="1:18" ht="44.25" customHeight="1">
      <c r="A220" s="1115"/>
      <c r="B220" s="202" t="s">
        <v>140</v>
      </c>
      <c r="C220" s="1282"/>
      <c r="D220" s="365"/>
      <c r="E220" s="232"/>
      <c r="F220" s="1306"/>
      <c r="G220" s="368"/>
      <c r="H220" s="1307" t="s">
        <v>234</v>
      </c>
      <c r="I220" s="414" t="s">
        <v>235</v>
      </c>
      <c r="J220" s="414" t="s">
        <v>974</v>
      </c>
      <c r="K220" s="738"/>
      <c r="L220" s="738"/>
      <c r="M220" s="738"/>
      <c r="N220" s="1263"/>
      <c r="O220" s="234"/>
      <c r="P220" s="723"/>
      <c r="Q220" s="234"/>
      <c r="R220" s="193"/>
    </row>
    <row r="221" spans="1:18" ht="17.25" customHeight="1">
      <c r="A221" s="356">
        <f>+'ATT H-1 '!A96</f>
        <v>55</v>
      </c>
      <c r="B221" s="249"/>
      <c r="C221" s="1282" t="str">
        <f>+'ATT H-1 '!C96</f>
        <v>Outstanding Network Credits</v>
      </c>
      <c r="D221" s="209"/>
      <c r="E221" s="209"/>
      <c r="F221" s="204"/>
      <c r="G221" s="198"/>
      <c r="H221" s="1115"/>
      <c r="I221" s="1990" t="s">
        <v>173</v>
      </c>
      <c r="J221" s="1991"/>
      <c r="K221" s="1991"/>
      <c r="L221" s="1991"/>
      <c r="M221" s="1991"/>
      <c r="N221" s="1992"/>
      <c r="O221" s="234"/>
      <c r="P221" s="723"/>
      <c r="Q221" s="234"/>
      <c r="R221" s="193"/>
    </row>
    <row r="222" spans="1:18" ht="17.25" customHeight="1">
      <c r="A222" s="246"/>
      <c r="B222" s="242"/>
      <c r="C222" s="242" t="s">
        <v>184</v>
      </c>
      <c r="D222" s="194" t="s">
        <v>364</v>
      </c>
      <c r="E222" s="1705" t="s">
        <v>1373</v>
      </c>
      <c r="F222" s="1450">
        <v>0</v>
      </c>
      <c r="G222" s="210"/>
      <c r="H222" s="1308">
        <f>+F222</f>
        <v>0</v>
      </c>
      <c r="I222" s="250"/>
      <c r="J222" s="232"/>
      <c r="K222" s="716"/>
      <c r="L222" s="716"/>
      <c r="M222" s="716"/>
      <c r="N222" s="728"/>
      <c r="O222" s="234"/>
      <c r="P222" s="723"/>
      <c r="Q222" s="234"/>
      <c r="R222" s="193"/>
    </row>
    <row r="223" spans="1:18" ht="17.25" customHeight="1">
      <c r="A223" s="196"/>
      <c r="B223" s="190"/>
      <c r="C223" s="200" t="s">
        <v>184</v>
      </c>
      <c r="D223" s="201" t="s">
        <v>364</v>
      </c>
      <c r="E223" s="1706" t="s">
        <v>1374</v>
      </c>
      <c r="F223" s="1451">
        <v>0</v>
      </c>
      <c r="G223" s="210"/>
      <c r="H223" s="633"/>
      <c r="I223" s="334">
        <f>+F223</f>
        <v>0</v>
      </c>
      <c r="J223" s="334"/>
      <c r="K223" s="733"/>
      <c r="L223" s="733"/>
      <c r="M223" s="733"/>
      <c r="N223" s="739"/>
      <c r="O223" s="234"/>
      <c r="P223" s="723"/>
      <c r="Q223" s="242"/>
      <c r="R223" s="193"/>
    </row>
    <row r="224" spans="1:18" ht="17.25" customHeight="1">
      <c r="A224" s="196"/>
      <c r="B224" s="211"/>
      <c r="C224" s="198" t="s">
        <v>273</v>
      </c>
      <c r="D224" s="211"/>
      <c r="E224" s="232"/>
      <c r="F224" s="350">
        <f>AVERAGE(F222:F223)</f>
        <v>0</v>
      </c>
      <c r="G224" s="210"/>
      <c r="H224" s="1309"/>
      <c r="I224" s="334"/>
      <c r="J224" s="334">
        <f>+F224</f>
        <v>0</v>
      </c>
      <c r="K224" s="716"/>
      <c r="L224" s="716"/>
      <c r="M224" s="716"/>
      <c r="N224" s="728"/>
      <c r="O224" s="234"/>
      <c r="Q224" s="234"/>
    </row>
    <row r="225" spans="1:17" ht="17.25" customHeight="1">
      <c r="A225" s="196"/>
      <c r="B225" s="211"/>
      <c r="C225" s="198"/>
      <c r="D225" s="211"/>
      <c r="E225" s="232"/>
      <c r="F225" s="350"/>
      <c r="G225" s="210"/>
      <c r="H225" s="1309"/>
      <c r="I225" s="334"/>
      <c r="J225" s="334"/>
      <c r="K225" s="716"/>
      <c r="L225" s="716"/>
      <c r="M225" s="716"/>
      <c r="N225" s="728"/>
      <c r="O225" s="234"/>
      <c r="Q225" s="234"/>
    </row>
    <row r="226" spans="1:17" ht="17.25" customHeight="1">
      <c r="A226" s="331">
        <f>+'ATT H-1 '!A97</f>
        <v>56</v>
      </c>
      <c r="B226" s="244"/>
      <c r="C226" s="202" t="s">
        <v>274</v>
      </c>
      <c r="D226" s="211"/>
      <c r="E226" s="232"/>
      <c r="F226" s="350"/>
      <c r="G226" s="210"/>
      <c r="H226" s="1309"/>
      <c r="I226" s="334"/>
      <c r="J226" s="334"/>
      <c r="K226" s="716"/>
      <c r="L226" s="716"/>
      <c r="M226" s="716"/>
      <c r="N226" s="728"/>
      <c r="O226" s="234"/>
      <c r="Q226" s="234"/>
    </row>
    <row r="227" spans="1:17" ht="15">
      <c r="A227" s="246"/>
      <c r="B227" s="242"/>
      <c r="C227" s="242" t="s">
        <v>184</v>
      </c>
      <c r="D227" s="194" t="s">
        <v>364</v>
      </c>
      <c r="E227" s="1705" t="s">
        <v>1373</v>
      </c>
      <c r="F227" s="1450">
        <v>0</v>
      </c>
      <c r="G227" s="210"/>
      <c r="H227" s="1276">
        <f>+F227</f>
        <v>0</v>
      </c>
      <c r="I227" s="1284"/>
      <c r="J227" s="334"/>
      <c r="K227" s="716"/>
      <c r="L227" s="716"/>
      <c r="M227" s="716"/>
      <c r="N227" s="728"/>
      <c r="O227" s="234"/>
      <c r="Q227" s="234"/>
    </row>
    <row r="228" spans="1:17" ht="15">
      <c r="A228" s="196"/>
      <c r="B228" s="211"/>
      <c r="C228" s="200" t="s">
        <v>184</v>
      </c>
      <c r="D228" s="201" t="s">
        <v>364</v>
      </c>
      <c r="E228" s="1706" t="s">
        <v>1374</v>
      </c>
      <c r="F228" s="1451">
        <v>0</v>
      </c>
      <c r="G228" s="210"/>
      <c r="H228" s="1308"/>
      <c r="I228" s="1261">
        <f>+F228</f>
        <v>0</v>
      </c>
      <c r="J228" s="334"/>
      <c r="K228" s="716"/>
      <c r="L228" s="716"/>
      <c r="M228" s="716"/>
      <c r="N228" s="728"/>
      <c r="O228" s="234"/>
      <c r="Q228" s="1707"/>
    </row>
    <row r="229" spans="1:17">
      <c r="A229" s="246"/>
      <c r="B229" s="209"/>
      <c r="C229" s="198" t="str">
        <f>+C224</f>
        <v>Average Beginning and End of Year</v>
      </c>
      <c r="D229" s="209"/>
      <c r="E229" s="209"/>
      <c r="F229" s="350">
        <f>AVERAGE(F227:F228)</f>
        <v>0</v>
      </c>
      <c r="G229" s="210"/>
      <c r="H229" s="356"/>
      <c r="I229" s="245"/>
      <c r="J229" s="334">
        <f>+F229</f>
        <v>0</v>
      </c>
      <c r="K229" s="738"/>
      <c r="L229" s="738"/>
      <c r="M229" s="738"/>
      <c r="N229" s="1263"/>
      <c r="O229" s="234"/>
      <c r="Q229" s="234"/>
    </row>
    <row r="230" spans="1:17" ht="13.5" thickBot="1">
      <c r="A230" s="205"/>
      <c r="B230" s="235"/>
      <c r="C230" s="235"/>
      <c r="D230" s="235"/>
      <c r="E230" s="235"/>
      <c r="F230" s="351"/>
      <c r="G230" s="235"/>
      <c r="H230" s="330"/>
      <c r="I230" s="236"/>
      <c r="J230" s="236"/>
      <c r="K230" s="1279"/>
      <c r="L230" s="1280"/>
      <c r="M230" s="1279"/>
      <c r="N230" s="1281"/>
      <c r="O230" s="234"/>
      <c r="Q230" s="234"/>
    </row>
    <row r="231" spans="1:17">
      <c r="A231" s="209"/>
      <c r="B231" s="209"/>
      <c r="C231" s="209"/>
      <c r="D231" s="209"/>
      <c r="E231" s="209"/>
      <c r="F231" s="209"/>
      <c r="G231" s="209"/>
      <c r="H231" s="242"/>
      <c r="I231" s="242"/>
      <c r="J231" s="242"/>
      <c r="K231" s="738"/>
      <c r="L231" s="1282"/>
      <c r="M231" s="738"/>
      <c r="N231" s="738"/>
      <c r="O231" s="234"/>
      <c r="Q231" s="234"/>
    </row>
    <row r="232" spans="1:17" ht="13.5" thickBot="1">
      <c r="A232" s="365" t="s">
        <v>654</v>
      </c>
      <c r="B232" s="234"/>
      <c r="C232" s="234"/>
      <c r="D232" s="234"/>
      <c r="E232" s="234"/>
      <c r="F232" s="234"/>
      <c r="G232" s="234"/>
      <c r="H232" s="234"/>
      <c r="I232" s="234"/>
      <c r="J232" s="234"/>
      <c r="K232" s="412"/>
      <c r="L232" s="412"/>
      <c r="M232" s="412"/>
      <c r="N232" s="412"/>
      <c r="O232" s="412"/>
      <c r="Q232" s="234"/>
    </row>
    <row r="233" spans="1:17" ht="25.5">
      <c r="A233" s="1993" t="s">
        <v>1085</v>
      </c>
      <c r="B233" s="1994"/>
      <c r="C233" s="1994"/>
      <c r="D233" s="1994"/>
      <c r="E233" s="1994"/>
      <c r="F233" s="1994"/>
      <c r="G233" s="1310"/>
      <c r="H233" s="1262" t="str">
        <f>+C235</f>
        <v>Interest on Network Credits</v>
      </c>
      <c r="I233" s="1995" t="s">
        <v>245</v>
      </c>
      <c r="J233" s="1996"/>
      <c r="K233" s="1996"/>
      <c r="L233" s="1996"/>
      <c r="M233" s="1996"/>
      <c r="N233" s="1997"/>
      <c r="O233" s="234"/>
      <c r="Q233" s="234"/>
    </row>
    <row r="234" spans="1:17">
      <c r="A234" s="196"/>
      <c r="B234" s="202"/>
      <c r="C234" s="209"/>
      <c r="D234" s="209"/>
      <c r="E234" s="209"/>
      <c r="F234" s="209"/>
      <c r="G234" s="1102"/>
      <c r="H234" s="356" t="s">
        <v>246</v>
      </c>
      <c r="I234" s="242"/>
      <c r="J234" s="242"/>
      <c r="K234" s="738"/>
      <c r="L234" s="738"/>
      <c r="M234" s="738"/>
      <c r="N234" s="1263"/>
      <c r="O234" s="234"/>
      <c r="Q234" s="234"/>
    </row>
    <row r="235" spans="1:17">
      <c r="A235" s="249">
        <f>+'ATT H-1 '!A267</f>
        <v>164</v>
      </c>
      <c r="B235" s="249"/>
      <c r="C235" s="202" t="str">
        <f>+'ATT H-1 '!C267</f>
        <v>Interest on Network Credits</v>
      </c>
      <c r="D235" s="209"/>
      <c r="E235" s="209"/>
      <c r="F235" s="198"/>
      <c r="G235" s="1103"/>
      <c r="H235" s="1452">
        <v>0</v>
      </c>
      <c r="I235" s="1990" t="s">
        <v>173</v>
      </c>
      <c r="J235" s="1991"/>
      <c r="K235" s="1991"/>
      <c r="L235" s="1991"/>
      <c r="M235" s="1991"/>
      <c r="N235" s="1992"/>
      <c r="O235" s="234"/>
      <c r="Q235" s="234"/>
    </row>
    <row r="236" spans="1:17">
      <c r="A236" s="196"/>
      <c r="B236" s="209"/>
      <c r="C236" s="209"/>
      <c r="D236" s="209"/>
      <c r="E236" s="209"/>
      <c r="F236" s="209"/>
      <c r="G236" s="1102"/>
      <c r="H236" s="246"/>
      <c r="I236" s="211"/>
      <c r="J236" s="211"/>
      <c r="K236" s="733"/>
      <c r="L236" s="733"/>
      <c r="M236" s="733"/>
      <c r="N236" s="739"/>
      <c r="O236" s="234"/>
      <c r="Q236" s="234"/>
    </row>
    <row r="237" spans="1:17">
      <c r="A237" s="234"/>
      <c r="B237" s="234"/>
      <c r="C237" s="234"/>
      <c r="D237" s="234"/>
      <c r="E237" s="234"/>
      <c r="F237" s="234"/>
      <c r="G237" s="1311"/>
      <c r="H237" s="246"/>
      <c r="I237" s="242"/>
      <c r="J237" s="250"/>
      <c r="K237" s="747"/>
      <c r="L237" s="747"/>
      <c r="M237" s="747"/>
      <c r="N237" s="745"/>
      <c r="O237" s="412"/>
      <c r="Q237" s="234"/>
    </row>
    <row r="238" spans="1:17" ht="13.5" thickBot="1">
      <c r="A238" s="205"/>
      <c r="B238" s="235"/>
      <c r="C238" s="235"/>
      <c r="D238" s="235"/>
      <c r="E238" s="235"/>
      <c r="F238" s="235"/>
      <c r="G238" s="1104"/>
      <c r="H238" s="330"/>
      <c r="I238" s="236"/>
      <c r="J238" s="236"/>
      <c r="K238" s="1279"/>
      <c r="L238" s="1280" t="s">
        <v>172</v>
      </c>
      <c r="M238" s="1279"/>
      <c r="N238" s="1281"/>
      <c r="O238" s="234"/>
      <c r="Q238" s="234"/>
    </row>
    <row r="239" spans="1:17">
      <c r="A239" s="209"/>
      <c r="B239" s="209"/>
      <c r="C239" s="209"/>
      <c r="D239" s="209"/>
      <c r="E239" s="209"/>
      <c r="F239" s="209"/>
      <c r="G239" s="209"/>
      <c r="H239" s="242"/>
      <c r="I239" s="242"/>
      <c r="J239" s="242"/>
      <c r="K239" s="738"/>
      <c r="L239" s="1282"/>
      <c r="M239" s="738"/>
      <c r="N239" s="738"/>
      <c r="O239" s="234"/>
      <c r="Q239" s="234"/>
    </row>
    <row r="241" spans="1:17" ht="16.5" thickBot="1">
      <c r="A241" s="365" t="s">
        <v>247</v>
      </c>
      <c r="B241" s="100"/>
      <c r="C241" s="372"/>
      <c r="D241" s="100"/>
      <c r="E241" s="100"/>
      <c r="F241" s="100"/>
      <c r="G241" s="100"/>
      <c r="H241" s="88"/>
      <c r="I241" s="768"/>
      <c r="J241" s="769"/>
      <c r="K241" s="88"/>
      <c r="L241" s="88"/>
      <c r="M241" s="88"/>
      <c r="N241" s="480"/>
      <c r="Q241" s="242"/>
    </row>
    <row r="242" spans="1:17" ht="31.5">
      <c r="A242" s="1337">
        <f>'ATT H-1 '!A110</f>
        <v>63</v>
      </c>
      <c r="B242" s="1338"/>
      <c r="C242" s="1339" t="s">
        <v>247</v>
      </c>
      <c r="D242" s="872" t="s">
        <v>249</v>
      </c>
      <c r="E242" s="872"/>
      <c r="F242" s="885" t="s">
        <v>250</v>
      </c>
      <c r="G242" s="883" t="s">
        <v>253</v>
      </c>
      <c r="H242" s="883" t="s">
        <v>252</v>
      </c>
      <c r="I242" s="883" t="s">
        <v>254</v>
      </c>
      <c r="J242" s="873"/>
      <c r="K242" s="883" t="s">
        <v>251</v>
      </c>
      <c r="L242" s="874"/>
      <c r="M242" s="873"/>
      <c r="N242" s="875"/>
      <c r="Q242" s="242"/>
    </row>
    <row r="243" spans="1:17" ht="15.75">
      <c r="A243" s="876"/>
      <c r="B243" s="100"/>
      <c r="C243" s="372" t="s">
        <v>435</v>
      </c>
      <c r="D243" s="1842">
        <v>156209217</v>
      </c>
      <c r="E243" s="770"/>
      <c r="F243" s="1840">
        <v>7296</v>
      </c>
      <c r="G243" s="1840"/>
      <c r="H243" s="1840">
        <v>9196</v>
      </c>
      <c r="I243" s="1840"/>
      <c r="J243" s="772"/>
      <c r="K243" s="1799">
        <f>D243-F243-G243-H243-I243</f>
        <v>156192725</v>
      </c>
      <c r="L243" s="769"/>
      <c r="M243" s="88"/>
      <c r="N243" s="877"/>
      <c r="Q243" s="242"/>
    </row>
    <row r="244" spans="1:17" ht="15.75">
      <c r="A244" s="876"/>
      <c r="B244" s="100"/>
      <c r="C244" s="372" t="s">
        <v>437</v>
      </c>
      <c r="D244" s="1842">
        <v>5436214</v>
      </c>
      <c r="E244" s="770"/>
      <c r="F244" s="1841"/>
      <c r="G244" s="1841"/>
      <c r="H244" s="1841"/>
      <c r="I244" s="1841">
        <v>392574</v>
      </c>
      <c r="J244" s="772"/>
      <c r="K244" s="1799">
        <f>D244-F244-G244-H244-I244</f>
        <v>5043640</v>
      </c>
      <c r="L244" s="769"/>
      <c r="M244" s="88"/>
      <c r="N244" s="877"/>
      <c r="Q244" s="242"/>
    </row>
    <row r="245" spans="1:17" ht="15.75">
      <c r="A245" s="876"/>
      <c r="B245" s="100"/>
      <c r="C245" s="372" t="s">
        <v>438</v>
      </c>
      <c r="D245" s="1842">
        <v>1510648</v>
      </c>
      <c r="E245" s="770"/>
      <c r="F245" s="1841">
        <v>1510648</v>
      </c>
      <c r="G245" s="1841"/>
      <c r="H245" s="1841"/>
      <c r="I245" s="1841"/>
      <c r="J245" s="772"/>
      <c r="K245" s="1799">
        <f>D245-F245-G245-H245-I245</f>
        <v>0</v>
      </c>
      <c r="L245" s="769"/>
      <c r="M245" s="88"/>
      <c r="N245" s="877"/>
      <c r="Q245" s="242"/>
    </row>
    <row r="246" spans="1:17" ht="15.75">
      <c r="A246" s="876"/>
      <c r="B246" s="100"/>
      <c r="C246" s="372"/>
      <c r="D246" s="771"/>
      <c r="E246" s="770"/>
      <c r="F246" s="884"/>
      <c r="G246" s="884"/>
      <c r="H246" s="884"/>
      <c r="I246" s="884"/>
      <c r="J246" s="1312"/>
      <c r="K246" s="1800"/>
      <c r="L246" s="137"/>
      <c r="M246" s="1191"/>
      <c r="N246" s="1313"/>
      <c r="O246" s="234"/>
      <c r="Q246" s="242"/>
    </row>
    <row r="247" spans="1:17" ht="16.5" thickBot="1">
      <c r="A247" s="878"/>
      <c r="B247" s="879"/>
      <c r="C247" s="880" t="s">
        <v>248</v>
      </c>
      <c r="D247" s="881">
        <f>SUM(D243:D246)</f>
        <v>163156079</v>
      </c>
      <c r="E247" s="882"/>
      <c r="F247" s="886">
        <f>SUM(F243:F246)</f>
        <v>1517944</v>
      </c>
      <c r="G247" s="886">
        <f>SUM(G243:G246)</f>
        <v>0</v>
      </c>
      <c r="H247" s="886">
        <f>SUM(H243:H246)</f>
        <v>9196</v>
      </c>
      <c r="I247" s="886">
        <f>SUM(I243:I246)</f>
        <v>392574</v>
      </c>
      <c r="J247" s="1314"/>
      <c r="K247" s="1801">
        <f>SUM(K243:K246)</f>
        <v>161236365</v>
      </c>
      <c r="L247" s="1315"/>
      <c r="M247" s="1316"/>
      <c r="N247" s="1317"/>
      <c r="O247" s="234"/>
      <c r="Q247" s="242"/>
    </row>
    <row r="248" spans="1:17" ht="15.75">
      <c r="A248" s="100"/>
      <c r="B248" s="100"/>
      <c r="C248" s="372"/>
      <c r="D248" s="100"/>
      <c r="E248" s="100"/>
      <c r="F248" s="100"/>
      <c r="G248" s="100"/>
      <c r="H248" s="1191"/>
      <c r="I248" s="1191"/>
      <c r="J248" s="1318"/>
      <c r="K248" s="137"/>
      <c r="L248" s="1191"/>
      <c r="M248" s="1191"/>
      <c r="N248" s="1191"/>
      <c r="O248" s="234"/>
      <c r="Q248" s="242"/>
    </row>
    <row r="249" spans="1:17" ht="16.5" thickBot="1">
      <c r="A249" s="1860" t="s">
        <v>1238</v>
      </c>
      <c r="B249" s="879"/>
      <c r="C249" s="880"/>
      <c r="D249" s="879"/>
      <c r="E249" s="879"/>
      <c r="F249" s="879"/>
      <c r="G249" s="879"/>
      <c r="H249" s="1858"/>
      <c r="I249" s="1666"/>
      <c r="J249" s="1666"/>
      <c r="K249" s="1666"/>
      <c r="L249" s="184"/>
    </row>
    <row r="250" spans="1:17">
      <c r="A250" s="1348" t="s">
        <v>1085</v>
      </c>
      <c r="B250" s="418"/>
      <c r="C250" s="418"/>
      <c r="D250" s="418"/>
      <c r="E250" s="418"/>
      <c r="F250" s="1861" t="s">
        <v>876</v>
      </c>
      <c r="G250" s="418"/>
      <c r="H250" s="184"/>
      <c r="I250" s="413"/>
      <c r="J250" s="413"/>
    </row>
    <row r="251" spans="1:17">
      <c r="A251" s="418"/>
      <c r="B251" s="418"/>
      <c r="C251" s="418"/>
      <c r="D251" s="418"/>
      <c r="E251" s="1861" t="s">
        <v>850</v>
      </c>
      <c r="F251" s="1861" t="s">
        <v>126</v>
      </c>
      <c r="G251" s="418"/>
      <c r="H251" s="1861" t="s">
        <v>166</v>
      </c>
      <c r="I251" s="1666"/>
      <c r="J251" s="1666"/>
      <c r="K251" s="184"/>
      <c r="L251" s="184"/>
    </row>
    <row r="252" spans="1:17">
      <c r="A252" s="418"/>
      <c r="B252" s="418"/>
      <c r="C252" s="418" t="s">
        <v>1312</v>
      </c>
      <c r="D252" s="418" t="s">
        <v>1246</v>
      </c>
      <c r="E252" s="184">
        <f>-('WKSHT7 - EDIT'!K11+'WKSHT7 - EDIT'!K12)</f>
        <v>-23287442.383601576</v>
      </c>
      <c r="F252" s="1862">
        <f>'ATT H-1 '!H23</f>
        <v>0.18218326084989409</v>
      </c>
      <c r="G252" s="418"/>
      <c r="H252" s="184">
        <f>E252*F252</f>
        <v>-4242582.1902985657</v>
      </c>
      <c r="L252" s="184"/>
    </row>
    <row r="253" spans="1:17">
      <c r="A253" s="418"/>
      <c r="B253" s="418"/>
      <c r="C253" s="418" t="s">
        <v>1247</v>
      </c>
      <c r="D253" s="418"/>
      <c r="E253" s="1842">
        <v>1539436.792197993</v>
      </c>
      <c r="F253" s="1863">
        <f>F252</f>
        <v>0.18218326084989409</v>
      </c>
      <c r="G253" s="418"/>
      <c r="H253" s="184">
        <f t="shared" ref="H253" si="4">E253*F253</f>
        <v>280459.61467493116</v>
      </c>
      <c r="L253" s="184"/>
    </row>
    <row r="254" spans="1:17">
      <c r="A254" s="418"/>
      <c r="B254" s="418"/>
      <c r="C254" s="418"/>
      <c r="D254" s="418"/>
      <c r="E254" s="184"/>
      <c r="F254" s="1859"/>
      <c r="G254" s="418"/>
      <c r="H254" s="184"/>
      <c r="L254" s="184"/>
    </row>
    <row r="255" spans="1:17">
      <c r="A255" s="418" t="s">
        <v>1239</v>
      </c>
      <c r="B255" s="418"/>
      <c r="C255" s="418" t="s">
        <v>1255</v>
      </c>
      <c r="D255" s="418"/>
      <c r="E255" s="1372">
        <f>SUM(E252:E254)</f>
        <v>-21748005.591403581</v>
      </c>
      <c r="F255" s="418"/>
      <c r="G255" s="418"/>
      <c r="H255" s="1372">
        <f>SUM(H252:H254)</f>
        <v>-3962122.5756236343</v>
      </c>
      <c r="L255" s="184"/>
    </row>
    <row r="256" spans="1:17">
      <c r="A256" s="418"/>
      <c r="B256" s="418"/>
      <c r="C256" s="418"/>
      <c r="D256" s="418"/>
      <c r="E256" s="418"/>
      <c r="F256" s="418"/>
      <c r="G256" s="418"/>
      <c r="H256" s="418"/>
      <c r="J256" s="413"/>
      <c r="L256" s="184"/>
    </row>
    <row r="257" spans="3:12" ht="28.5" customHeight="1">
      <c r="C257" s="1989" t="s">
        <v>1248</v>
      </c>
      <c r="D257" s="1989"/>
      <c r="E257" s="1989"/>
      <c r="L257" s="184"/>
    </row>
    <row r="258" spans="3:12">
      <c r="I258" s="1667"/>
      <c r="L258" s="184"/>
    </row>
    <row r="259" spans="3:12">
      <c r="L259" s="184"/>
    </row>
    <row r="260" spans="3:12">
      <c r="L260" s="184"/>
    </row>
    <row r="261" spans="3:12">
      <c r="J261" s="413"/>
      <c r="L261" s="184"/>
    </row>
    <row r="262" spans="3:12">
      <c r="J262" s="413"/>
      <c r="L262" s="184"/>
    </row>
    <row r="263" spans="3:12">
      <c r="L263" s="184"/>
    </row>
    <row r="264" spans="3:12">
      <c r="L264" s="184"/>
    </row>
    <row r="265" spans="3:12">
      <c r="J265" s="413"/>
      <c r="L265" s="184"/>
    </row>
    <row r="266" spans="3:12">
      <c r="J266" s="413"/>
      <c r="L266" s="184"/>
    </row>
    <row r="267" spans="3:12">
      <c r="J267" s="413"/>
      <c r="L267" s="184"/>
    </row>
    <row r="268" spans="3:12">
      <c r="J268" s="413"/>
      <c r="L268" s="184"/>
    </row>
    <row r="269" spans="3:12">
      <c r="J269" s="413"/>
      <c r="L269" s="184"/>
    </row>
    <row r="270" spans="3:12">
      <c r="J270" s="413"/>
      <c r="L270" s="184"/>
    </row>
    <row r="271" spans="3:12">
      <c r="L271" s="184"/>
    </row>
    <row r="272" spans="3:12">
      <c r="K272" s="189"/>
    </row>
  </sheetData>
  <mergeCells count="33">
    <mergeCell ref="R17:S17"/>
    <mergeCell ref="A66:F66"/>
    <mergeCell ref="K36:N36"/>
    <mergeCell ref="R18:S18"/>
    <mergeCell ref="R19:S19"/>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A1:N1"/>
    <mergeCell ref="A3:N3"/>
    <mergeCell ref="A7:F7"/>
    <mergeCell ref="K7:N7"/>
    <mergeCell ref="A219:F219"/>
    <mergeCell ref="A127:F127"/>
    <mergeCell ref="I219:N219"/>
    <mergeCell ref="I120:N120"/>
    <mergeCell ref="C257:E257"/>
    <mergeCell ref="I235:N235"/>
    <mergeCell ref="I221:N221"/>
    <mergeCell ref="A233:F233"/>
    <mergeCell ref="I233:N233"/>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8"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1"/>
  <sheetViews>
    <sheetView topLeftCell="A85" zoomScaleNormal="100" zoomScaleSheetLayoutView="75" workbookViewId="0">
      <selection activeCell="D69" sqref="D69"/>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20" ht="15">
      <c r="J2" s="12" t="s">
        <v>447</v>
      </c>
    </row>
    <row r="3" spans="1:20" ht="18">
      <c r="A3" s="1429" t="s">
        <v>353</v>
      </c>
      <c r="B3" s="568"/>
      <c r="C3" s="568"/>
      <c r="D3" s="568"/>
      <c r="E3" s="568"/>
      <c r="F3" s="568"/>
      <c r="G3" s="568"/>
      <c r="H3" s="568"/>
      <c r="I3" s="569"/>
      <c r="J3" s="569"/>
      <c r="K3" s="421"/>
      <c r="L3" s="421"/>
      <c r="M3" s="421"/>
      <c r="N3" s="421"/>
      <c r="O3" s="421"/>
    </row>
    <row r="4" spans="1:20">
      <c r="A4" s="421"/>
      <c r="B4" s="421"/>
      <c r="C4" s="421"/>
      <c r="D4" s="421"/>
      <c r="E4" s="1764" t="s">
        <v>1103</v>
      </c>
      <c r="F4" s="1765">
        <v>2022</v>
      </c>
      <c r="G4" s="421"/>
      <c r="H4" s="421"/>
      <c r="I4" s="421"/>
      <c r="J4" s="421"/>
      <c r="K4" s="421"/>
      <c r="L4" s="421"/>
      <c r="M4" s="421"/>
      <c r="N4" s="421"/>
      <c r="O4" s="421"/>
    </row>
    <row r="5" spans="1:20" ht="16.5">
      <c r="A5" s="420"/>
      <c r="B5" s="420"/>
      <c r="C5" s="420"/>
      <c r="D5" s="419"/>
      <c r="E5" s="1764" t="s">
        <v>1104</v>
      </c>
      <c r="F5" s="1766">
        <v>2023</v>
      </c>
      <c r="G5" s="419"/>
      <c r="H5" s="419"/>
      <c r="I5" s="419"/>
      <c r="J5" s="570"/>
      <c r="K5" s="419"/>
      <c r="L5" s="419"/>
      <c r="M5" s="419"/>
      <c r="N5" s="419"/>
      <c r="O5" s="419"/>
    </row>
    <row r="6" spans="1:20" ht="13.5">
      <c r="A6" s="571" t="s">
        <v>620</v>
      </c>
      <c r="B6" s="571" t="s">
        <v>621</v>
      </c>
      <c r="C6" s="571" t="s">
        <v>622</v>
      </c>
      <c r="D6" s="571" t="s">
        <v>623</v>
      </c>
      <c r="E6" s="1764" t="s">
        <v>1105</v>
      </c>
      <c r="F6" s="1766">
        <v>2024</v>
      </c>
      <c r="G6" s="572"/>
      <c r="H6" s="572"/>
      <c r="I6" s="572"/>
      <c r="J6" s="572"/>
      <c r="K6" s="572"/>
      <c r="L6" s="572"/>
      <c r="M6" s="572"/>
      <c r="N6" s="572"/>
      <c r="O6" s="572"/>
      <c r="P6" s="572"/>
      <c r="Q6" s="572"/>
      <c r="R6" s="572"/>
      <c r="S6" s="572"/>
    </row>
    <row r="7" spans="1:20" ht="13.5">
      <c r="A7" s="420"/>
      <c r="B7" s="571"/>
      <c r="C7" s="571"/>
      <c r="D7" s="572"/>
      <c r="E7" s="572"/>
      <c r="F7" s="572"/>
      <c r="G7" s="572"/>
      <c r="H7" s="572"/>
      <c r="I7" s="572"/>
      <c r="J7" s="572"/>
      <c r="K7" s="572"/>
      <c r="L7" s="572"/>
      <c r="M7" s="572"/>
      <c r="N7" s="572"/>
      <c r="O7" s="572"/>
      <c r="P7" s="576"/>
      <c r="Q7" s="576"/>
      <c r="R7" s="576"/>
      <c r="S7" s="576"/>
    </row>
    <row r="8" spans="1:20" ht="13.5">
      <c r="A8" s="573" t="s">
        <v>624</v>
      </c>
      <c r="B8" s="571"/>
      <c r="C8" s="571"/>
      <c r="D8" s="572"/>
      <c r="E8" s="572"/>
      <c r="F8" s="572"/>
      <c r="G8" s="572"/>
      <c r="H8" s="572"/>
      <c r="I8" s="572"/>
      <c r="J8" s="572"/>
      <c r="K8" s="572"/>
      <c r="L8" s="572"/>
      <c r="M8" s="572"/>
      <c r="N8" s="572"/>
      <c r="P8" s="576"/>
      <c r="Q8" s="576"/>
      <c r="R8" s="576"/>
      <c r="S8" s="576"/>
    </row>
    <row r="9" spans="1:20" ht="13.5">
      <c r="A9" s="574">
        <v>1</v>
      </c>
      <c r="B9" s="574" t="s">
        <v>625</v>
      </c>
      <c r="C9" s="574" t="s">
        <v>600</v>
      </c>
      <c r="D9" s="575" t="s">
        <v>1090</v>
      </c>
      <c r="E9" s="576"/>
      <c r="F9" s="576"/>
      <c r="G9" s="576"/>
      <c r="H9" s="576"/>
      <c r="I9" s="576"/>
      <c r="J9" s="576"/>
      <c r="K9" s="576"/>
      <c r="L9" s="576"/>
      <c r="M9" s="576"/>
      <c r="N9" s="576"/>
      <c r="P9" s="576"/>
      <c r="Q9" s="624"/>
      <c r="R9" s="624"/>
      <c r="S9" s="608"/>
    </row>
    <row r="10" spans="1:20" ht="13.5">
      <c r="A10" s="574">
        <v>2</v>
      </c>
      <c r="B10" s="574" t="s">
        <v>625</v>
      </c>
      <c r="C10" s="574" t="s">
        <v>600</v>
      </c>
      <c r="D10" s="575" t="s">
        <v>1091</v>
      </c>
      <c r="E10" s="576"/>
      <c r="F10" s="576"/>
      <c r="G10" s="576"/>
      <c r="H10" s="576"/>
      <c r="I10" s="576"/>
      <c r="J10" s="576"/>
      <c r="K10" s="576"/>
      <c r="L10" s="576"/>
      <c r="M10" s="576"/>
      <c r="N10" s="576"/>
      <c r="P10" s="576"/>
      <c r="Q10" s="624"/>
      <c r="R10" s="624"/>
      <c r="S10" s="608"/>
    </row>
    <row r="11" spans="1:20" ht="13.5">
      <c r="A11" s="574">
        <v>3</v>
      </c>
      <c r="B11" s="574" t="s">
        <v>625</v>
      </c>
      <c r="C11" s="574" t="s">
        <v>600</v>
      </c>
      <c r="D11" s="575" t="s">
        <v>1092</v>
      </c>
      <c r="E11" s="576"/>
      <c r="F11" s="576"/>
      <c r="G11" s="576"/>
      <c r="H11" s="576"/>
      <c r="I11" s="576"/>
      <c r="J11" s="576"/>
      <c r="K11" s="576"/>
      <c r="L11" s="576"/>
      <c r="M11" s="576"/>
      <c r="N11" s="576"/>
      <c r="P11" s="576"/>
      <c r="Q11" s="624"/>
      <c r="R11" s="624"/>
      <c r="S11" s="608"/>
    </row>
    <row r="12" spans="1:20" ht="13.5">
      <c r="A12" s="574">
        <v>4</v>
      </c>
      <c r="B12" s="574" t="s">
        <v>626</v>
      </c>
      <c r="C12" s="574" t="s">
        <v>600</v>
      </c>
      <c r="D12" s="575" t="s">
        <v>961</v>
      </c>
      <c r="E12" s="576"/>
      <c r="F12" s="576"/>
      <c r="G12" s="576"/>
      <c r="H12" s="576"/>
      <c r="I12" s="576"/>
      <c r="J12" s="576"/>
      <c r="K12" s="576"/>
      <c r="L12" s="576"/>
      <c r="M12" s="576"/>
      <c r="N12" s="576"/>
      <c r="P12" s="572"/>
      <c r="Q12" s="625"/>
      <c r="R12" s="625"/>
      <c r="S12" s="608"/>
    </row>
    <row r="13" spans="1:20" ht="13.5">
      <c r="A13" s="574">
        <v>5</v>
      </c>
      <c r="B13" s="577" t="s">
        <v>627</v>
      </c>
      <c r="C13" s="574" t="s">
        <v>600</v>
      </c>
      <c r="D13" s="575" t="s">
        <v>1093</v>
      </c>
      <c r="E13" s="576"/>
      <c r="F13" s="576"/>
      <c r="G13" s="576"/>
      <c r="H13" s="576"/>
      <c r="I13" s="576"/>
      <c r="J13" s="576"/>
      <c r="K13" s="576"/>
      <c r="L13" s="576"/>
      <c r="M13" s="576"/>
      <c r="N13" s="576"/>
      <c r="P13" s="572"/>
      <c r="Q13" s="625"/>
      <c r="R13" s="625"/>
      <c r="S13" s="608"/>
    </row>
    <row r="14" spans="1:20" ht="13.5">
      <c r="A14" s="571">
        <v>6</v>
      </c>
      <c r="B14" s="571" t="s">
        <v>625</v>
      </c>
      <c r="C14" s="574" t="s">
        <v>601</v>
      </c>
      <c r="D14" s="578" t="s">
        <v>1094</v>
      </c>
      <c r="E14" s="572"/>
      <c r="F14" s="572"/>
      <c r="G14" s="572"/>
      <c r="H14" s="572"/>
      <c r="I14" s="572"/>
      <c r="J14" s="572"/>
      <c r="K14" s="572"/>
      <c r="L14" s="572"/>
      <c r="M14" s="572"/>
      <c r="N14" s="572"/>
      <c r="P14" s="572"/>
      <c r="Q14" s="625"/>
      <c r="R14" s="625"/>
      <c r="S14" s="608"/>
    </row>
    <row r="15" spans="1:20" ht="13.5">
      <c r="A15" s="571">
        <v>7</v>
      </c>
      <c r="B15" s="571" t="s">
        <v>625</v>
      </c>
      <c r="C15" s="574" t="s">
        <v>601</v>
      </c>
      <c r="D15" s="578" t="str">
        <f>+D65</f>
        <v>Reconciliation</v>
      </c>
      <c r="E15" s="579"/>
      <c r="F15" s="579"/>
      <c r="G15" s="579"/>
      <c r="H15" s="579"/>
      <c r="I15" s="579"/>
      <c r="J15" s="579"/>
      <c r="K15" s="572"/>
      <c r="L15" s="572"/>
      <c r="M15" s="572"/>
      <c r="N15" s="572"/>
      <c r="P15" s="572"/>
      <c r="Q15" s="625"/>
      <c r="R15" s="625"/>
      <c r="S15" s="608"/>
    </row>
    <row r="16" spans="1:20" ht="13.5">
      <c r="A16" s="571">
        <v>8</v>
      </c>
      <c r="B16" s="571" t="s">
        <v>625</v>
      </c>
      <c r="C16" s="574" t="s">
        <v>601</v>
      </c>
      <c r="D16" s="578" t="str">
        <f>+D75</f>
        <v>True-Up Adjustment</v>
      </c>
      <c r="E16" s="572"/>
      <c r="F16" s="572"/>
      <c r="G16" s="572"/>
      <c r="H16" s="572"/>
      <c r="I16" s="572"/>
      <c r="J16" s="572"/>
      <c r="K16" s="572"/>
      <c r="L16" s="572"/>
      <c r="M16" s="1869"/>
      <c r="N16" s="572"/>
      <c r="P16" s="572"/>
      <c r="Q16" s="846"/>
      <c r="R16" s="846"/>
      <c r="S16" s="845"/>
      <c r="T16" s="97"/>
    </row>
    <row r="17" spans="1:20" ht="13.5">
      <c r="A17" s="571">
        <v>9</v>
      </c>
      <c r="B17" s="571" t="s">
        <v>625</v>
      </c>
      <c r="C17" s="574" t="s">
        <v>601</v>
      </c>
      <c r="D17" s="578" t="s">
        <v>1095</v>
      </c>
      <c r="E17" s="572"/>
      <c r="F17" s="572"/>
      <c r="G17" s="572"/>
      <c r="H17" s="572"/>
      <c r="I17" s="572"/>
      <c r="J17" s="572"/>
      <c r="K17" s="572"/>
      <c r="L17" s="572"/>
      <c r="M17" s="572"/>
      <c r="N17" s="572"/>
      <c r="P17" s="572"/>
      <c r="Q17" s="846"/>
      <c r="R17" s="846"/>
      <c r="S17" s="845"/>
      <c r="T17" s="97"/>
    </row>
    <row r="18" spans="1:20" ht="13.5">
      <c r="A18" s="571">
        <v>10</v>
      </c>
      <c r="B18" s="571" t="s">
        <v>626</v>
      </c>
      <c r="C18" s="574" t="s">
        <v>601</v>
      </c>
      <c r="D18" s="578" t="s">
        <v>460</v>
      </c>
      <c r="E18" s="572"/>
      <c r="F18" s="572"/>
      <c r="G18" s="572"/>
      <c r="H18" s="572"/>
      <c r="I18" s="572"/>
      <c r="J18" s="572"/>
      <c r="K18" s="572"/>
      <c r="L18" s="572"/>
      <c r="M18" s="572"/>
      <c r="N18" s="572"/>
      <c r="P18" s="572"/>
      <c r="Q18" s="846"/>
      <c r="R18" s="846"/>
      <c r="S18" s="845"/>
      <c r="T18" s="97"/>
    </row>
    <row r="19" spans="1:20" ht="13.5">
      <c r="A19" s="571">
        <v>11</v>
      </c>
      <c r="B19" s="580" t="s">
        <v>627</v>
      </c>
      <c r="C19" s="574" t="s">
        <v>601</v>
      </c>
      <c r="D19" s="575" t="s">
        <v>1096</v>
      </c>
      <c r="E19" s="576"/>
      <c r="F19" s="576"/>
      <c r="G19" s="576"/>
      <c r="H19" s="576"/>
      <c r="I19" s="576"/>
      <c r="J19" s="576"/>
      <c r="K19" s="572"/>
      <c r="L19" s="572"/>
      <c r="M19" s="572"/>
      <c r="N19" s="572"/>
      <c r="P19" s="572"/>
      <c r="Q19" s="846"/>
      <c r="R19" s="846"/>
      <c r="S19" s="846"/>
      <c r="T19" s="97"/>
    </row>
    <row r="20" spans="1:20" ht="13.5">
      <c r="A20" s="571"/>
      <c r="B20" s="580"/>
      <c r="C20" s="571"/>
      <c r="D20" s="578"/>
      <c r="E20" s="572"/>
      <c r="F20" s="572"/>
      <c r="G20" s="572"/>
      <c r="H20" s="572"/>
      <c r="I20" s="572"/>
      <c r="J20" s="572"/>
      <c r="K20" s="572"/>
      <c r="L20" s="572"/>
      <c r="M20" s="572"/>
      <c r="N20" s="572"/>
      <c r="P20" s="572"/>
      <c r="Q20" s="596"/>
      <c r="R20" s="596"/>
      <c r="S20" s="596"/>
      <c r="T20" s="97"/>
    </row>
    <row r="21" spans="1:20" ht="13.5">
      <c r="A21" s="581"/>
      <c r="B21" s="574"/>
      <c r="C21" s="571"/>
      <c r="D21" s="582"/>
      <c r="E21" s="572"/>
      <c r="F21" s="572"/>
      <c r="G21" s="572"/>
      <c r="H21" s="572"/>
      <c r="I21" s="1733"/>
      <c r="J21" s="572"/>
      <c r="K21" s="572"/>
      <c r="L21" s="572"/>
      <c r="M21" s="572"/>
      <c r="N21" s="572"/>
      <c r="P21" s="572"/>
      <c r="Q21" s="596"/>
      <c r="R21" s="596"/>
      <c r="S21" s="596"/>
      <c r="T21" s="97"/>
    </row>
    <row r="22" spans="1:20" ht="13.5">
      <c r="A22" s="571">
        <v>1</v>
      </c>
      <c r="B22" s="571" t="s">
        <v>625</v>
      </c>
      <c r="C22" s="571" t="s">
        <v>600</v>
      </c>
      <c r="D22" s="572" t="s">
        <v>1097</v>
      </c>
      <c r="E22" s="572"/>
      <c r="F22" s="572"/>
      <c r="G22" s="572"/>
      <c r="H22" s="572"/>
      <c r="I22" s="572"/>
      <c r="J22" s="419"/>
      <c r="K22" s="572"/>
      <c r="L22" s="572"/>
      <c r="M22" s="572"/>
      <c r="N22" s="572"/>
      <c r="Q22" s="97"/>
      <c r="R22" s="97"/>
      <c r="S22" s="97"/>
      <c r="T22" s="97"/>
    </row>
    <row r="23" spans="1:20" ht="13.5">
      <c r="A23" s="571"/>
      <c r="B23" s="571"/>
      <c r="C23" s="571"/>
      <c r="D23" s="583"/>
      <c r="E23" s="572" t="s">
        <v>366</v>
      </c>
      <c r="F23" s="572"/>
      <c r="G23" s="584" t="s">
        <v>1087</v>
      </c>
      <c r="H23" s="572"/>
      <c r="I23" s="572"/>
      <c r="J23" s="572"/>
      <c r="L23" s="572"/>
      <c r="M23" s="572"/>
      <c r="N23" s="572"/>
      <c r="Q23" s="97"/>
      <c r="R23" s="97"/>
      <c r="S23" s="97"/>
      <c r="T23" s="97"/>
    </row>
    <row r="24" spans="1:20" ht="13.5">
      <c r="A24" s="571"/>
      <c r="B24" s="571"/>
      <c r="C24" s="571"/>
      <c r="D24" s="585"/>
      <c r="E24" s="572"/>
      <c r="F24" s="572"/>
      <c r="G24" s="572"/>
      <c r="H24" s="572"/>
      <c r="I24" s="572"/>
      <c r="J24" s="572"/>
      <c r="K24" s="572"/>
      <c r="L24" s="572"/>
      <c r="M24" s="572"/>
      <c r="N24" s="572"/>
      <c r="O24" s="572"/>
    </row>
    <row r="25" spans="1:20" ht="13.5">
      <c r="A25" s="571">
        <v>2</v>
      </c>
      <c r="B25" s="571" t="s">
        <v>625</v>
      </c>
      <c r="C25" s="571" t="s">
        <v>600</v>
      </c>
      <c r="D25" s="578" t="s">
        <v>1091</v>
      </c>
      <c r="E25" s="572"/>
      <c r="F25" s="572"/>
      <c r="G25" s="572"/>
      <c r="H25" s="572"/>
      <c r="I25" s="572"/>
      <c r="J25" s="419"/>
      <c r="K25" s="572"/>
      <c r="L25" s="572"/>
      <c r="M25" s="572"/>
      <c r="N25" s="572"/>
      <c r="O25" s="572"/>
    </row>
    <row r="26" spans="1:20" ht="13.5">
      <c r="A26" s="571"/>
      <c r="C26" s="571"/>
      <c r="D26" s="578"/>
      <c r="E26" s="572"/>
      <c r="F26" s="572"/>
      <c r="G26" s="572"/>
      <c r="H26" s="572"/>
      <c r="I26" s="572"/>
      <c r="J26" s="419"/>
      <c r="K26" s="572"/>
      <c r="L26" s="572"/>
      <c r="M26" s="572"/>
      <c r="N26" s="572"/>
      <c r="O26" s="572"/>
    </row>
    <row r="27" spans="1:20" ht="13.5">
      <c r="A27" s="571"/>
      <c r="B27" s="419"/>
      <c r="C27" s="478" t="s">
        <v>263</v>
      </c>
      <c r="D27" s="478" t="s">
        <v>264</v>
      </c>
      <c r="E27" s="478" t="s">
        <v>356</v>
      </c>
      <c r="F27" s="478" t="s">
        <v>265</v>
      </c>
      <c r="G27" s="478" t="s">
        <v>266</v>
      </c>
      <c r="I27" s="478" t="s">
        <v>262</v>
      </c>
      <c r="J27" s="478" t="s">
        <v>355</v>
      </c>
      <c r="K27" s="478" t="s">
        <v>569</v>
      </c>
      <c r="L27" s="478" t="s">
        <v>570</v>
      </c>
      <c r="M27" s="478" t="s">
        <v>962</v>
      </c>
      <c r="O27" s="574"/>
    </row>
    <row r="28" spans="1:20" ht="13.5">
      <c r="A28" s="571"/>
      <c r="B28" s="419"/>
      <c r="C28" s="571" t="s">
        <v>219</v>
      </c>
      <c r="D28" s="571" t="s">
        <v>219</v>
      </c>
      <c r="E28" s="571" t="s">
        <v>219</v>
      </c>
      <c r="F28" s="571" t="s">
        <v>219</v>
      </c>
      <c r="G28" s="571" t="s">
        <v>219</v>
      </c>
      <c r="H28" s="571"/>
      <c r="I28" s="571" t="s">
        <v>72</v>
      </c>
      <c r="J28" s="571" t="s">
        <v>72</v>
      </c>
      <c r="K28" s="571" t="s">
        <v>72</v>
      </c>
      <c r="L28" s="571" t="s">
        <v>72</v>
      </c>
      <c r="M28" s="571" t="s">
        <v>72</v>
      </c>
      <c r="O28" s="571"/>
    </row>
    <row r="29" spans="1:20" ht="13.5">
      <c r="A29" s="571"/>
      <c r="B29" s="572"/>
      <c r="C29" s="571" t="s">
        <v>68</v>
      </c>
      <c r="D29" s="571" t="s">
        <v>68</v>
      </c>
      <c r="E29" s="571" t="s">
        <v>68</v>
      </c>
      <c r="F29" s="622"/>
      <c r="G29" s="622"/>
      <c r="H29" s="571"/>
      <c r="I29" s="571" t="s">
        <v>73</v>
      </c>
      <c r="J29" s="571" t="s">
        <v>75</v>
      </c>
      <c r="K29" s="571" t="s">
        <v>76</v>
      </c>
      <c r="L29" s="571" t="s">
        <v>77</v>
      </c>
      <c r="M29" s="571" t="s">
        <v>78</v>
      </c>
      <c r="O29" s="571"/>
    </row>
    <row r="30" spans="1:20" ht="13.5">
      <c r="A30" s="571"/>
      <c r="B30" s="572"/>
      <c r="C30" s="571" t="s">
        <v>568</v>
      </c>
      <c r="D30" s="571"/>
      <c r="E30" s="571"/>
      <c r="F30" s="571" t="s">
        <v>69</v>
      </c>
      <c r="G30" s="571" t="s">
        <v>70</v>
      </c>
      <c r="H30" s="571"/>
      <c r="I30" s="571"/>
      <c r="J30" s="571"/>
      <c r="K30" s="571"/>
      <c r="L30" s="571"/>
      <c r="M30" s="571"/>
    </row>
    <row r="31" spans="1:20" ht="13.5">
      <c r="A31" s="571"/>
      <c r="B31" s="572"/>
      <c r="C31" s="571"/>
      <c r="D31" s="586"/>
      <c r="E31" s="586"/>
      <c r="F31" s="571"/>
      <c r="G31" s="571"/>
      <c r="H31" s="621"/>
      <c r="I31" s="571"/>
      <c r="J31" s="587"/>
      <c r="K31" s="571"/>
      <c r="L31" s="571"/>
      <c r="M31" s="582"/>
    </row>
    <row r="32" spans="1:20" ht="13.5">
      <c r="A32" s="571"/>
      <c r="B32" s="572" t="s">
        <v>628</v>
      </c>
      <c r="C32" s="1834"/>
      <c r="D32" s="588"/>
      <c r="E32" s="588"/>
      <c r="F32" s="588"/>
      <c r="G32" s="588"/>
      <c r="H32" s="621"/>
      <c r="I32" s="587">
        <f>C32</f>
        <v>0</v>
      </c>
      <c r="J32" s="587">
        <f>D32</f>
        <v>0</v>
      </c>
      <c r="K32" s="587">
        <f>E32</f>
        <v>0</v>
      </c>
      <c r="L32" s="587">
        <f>F32</f>
        <v>0</v>
      </c>
      <c r="M32" s="587">
        <f>G32</f>
        <v>0</v>
      </c>
      <c r="O32" s="587"/>
    </row>
    <row r="33" spans="1:15" ht="13.5">
      <c r="A33" s="571"/>
      <c r="B33" s="572" t="s">
        <v>629</v>
      </c>
      <c r="C33" s="1834"/>
      <c r="D33" s="588"/>
      <c r="E33" s="588"/>
      <c r="F33" s="588"/>
      <c r="G33" s="588"/>
      <c r="H33" s="621"/>
      <c r="I33" s="587">
        <f t="shared" ref="I33:I43" si="0">I32+C33</f>
        <v>0</v>
      </c>
      <c r="J33" s="587">
        <f t="shared" ref="J33:J43" si="1">J32+D33</f>
        <v>0</v>
      </c>
      <c r="K33" s="587">
        <f t="shared" ref="K33:K43" si="2">K32+E33</f>
        <v>0</v>
      </c>
      <c r="L33" s="587">
        <f t="shared" ref="L33:L43" si="3">L32+F33</f>
        <v>0</v>
      </c>
      <c r="M33" s="587">
        <f t="shared" ref="M33:M43" si="4">M32+G33</f>
        <v>0</v>
      </c>
      <c r="O33" s="587"/>
    </row>
    <row r="34" spans="1:15" ht="13.5">
      <c r="A34" s="571"/>
      <c r="B34" s="572" t="s">
        <v>630</v>
      </c>
      <c r="C34" s="1834"/>
      <c r="D34" s="588"/>
      <c r="E34" s="588"/>
      <c r="F34" s="588"/>
      <c r="G34" s="588"/>
      <c r="H34" s="621"/>
      <c r="I34" s="587">
        <f t="shared" si="0"/>
        <v>0</v>
      </c>
      <c r="J34" s="587">
        <f t="shared" si="1"/>
        <v>0</v>
      </c>
      <c r="K34" s="587">
        <f t="shared" si="2"/>
        <v>0</v>
      </c>
      <c r="L34" s="587">
        <f t="shared" si="3"/>
        <v>0</v>
      </c>
      <c r="M34" s="587">
        <f t="shared" si="4"/>
        <v>0</v>
      </c>
      <c r="O34" s="587"/>
    </row>
    <row r="35" spans="1:15" ht="13.5">
      <c r="A35" s="571"/>
      <c r="B35" s="572" t="s">
        <v>631</v>
      </c>
      <c r="C35" s="1834"/>
      <c r="D35" s="588"/>
      <c r="E35" s="588"/>
      <c r="F35" s="588"/>
      <c r="G35" s="588"/>
      <c r="H35" s="621"/>
      <c r="I35" s="587">
        <f t="shared" si="0"/>
        <v>0</v>
      </c>
      <c r="J35" s="587">
        <f t="shared" si="1"/>
        <v>0</v>
      </c>
      <c r="K35" s="587">
        <f t="shared" si="2"/>
        <v>0</v>
      </c>
      <c r="L35" s="587">
        <f t="shared" si="3"/>
        <v>0</v>
      </c>
      <c r="M35" s="587">
        <f t="shared" si="4"/>
        <v>0</v>
      </c>
      <c r="O35" s="587"/>
    </row>
    <row r="36" spans="1:15" ht="13.5">
      <c r="A36" s="571"/>
      <c r="B36" s="572" t="s">
        <v>626</v>
      </c>
      <c r="C36" s="1834"/>
      <c r="D36" s="588"/>
      <c r="E36" s="588"/>
      <c r="F36" s="588"/>
      <c r="G36" s="588"/>
      <c r="H36" s="621"/>
      <c r="I36" s="587">
        <f t="shared" si="0"/>
        <v>0</v>
      </c>
      <c r="J36" s="587">
        <f t="shared" si="1"/>
        <v>0</v>
      </c>
      <c r="K36" s="587">
        <f t="shared" si="2"/>
        <v>0</v>
      </c>
      <c r="L36" s="587">
        <f t="shared" si="3"/>
        <v>0</v>
      </c>
      <c r="M36" s="587">
        <f t="shared" si="4"/>
        <v>0</v>
      </c>
      <c r="O36" s="587"/>
    </row>
    <row r="37" spans="1:15" ht="13.5">
      <c r="A37" s="571"/>
      <c r="B37" s="572" t="s">
        <v>632</v>
      </c>
      <c r="C37" s="1834"/>
      <c r="D37" s="588"/>
      <c r="E37" s="588"/>
      <c r="F37" s="588"/>
      <c r="G37" s="588"/>
      <c r="H37" s="621"/>
      <c r="I37" s="587">
        <f t="shared" si="0"/>
        <v>0</v>
      </c>
      <c r="J37" s="587">
        <f t="shared" si="1"/>
        <v>0</v>
      </c>
      <c r="K37" s="587">
        <f t="shared" si="2"/>
        <v>0</v>
      </c>
      <c r="L37" s="587">
        <f t="shared" si="3"/>
        <v>0</v>
      </c>
      <c r="M37" s="587">
        <f t="shared" si="4"/>
        <v>0</v>
      </c>
      <c r="O37" s="587"/>
    </row>
    <row r="38" spans="1:15" ht="13.5">
      <c r="A38" s="571"/>
      <c r="B38" s="572" t="s">
        <v>633</v>
      </c>
      <c r="C38" s="1834"/>
      <c r="D38" s="588"/>
      <c r="E38" s="588"/>
      <c r="F38" s="588"/>
      <c r="G38" s="588"/>
      <c r="H38" s="621"/>
      <c r="I38" s="587">
        <f t="shared" si="0"/>
        <v>0</v>
      </c>
      <c r="J38" s="587">
        <f t="shared" si="1"/>
        <v>0</v>
      </c>
      <c r="K38" s="587">
        <f t="shared" si="2"/>
        <v>0</v>
      </c>
      <c r="L38" s="587">
        <f t="shared" si="3"/>
        <v>0</v>
      </c>
      <c r="M38" s="587">
        <f t="shared" si="4"/>
        <v>0</v>
      </c>
      <c r="O38" s="587"/>
    </row>
    <row r="39" spans="1:15" ht="13.5">
      <c r="A39" s="571"/>
      <c r="B39" s="572" t="s">
        <v>634</v>
      </c>
      <c r="C39" s="1834"/>
      <c r="D39" s="588"/>
      <c r="E39" s="588"/>
      <c r="F39" s="588"/>
      <c r="G39" s="588"/>
      <c r="H39" s="621"/>
      <c r="I39" s="587">
        <f t="shared" si="0"/>
        <v>0</v>
      </c>
      <c r="J39" s="587">
        <f t="shared" si="1"/>
        <v>0</v>
      </c>
      <c r="K39" s="587">
        <f t="shared" si="2"/>
        <v>0</v>
      </c>
      <c r="L39" s="587">
        <f t="shared" si="3"/>
        <v>0</v>
      </c>
      <c r="M39" s="587">
        <f t="shared" si="4"/>
        <v>0</v>
      </c>
      <c r="O39" s="587"/>
    </row>
    <row r="40" spans="1:15" ht="13.5">
      <c r="A40" s="571"/>
      <c r="B40" s="572" t="s">
        <v>635</v>
      </c>
      <c r="C40" s="1834"/>
      <c r="D40" s="588"/>
      <c r="E40" s="588"/>
      <c r="F40" s="588"/>
      <c r="G40" s="588"/>
      <c r="H40" s="621"/>
      <c r="I40" s="587">
        <f t="shared" si="0"/>
        <v>0</v>
      </c>
      <c r="J40" s="587">
        <f t="shared" si="1"/>
        <v>0</v>
      </c>
      <c r="K40" s="587">
        <f t="shared" si="2"/>
        <v>0</v>
      </c>
      <c r="L40" s="587">
        <f t="shared" si="3"/>
        <v>0</v>
      </c>
      <c r="M40" s="587">
        <f t="shared" si="4"/>
        <v>0</v>
      </c>
      <c r="O40" s="587"/>
    </row>
    <row r="41" spans="1:15" ht="13.5">
      <c r="A41" s="571"/>
      <c r="B41" s="572" t="s">
        <v>636</v>
      </c>
      <c r="C41" s="1834"/>
      <c r="D41" s="588"/>
      <c r="E41" s="588"/>
      <c r="F41" s="588"/>
      <c r="G41" s="588"/>
      <c r="H41" s="621"/>
      <c r="I41" s="587">
        <f t="shared" si="0"/>
        <v>0</v>
      </c>
      <c r="J41" s="587">
        <f t="shared" si="1"/>
        <v>0</v>
      </c>
      <c r="K41" s="587">
        <f t="shared" si="2"/>
        <v>0</v>
      </c>
      <c r="L41" s="587">
        <f t="shared" si="3"/>
        <v>0</v>
      </c>
      <c r="M41" s="587">
        <f t="shared" si="4"/>
        <v>0</v>
      </c>
      <c r="O41" s="587"/>
    </row>
    <row r="42" spans="1:15" ht="13.5">
      <c r="A42" s="571"/>
      <c r="B42" s="572" t="s">
        <v>637</v>
      </c>
      <c r="C42" s="1834"/>
      <c r="D42" s="588"/>
      <c r="E42" s="588"/>
      <c r="F42" s="588"/>
      <c r="G42" s="588"/>
      <c r="H42" s="621"/>
      <c r="I42" s="587">
        <f t="shared" si="0"/>
        <v>0</v>
      </c>
      <c r="J42" s="587">
        <f t="shared" si="1"/>
        <v>0</v>
      </c>
      <c r="K42" s="587">
        <f t="shared" si="2"/>
        <v>0</v>
      </c>
      <c r="L42" s="587">
        <f t="shared" si="3"/>
        <v>0</v>
      </c>
      <c r="M42" s="587">
        <f t="shared" si="4"/>
        <v>0</v>
      </c>
      <c r="O42" s="587"/>
    </row>
    <row r="43" spans="1:15" ht="13.5">
      <c r="A43" s="571"/>
      <c r="B43" s="572" t="s">
        <v>638</v>
      </c>
      <c r="C43" s="1834"/>
      <c r="D43" s="588"/>
      <c r="E43" s="588"/>
      <c r="F43" s="588"/>
      <c r="G43" s="588"/>
      <c r="H43" s="621"/>
      <c r="I43" s="587">
        <f t="shared" si="0"/>
        <v>0</v>
      </c>
      <c r="J43" s="587">
        <f t="shared" si="1"/>
        <v>0</v>
      </c>
      <c r="K43" s="587">
        <f t="shared" si="2"/>
        <v>0</v>
      </c>
      <c r="L43" s="587">
        <f t="shared" si="3"/>
        <v>0</v>
      </c>
      <c r="M43" s="587">
        <f t="shared" si="4"/>
        <v>0</v>
      </c>
      <c r="O43" s="587"/>
    </row>
    <row r="44" spans="1:15" ht="13.5">
      <c r="A44" s="571"/>
      <c r="B44" s="572" t="s">
        <v>850</v>
      </c>
      <c r="C44" s="587">
        <f>SUM(C32:C43)</f>
        <v>0</v>
      </c>
      <c r="D44" s="587">
        <v>0</v>
      </c>
      <c r="E44" s="587">
        <v>0</v>
      </c>
      <c r="F44" s="587">
        <v>0</v>
      </c>
      <c r="G44" s="587">
        <v>0</v>
      </c>
      <c r="H44" s="587" t="s">
        <v>79</v>
      </c>
      <c r="I44" s="587">
        <f>AVERAGE(I32:I43)</f>
        <v>0</v>
      </c>
      <c r="J44" s="587">
        <f>AVERAGE(J32:J43)</f>
        <v>0</v>
      </c>
      <c r="K44" s="587">
        <f>AVERAGE(K32:K43)</f>
        <v>0</v>
      </c>
      <c r="L44" s="587">
        <f>AVERAGE(L32:L43)</f>
        <v>0</v>
      </c>
      <c r="M44" s="587">
        <f>AVERAGE(M32:M43)</f>
        <v>0</v>
      </c>
      <c r="O44" s="587"/>
    </row>
    <row r="45" spans="1:15" ht="13.5">
      <c r="A45" s="571"/>
      <c r="C45" s="572"/>
      <c r="D45" s="419"/>
      <c r="E45" s="419"/>
      <c r="F45" s="419"/>
      <c r="G45" s="419"/>
      <c r="H45" s="419"/>
      <c r="I45" s="419"/>
      <c r="J45" s="419"/>
      <c r="K45" s="589"/>
      <c r="L45" s="572"/>
      <c r="M45" s="572"/>
      <c r="N45" s="572"/>
    </row>
    <row r="46" spans="1:15" ht="13.5">
      <c r="A46" s="571"/>
      <c r="B46" s="572" t="s">
        <v>81</v>
      </c>
      <c r="C46" s="572"/>
      <c r="D46" s="419"/>
      <c r="E46" s="419"/>
      <c r="F46" s="419"/>
      <c r="G46" s="419"/>
      <c r="H46" s="419"/>
      <c r="I46" s="419"/>
      <c r="K46" s="1384" t="s">
        <v>80</v>
      </c>
      <c r="L46" s="587">
        <f>SUM(I44:M44)</f>
        <v>0</v>
      </c>
      <c r="M46" s="587"/>
      <c r="N46" s="587"/>
    </row>
    <row r="47" spans="1:15" ht="13.5">
      <c r="A47" s="1727"/>
      <c r="B47" s="572"/>
      <c r="C47" s="572"/>
      <c r="D47" s="419"/>
      <c r="E47" s="419"/>
      <c r="F47" s="419"/>
      <c r="G47" s="419"/>
      <c r="H47" s="419"/>
      <c r="I47" s="419"/>
      <c r="J47" s="572"/>
      <c r="K47" s="572"/>
      <c r="L47" s="419"/>
      <c r="M47" s="587"/>
      <c r="N47" s="572"/>
      <c r="O47" s="587"/>
    </row>
    <row r="48" spans="1:15" ht="13.5">
      <c r="A48" s="571"/>
      <c r="B48" s="571"/>
      <c r="C48" s="571"/>
      <c r="D48" s="572"/>
      <c r="E48" s="572"/>
      <c r="F48" s="419"/>
      <c r="G48" s="419"/>
      <c r="H48" s="419"/>
      <c r="I48" s="419"/>
      <c r="J48" s="572"/>
      <c r="L48" s="419"/>
      <c r="M48" s="590"/>
      <c r="N48" s="590"/>
      <c r="O48" s="591"/>
    </row>
    <row r="49" spans="1:15" ht="13.5">
      <c r="A49" s="571">
        <v>3</v>
      </c>
      <c r="B49" s="571" t="s">
        <v>625</v>
      </c>
      <c r="C49" s="571" t="s">
        <v>600</v>
      </c>
      <c r="D49" s="578" t="s">
        <v>1092</v>
      </c>
      <c r="E49" s="572"/>
      <c r="F49" s="572"/>
      <c r="G49" s="572"/>
      <c r="H49" s="572"/>
      <c r="I49" s="572"/>
      <c r="J49" s="572"/>
      <c r="K49" s="572"/>
      <c r="L49" s="587"/>
      <c r="M49" s="572"/>
      <c r="N49" s="572"/>
      <c r="O49" s="572"/>
    </row>
    <row r="50" spans="1:15" ht="13.5">
      <c r="A50" s="571"/>
      <c r="B50" s="571"/>
      <c r="C50" s="571"/>
      <c r="D50" s="592"/>
      <c r="E50" s="585"/>
      <c r="F50" s="587"/>
      <c r="G50" s="584" t="s">
        <v>1086</v>
      </c>
      <c r="H50" s="587"/>
      <c r="I50" s="572"/>
      <c r="J50" s="572"/>
      <c r="L50" s="587"/>
      <c r="M50" s="1733"/>
      <c r="N50" s="576"/>
      <c r="O50" s="590"/>
    </row>
    <row r="51" spans="1:15" ht="13.5">
      <c r="A51" s="571"/>
      <c r="B51" s="571"/>
      <c r="C51" s="571"/>
      <c r="D51" s="593"/>
      <c r="E51" s="571"/>
      <c r="F51" s="587"/>
      <c r="G51" s="1523"/>
      <c r="H51" s="587"/>
      <c r="I51" s="572"/>
      <c r="J51" s="572"/>
      <c r="K51" s="572"/>
      <c r="L51" s="572"/>
      <c r="M51" s="572"/>
      <c r="N51" s="572"/>
      <c r="O51" s="572"/>
    </row>
    <row r="52" spans="1:15" ht="13.5">
      <c r="A52" s="571">
        <v>4</v>
      </c>
      <c r="B52" s="571" t="s">
        <v>626</v>
      </c>
      <c r="C52" s="571" t="s">
        <v>600</v>
      </c>
      <c r="D52" s="572" t="s">
        <v>961</v>
      </c>
      <c r="E52" s="572"/>
      <c r="F52" s="572"/>
      <c r="G52" s="1524"/>
      <c r="H52" s="572"/>
      <c r="I52" s="572"/>
      <c r="J52" s="572"/>
      <c r="K52" s="572"/>
      <c r="L52" s="572"/>
      <c r="M52" s="572"/>
      <c r="N52" s="572"/>
      <c r="O52" s="572"/>
    </row>
    <row r="53" spans="1:15" ht="13.5">
      <c r="A53" s="571"/>
      <c r="B53" s="571"/>
      <c r="C53" s="571"/>
      <c r="D53" s="583"/>
      <c r="E53" s="419"/>
      <c r="F53" s="593"/>
      <c r="G53" s="584" t="s">
        <v>1086</v>
      </c>
      <c r="H53" s="572"/>
      <c r="I53" s="572"/>
      <c r="J53" s="572"/>
      <c r="K53" s="572"/>
      <c r="L53" s="572"/>
      <c r="M53" s="572"/>
      <c r="N53" s="572"/>
      <c r="O53" s="572"/>
    </row>
    <row r="54" spans="1:15" ht="13.5">
      <c r="A54" s="571"/>
      <c r="B54" s="571"/>
      <c r="C54" s="571"/>
      <c r="D54" s="594"/>
      <c r="E54" s="572"/>
      <c r="F54" s="572"/>
      <c r="G54" s="572"/>
      <c r="H54" s="572"/>
      <c r="I54" s="572"/>
      <c r="J54" s="572"/>
      <c r="K54" s="572"/>
      <c r="L54" s="572"/>
      <c r="M54" s="572"/>
      <c r="N54" s="572"/>
      <c r="O54" s="572"/>
    </row>
    <row r="55" spans="1:15" ht="13.5">
      <c r="A55" s="571">
        <v>5</v>
      </c>
      <c r="B55" s="571" t="s">
        <v>627</v>
      </c>
      <c r="C55" s="571" t="s">
        <v>600</v>
      </c>
      <c r="D55" s="578" t="s">
        <v>1093</v>
      </c>
      <c r="E55" s="572"/>
      <c r="F55" s="572"/>
      <c r="G55" s="572"/>
      <c r="H55" s="572"/>
      <c r="I55" s="572"/>
      <c r="J55" s="572"/>
      <c r="K55" s="572"/>
      <c r="L55" s="572"/>
      <c r="M55" s="572"/>
      <c r="N55" s="572"/>
      <c r="O55" s="572"/>
    </row>
    <row r="56" spans="1:15" ht="13.5">
      <c r="A56" s="571"/>
      <c r="B56" s="571"/>
      <c r="C56" s="571"/>
      <c r="D56" s="592"/>
      <c r="E56" s="572"/>
      <c r="F56" s="572"/>
      <c r="G56" s="572"/>
      <c r="H56" s="572"/>
      <c r="I56" s="572"/>
      <c r="J56" s="572"/>
      <c r="K56" s="572"/>
      <c r="L56" s="572"/>
      <c r="M56" s="572"/>
      <c r="N56" s="572"/>
      <c r="O56" s="572"/>
    </row>
    <row r="57" spans="1:15" ht="13.5">
      <c r="A57" s="595"/>
      <c r="B57" s="595"/>
      <c r="C57" s="595"/>
      <c r="D57" s="596"/>
      <c r="E57" s="596"/>
      <c r="F57" s="596"/>
      <c r="G57" s="596"/>
      <c r="H57" s="596"/>
      <c r="I57" s="596"/>
      <c r="J57" s="596"/>
      <c r="K57" s="596"/>
      <c r="L57" s="572"/>
      <c r="M57" s="572"/>
      <c r="N57" s="572"/>
      <c r="O57" s="572"/>
    </row>
    <row r="58" spans="1:15" ht="15.75">
      <c r="A58" s="595"/>
      <c r="B58" s="595"/>
      <c r="C58" s="595"/>
      <c r="D58" s="596"/>
      <c r="E58" s="596"/>
      <c r="F58" s="596"/>
      <c r="G58" s="596"/>
      <c r="H58" s="596"/>
      <c r="I58" s="596"/>
      <c r="J58" s="597"/>
      <c r="K58" s="596"/>
      <c r="L58" s="572"/>
      <c r="M58" s="572"/>
      <c r="N58" s="572"/>
      <c r="O58" s="572"/>
    </row>
    <row r="59" spans="1:15" ht="15.75">
      <c r="A59" s="595"/>
      <c r="B59" s="595"/>
      <c r="C59" s="595"/>
      <c r="D59" s="596"/>
      <c r="E59" s="596"/>
      <c r="F59" s="596"/>
      <c r="G59" s="596"/>
      <c r="H59" s="596"/>
      <c r="I59" s="596"/>
      <c r="J59" s="597"/>
      <c r="K59" s="596"/>
      <c r="L59" s="572"/>
      <c r="M59" s="576"/>
      <c r="N59" s="572"/>
      <c r="O59" s="572"/>
    </row>
    <row r="60" spans="1:15" ht="13.5">
      <c r="A60" s="571">
        <v>6</v>
      </c>
      <c r="B60" s="571" t="s">
        <v>625</v>
      </c>
      <c r="C60" s="571" t="s">
        <v>601</v>
      </c>
      <c r="D60" s="578" t="s">
        <v>1094</v>
      </c>
      <c r="E60" s="572"/>
      <c r="F60" s="572"/>
      <c r="G60" s="572"/>
      <c r="H60" s="572"/>
      <c r="I60" s="572"/>
      <c r="J60" s="572"/>
      <c r="K60" s="572"/>
      <c r="L60" s="572"/>
      <c r="M60" s="576"/>
      <c r="N60" s="572"/>
      <c r="O60" s="572"/>
    </row>
    <row r="61" spans="1:15" ht="13.5">
      <c r="A61" s="571"/>
      <c r="B61" s="571"/>
      <c r="C61" s="571"/>
      <c r="D61" s="598"/>
      <c r="E61" s="572" t="s">
        <v>656</v>
      </c>
      <c r="F61" s="572"/>
      <c r="G61" s="584" t="s">
        <v>1088</v>
      </c>
      <c r="H61" s="572"/>
      <c r="I61" s="572"/>
      <c r="J61" s="419"/>
      <c r="K61" s="572"/>
      <c r="L61" s="572"/>
      <c r="M61" s="576"/>
      <c r="N61" s="572"/>
      <c r="O61" s="572"/>
    </row>
    <row r="62" spans="1:15" ht="13.5">
      <c r="A62" s="571"/>
      <c r="B62" s="571"/>
      <c r="C62" s="571"/>
      <c r="D62" s="599"/>
      <c r="E62" s="625"/>
      <c r="F62" s="624"/>
      <c r="G62" s="625"/>
      <c r="H62" s="625"/>
      <c r="J62" s="572"/>
      <c r="K62" s="572"/>
      <c r="L62" s="572"/>
      <c r="M62" s="1733"/>
      <c r="N62" s="572"/>
      <c r="O62" s="572"/>
    </row>
    <row r="63" spans="1:15" ht="13.5">
      <c r="A63" s="571"/>
      <c r="B63" s="571"/>
      <c r="C63" s="571"/>
      <c r="D63" s="600"/>
      <c r="E63" s="572"/>
      <c r="F63" s="572"/>
      <c r="G63" s="572"/>
      <c r="H63" s="572"/>
      <c r="I63" s="572"/>
      <c r="J63" s="572"/>
      <c r="K63" s="572"/>
      <c r="L63" s="572"/>
      <c r="M63" s="576"/>
      <c r="N63" s="572"/>
      <c r="O63" s="572"/>
    </row>
    <row r="64" spans="1:15" ht="13.5">
      <c r="A64" s="571"/>
      <c r="B64" s="571"/>
      <c r="C64" s="571"/>
      <c r="D64" s="1785"/>
      <c r="E64" s="572"/>
      <c r="F64" s="572"/>
      <c r="G64" s="572"/>
      <c r="H64" s="587"/>
      <c r="I64" s="572"/>
      <c r="J64" s="572"/>
      <c r="K64" s="572"/>
      <c r="L64" s="572"/>
      <c r="M64" s="576"/>
      <c r="N64" s="625"/>
      <c r="O64" s="625"/>
    </row>
    <row r="65" spans="1:15" ht="13.5">
      <c r="A65" s="571">
        <v>7</v>
      </c>
      <c r="B65" s="571" t="s">
        <v>625</v>
      </c>
      <c r="C65" s="571" t="s">
        <v>601</v>
      </c>
      <c r="D65" s="578" t="s">
        <v>994</v>
      </c>
      <c r="E65" s="579"/>
      <c r="F65" s="579"/>
      <c r="G65" s="579"/>
      <c r="H65" s="579"/>
      <c r="I65" s="579"/>
      <c r="J65" s="579"/>
      <c r="K65" s="572"/>
      <c r="L65" s="572"/>
      <c r="M65" s="576"/>
      <c r="N65" s="625"/>
      <c r="O65" s="625"/>
    </row>
    <row r="66" spans="1:15" ht="13.5">
      <c r="A66" s="571"/>
      <c r="B66" s="571"/>
      <c r="C66" s="571"/>
      <c r="D66" s="601"/>
      <c r="E66" s="602"/>
      <c r="F66" s="602"/>
      <c r="G66" s="602"/>
      <c r="H66" s="579"/>
      <c r="I66" s="579"/>
      <c r="J66" s="579"/>
      <c r="K66" s="572"/>
      <c r="L66" s="572"/>
      <c r="M66" s="576"/>
      <c r="N66" s="625"/>
      <c r="O66" s="625"/>
    </row>
    <row r="67" spans="1:15" ht="13.5">
      <c r="A67" s="571"/>
      <c r="B67" s="571"/>
      <c r="C67" s="571"/>
      <c r="D67" s="603"/>
      <c r="E67" s="603"/>
      <c r="F67" s="603"/>
      <c r="G67" s="603"/>
      <c r="H67" s="603"/>
      <c r="I67" s="603"/>
      <c r="J67" s="603"/>
      <c r="K67" s="572"/>
      <c r="L67" s="593"/>
      <c r="M67" s="576"/>
      <c r="N67" s="625"/>
      <c r="O67" s="625"/>
    </row>
    <row r="68" spans="1:15" ht="13.5">
      <c r="A68" s="571"/>
      <c r="B68" s="572"/>
      <c r="C68" s="572"/>
      <c r="D68" s="419"/>
      <c r="E68" s="419"/>
      <c r="F68" s="419"/>
      <c r="G68" s="419"/>
      <c r="H68" s="419"/>
      <c r="I68" s="419"/>
      <c r="J68" s="572"/>
      <c r="K68" s="572"/>
      <c r="L68" s="587"/>
      <c r="M68" s="576"/>
      <c r="N68" s="1661"/>
      <c r="O68" s="625"/>
    </row>
    <row r="69" spans="1:15" ht="15.75">
      <c r="A69" s="571"/>
      <c r="B69" s="571"/>
      <c r="C69" s="571"/>
      <c r="D69" s="1932">
        <v>130472862</v>
      </c>
      <c r="E69" s="604" t="s">
        <v>979</v>
      </c>
      <c r="F69" s="572"/>
      <c r="G69" s="584" t="s">
        <v>1089</v>
      </c>
      <c r="H69" s="572"/>
      <c r="I69" s="572"/>
      <c r="J69" s="572"/>
      <c r="K69" s="572"/>
      <c r="L69" s="587"/>
      <c r="M69" s="576"/>
      <c r="N69" s="1661"/>
      <c r="O69" s="1662"/>
    </row>
    <row r="70" spans="1:15" ht="15.75">
      <c r="A70" s="420"/>
      <c r="B70" s="571"/>
      <c r="C70" s="571"/>
      <c r="D70" s="1933"/>
      <c r="E70" s="572" t="s">
        <v>999</v>
      </c>
      <c r="F70" s="572"/>
      <c r="G70" s="576"/>
      <c r="H70" s="608"/>
      <c r="I70" s="576"/>
      <c r="J70" s="572"/>
      <c r="K70" s="572"/>
      <c r="L70" s="572"/>
      <c r="M70" s="576"/>
      <c r="N70" s="572"/>
      <c r="O70" s="572"/>
    </row>
    <row r="71" spans="1:15" ht="15.75">
      <c r="A71" s="571"/>
      <c r="B71" s="571"/>
      <c r="C71" s="571"/>
      <c r="D71" s="1934"/>
      <c r="E71" s="572"/>
      <c r="F71" s="572"/>
      <c r="G71" s="576"/>
      <c r="H71" s="608"/>
      <c r="I71" s="576"/>
      <c r="J71" s="572"/>
      <c r="K71" s="572"/>
      <c r="L71" s="572"/>
      <c r="M71" s="1733"/>
      <c r="N71" s="625"/>
      <c r="O71" s="625"/>
    </row>
    <row r="72" spans="1:15" ht="15.75">
      <c r="A72" s="420"/>
      <c r="B72" s="571"/>
      <c r="C72" s="571"/>
      <c r="D72" s="1932">
        <v>6763802</v>
      </c>
      <c r="E72" s="572" t="s">
        <v>421</v>
      </c>
      <c r="F72" s="572"/>
      <c r="G72" s="576"/>
      <c r="H72" s="608"/>
      <c r="I72" s="576"/>
      <c r="J72" s="572"/>
      <c r="K72" s="572"/>
      <c r="L72" s="572"/>
      <c r="M72" s="576"/>
      <c r="N72" s="625"/>
      <c r="O72" s="625"/>
    </row>
    <row r="73" spans="1:15" ht="13.5">
      <c r="A73" s="420"/>
      <c r="B73" s="571"/>
      <c r="C73" s="571"/>
      <c r="D73" s="419"/>
      <c r="E73" s="664"/>
      <c r="F73" s="572"/>
      <c r="G73" s="576"/>
      <c r="H73" s="608"/>
      <c r="I73" s="576"/>
      <c r="J73" s="572"/>
      <c r="K73" s="572"/>
      <c r="L73" s="572"/>
      <c r="M73" s="572"/>
      <c r="N73" s="587"/>
      <c r="O73" s="572"/>
    </row>
    <row r="74" spans="1:15" ht="13.5">
      <c r="A74" s="571"/>
      <c r="B74" s="571"/>
      <c r="C74" s="571"/>
      <c r="D74" s="604"/>
      <c r="E74" s="572"/>
      <c r="F74" s="572"/>
      <c r="G74" s="576"/>
      <c r="H74" s="608"/>
      <c r="I74" s="576"/>
      <c r="J74" s="572"/>
      <c r="K74" s="572"/>
      <c r="L74" s="572"/>
      <c r="M74" s="572"/>
      <c r="N74" s="572"/>
      <c r="O74" s="572"/>
    </row>
    <row r="75" spans="1:15" ht="13.5">
      <c r="A75" s="571">
        <v>8</v>
      </c>
      <c r="B75" s="571" t="s">
        <v>625</v>
      </c>
      <c r="C75" s="571" t="s">
        <v>601</v>
      </c>
      <c r="D75" s="578" t="s">
        <v>980</v>
      </c>
      <c r="E75" s="572"/>
      <c r="F75" s="572"/>
      <c r="G75" s="572"/>
      <c r="H75" s="572"/>
      <c r="I75" s="572"/>
      <c r="J75" s="1733"/>
      <c r="K75" s="572"/>
      <c r="L75" s="572"/>
      <c r="M75" s="1737"/>
      <c r="N75" s="572"/>
      <c r="O75" s="572"/>
    </row>
    <row r="76" spans="1:15" ht="13.5">
      <c r="A76" s="571"/>
      <c r="B76" s="571"/>
      <c r="C76" s="571"/>
      <c r="D76" s="578"/>
      <c r="E76" s="572"/>
      <c r="F76" s="572"/>
      <c r="G76" s="572"/>
      <c r="H76" s="572"/>
      <c r="I76" s="572"/>
      <c r="J76" s="572"/>
      <c r="K76" s="572"/>
      <c r="L76" s="572"/>
      <c r="M76" s="572"/>
      <c r="N76" s="572"/>
      <c r="O76" s="572"/>
    </row>
    <row r="77" spans="1:15" ht="13.5">
      <c r="A77" s="574"/>
      <c r="B77" s="574"/>
      <c r="C77" s="571"/>
      <c r="D77" s="418" t="s">
        <v>943</v>
      </c>
      <c r="E77" s="419"/>
      <c r="F77" s="419"/>
      <c r="G77" s="419"/>
      <c r="H77" s="419"/>
      <c r="I77" s="419"/>
      <c r="K77" s="419"/>
      <c r="L77" s="572"/>
      <c r="M77" s="572"/>
      <c r="N77" s="572"/>
      <c r="O77" s="572"/>
    </row>
    <row r="78" spans="1:15" ht="13.5">
      <c r="A78" s="574"/>
      <c r="B78" s="574"/>
      <c r="C78" s="571"/>
      <c r="D78" s="419"/>
      <c r="E78" s="572" t="s">
        <v>1000</v>
      </c>
      <c r="F78" s="572"/>
      <c r="G78" s="572"/>
      <c r="H78" s="572"/>
      <c r="I78" s="572"/>
      <c r="J78" s="572"/>
      <c r="K78" s="419"/>
      <c r="L78" s="572"/>
      <c r="M78" s="572"/>
      <c r="N78" s="572"/>
      <c r="O78" s="572"/>
    </row>
    <row r="79" spans="1:15" ht="27">
      <c r="A79" s="574"/>
      <c r="B79" s="574"/>
      <c r="C79" s="571"/>
      <c r="D79" s="419"/>
      <c r="E79" s="826" t="s">
        <v>621</v>
      </c>
      <c r="F79" s="826" t="s">
        <v>1001</v>
      </c>
      <c r="G79" s="826" t="s">
        <v>1002</v>
      </c>
      <c r="H79" s="826" t="s">
        <v>1003</v>
      </c>
      <c r="I79" s="826" t="s">
        <v>1004</v>
      </c>
      <c r="J79" s="826" t="s">
        <v>1005</v>
      </c>
      <c r="K79" s="603"/>
      <c r="L79" s="572"/>
      <c r="M79" s="1755" t="s">
        <v>1098</v>
      </c>
      <c r="N79" s="624"/>
      <c r="O79" s="572"/>
    </row>
    <row r="80" spans="1:15" ht="13.5">
      <c r="A80" s="1738"/>
      <c r="B80" s="574"/>
      <c r="C80" s="571"/>
      <c r="D80" s="419"/>
      <c r="E80" s="572" t="s">
        <v>628</v>
      </c>
      <c r="F80" s="841">
        <v>1.6802594882625745</v>
      </c>
      <c r="G80" s="1346">
        <f>'WKSHT4 - Monthly Tx System Peak'!C9</f>
        <v>6342.0616037001</v>
      </c>
      <c r="H80" s="625">
        <f>+F80*G80*1000</f>
        <v>10656309.184762852</v>
      </c>
      <c r="I80" s="1346">
        <f>-14291821.479001/12</f>
        <v>-1190985.1232500833</v>
      </c>
      <c r="J80" s="625">
        <f>+H80-I80</f>
        <v>11847294.308012936</v>
      </c>
      <c r="K80" s="419"/>
      <c r="L80" s="572"/>
      <c r="M80" s="1346"/>
      <c r="N80" s="610"/>
      <c r="O80" s="572"/>
    </row>
    <row r="81" spans="1:16" ht="13.5">
      <c r="A81" s="574"/>
      <c r="B81" s="574"/>
      <c r="C81" s="571"/>
      <c r="D81" s="419"/>
      <c r="E81" s="572" t="s">
        <v>629</v>
      </c>
      <c r="F81" s="841">
        <v>1.6802594882625745</v>
      </c>
      <c r="G81" s="1346">
        <f>'WKSHT4 - Monthly Tx System Peak'!C10</f>
        <v>4613.6454868549199</v>
      </c>
      <c r="H81" s="625">
        <f t="shared" ref="H81:H91" si="5">+F81*G81*1000</f>
        <v>7752121.6047677845</v>
      </c>
      <c r="I81" s="1346">
        <f t="shared" ref="I81:I84" si="6">-14291821.479001/12</f>
        <v>-1190985.1232500833</v>
      </c>
      <c r="J81" s="625">
        <f t="shared" ref="J81:J91" si="7">+H81-I81</f>
        <v>8943106.7280178685</v>
      </c>
      <c r="K81" s="419"/>
      <c r="L81" s="572"/>
      <c r="M81" s="1346"/>
      <c r="N81" s="2018"/>
      <c r="O81" s="572"/>
    </row>
    <row r="82" spans="1:16" ht="13.5">
      <c r="A82" s="574"/>
      <c r="B82" s="574"/>
      <c r="C82" s="571"/>
      <c r="D82" s="419"/>
      <c r="E82" s="572" t="s">
        <v>630</v>
      </c>
      <c r="F82" s="841">
        <v>1.6802594882625745</v>
      </c>
      <c r="G82" s="1346">
        <f>'WKSHT4 - Monthly Tx System Peak'!C11</f>
        <v>4743.3481850048693</v>
      </c>
      <c r="H82" s="625">
        <f t="shared" si="5"/>
        <v>7970055.793987493</v>
      </c>
      <c r="I82" s="1346">
        <f t="shared" si="6"/>
        <v>-1190985.1232500833</v>
      </c>
      <c r="J82" s="625">
        <f t="shared" si="7"/>
        <v>9161040.9172375761</v>
      </c>
      <c r="K82" s="419"/>
      <c r="L82" s="572"/>
      <c r="M82" s="610"/>
      <c r="N82" s="2018"/>
      <c r="O82" s="572"/>
    </row>
    <row r="83" spans="1:16" ht="13.5">
      <c r="A83" s="574"/>
      <c r="B83" s="574"/>
      <c r="C83" s="571"/>
      <c r="D83" s="419"/>
      <c r="E83" s="572" t="s">
        <v>631</v>
      </c>
      <c r="F83" s="841">
        <v>1.6802594882625745</v>
      </c>
      <c r="G83" s="1346">
        <f>'WKSHT4 - Monthly Tx System Peak'!C13</f>
        <v>4054</v>
      </c>
      <c r="H83" s="625">
        <f t="shared" si="5"/>
        <v>6811771.965416478</v>
      </c>
      <c r="I83" s="1346">
        <f t="shared" si="6"/>
        <v>-1190985.1232500833</v>
      </c>
      <c r="J83" s="625">
        <f t="shared" si="7"/>
        <v>8002757.0886665611</v>
      </c>
      <c r="K83" s="419"/>
      <c r="L83" s="572"/>
      <c r="M83" s="1346"/>
      <c r="N83" s="610"/>
      <c r="O83" s="572"/>
    </row>
    <row r="84" spans="1:16" ht="13.5">
      <c r="A84" s="574"/>
      <c r="B84" s="574"/>
      <c r="C84" s="571"/>
      <c r="D84" s="419"/>
      <c r="E84" s="572" t="s">
        <v>626</v>
      </c>
      <c r="F84" s="841">
        <v>1.6802594882625745</v>
      </c>
      <c r="G84" s="1346">
        <f>'WKSHT4 - Monthly Tx System Peak'!C14</f>
        <v>3825</v>
      </c>
      <c r="H84" s="625">
        <f>+F84*G84*1000</f>
        <v>6426992.5426043477</v>
      </c>
      <c r="I84" s="1346">
        <f t="shared" si="6"/>
        <v>-1190985.1232500833</v>
      </c>
      <c r="J84" s="625">
        <f t="shared" si="7"/>
        <v>7617977.6658544308</v>
      </c>
      <c r="K84" s="419"/>
      <c r="L84" s="572"/>
      <c r="M84" s="610"/>
      <c r="N84" s="610"/>
      <c r="O84" s="572"/>
      <c r="P84" s="428"/>
    </row>
    <row r="85" spans="1:16" ht="15.75">
      <c r="A85" s="574"/>
      <c r="B85" s="574"/>
      <c r="C85" s="571"/>
      <c r="D85" s="419"/>
      <c r="E85" s="572" t="s">
        <v>632</v>
      </c>
      <c r="F85" s="841">
        <v>0.77991278180875778</v>
      </c>
      <c r="G85" s="1346">
        <f>'WKSHT4 - Monthly Tx System Peak'!C15</f>
        <v>3777</v>
      </c>
      <c r="H85" s="625">
        <f t="shared" si="5"/>
        <v>2945730.5768916779</v>
      </c>
      <c r="I85" s="1346">
        <f>-39138940/12</f>
        <v>-3261578.3333333335</v>
      </c>
      <c r="J85" s="625">
        <f t="shared" si="7"/>
        <v>6207308.9102250114</v>
      </c>
      <c r="K85" s="419"/>
      <c r="L85" s="572"/>
      <c r="M85" s="1756">
        <f>SUM(M80:M84)</f>
        <v>0</v>
      </c>
      <c r="N85" s="576" t="s">
        <v>1099</v>
      </c>
      <c r="O85" s="572"/>
    </row>
    <row r="86" spans="1:16" ht="13.5">
      <c r="A86" s="574"/>
      <c r="B86" s="574"/>
      <c r="C86" s="571"/>
      <c r="D86" s="419"/>
      <c r="E86" s="572" t="s">
        <v>633</v>
      </c>
      <c r="F86" s="841">
        <v>0.77991278180875778</v>
      </c>
      <c r="G86" s="1346">
        <f>'WKSHT4 - Monthly Tx System Peak'!C17</f>
        <v>4666</v>
      </c>
      <c r="H86" s="625">
        <f t="shared" si="5"/>
        <v>3639073.0399196637</v>
      </c>
      <c r="I86" s="1346">
        <f t="shared" ref="I86:I91" si="8">-39138940/12</f>
        <v>-3261578.3333333335</v>
      </c>
      <c r="J86" s="625">
        <f t="shared" si="7"/>
        <v>6900651.3732529972</v>
      </c>
      <c r="K86" s="419"/>
      <c r="L86" s="572"/>
      <c r="M86" s="625"/>
      <c r="N86" s="572"/>
      <c r="O86" s="572"/>
      <c r="P86" s="1846"/>
    </row>
    <row r="87" spans="1:16" ht="13.5">
      <c r="A87" s="574"/>
      <c r="B87" s="574"/>
      <c r="C87" s="571"/>
      <c r="D87" s="419"/>
      <c r="E87" s="572" t="s">
        <v>634</v>
      </c>
      <c r="F87" s="841">
        <v>0.77991278180875778</v>
      </c>
      <c r="G87" s="1346">
        <f>'WKSHT4 - Monthly Tx System Peak'!C18</f>
        <v>4248</v>
      </c>
      <c r="H87" s="625">
        <f t="shared" si="5"/>
        <v>3313069.4971236032</v>
      </c>
      <c r="I87" s="1346">
        <f t="shared" si="8"/>
        <v>-3261578.3333333335</v>
      </c>
      <c r="J87" s="625">
        <f t="shared" si="7"/>
        <v>6574647.8304569367</v>
      </c>
      <c r="K87" s="419"/>
      <c r="L87" s="572"/>
      <c r="M87" s="625"/>
      <c r="N87" s="572"/>
      <c r="O87" s="572"/>
    </row>
    <row r="88" spans="1:16" ht="13.5">
      <c r="A88" s="1738"/>
      <c r="B88" s="574"/>
      <c r="C88" s="571"/>
      <c r="D88" s="419"/>
      <c r="E88" s="572" t="s">
        <v>635</v>
      </c>
      <c r="F88" s="841">
        <v>0.77991278180875778</v>
      </c>
      <c r="G88" s="1346">
        <f>'WKSHT4 - Monthly Tx System Peak'!C19</f>
        <v>4200</v>
      </c>
      <c r="H88" s="625">
        <f t="shared" si="5"/>
        <v>3275633.6835967829</v>
      </c>
      <c r="I88" s="1346">
        <f t="shared" si="8"/>
        <v>-3261578.3333333335</v>
      </c>
      <c r="J88" s="625">
        <f t="shared" si="7"/>
        <v>6537212.0169301163</v>
      </c>
      <c r="K88" s="419"/>
      <c r="L88" s="572"/>
      <c r="M88" s="625"/>
      <c r="N88" s="572"/>
      <c r="O88" s="572"/>
    </row>
    <row r="89" spans="1:16" ht="13.5">
      <c r="A89" s="574"/>
      <c r="B89" s="574"/>
      <c r="C89" s="571"/>
      <c r="D89" s="419"/>
      <c r="E89" s="572" t="s">
        <v>636</v>
      </c>
      <c r="F89" s="841">
        <v>0.77991278180875778</v>
      </c>
      <c r="G89" s="1346">
        <f>'WKSHT4 - Monthly Tx System Peak'!C21</f>
        <v>4009</v>
      </c>
      <c r="H89" s="625">
        <f t="shared" si="5"/>
        <v>3126670.3422713098</v>
      </c>
      <c r="I89" s="1346">
        <f t="shared" si="8"/>
        <v>-3261578.3333333335</v>
      </c>
      <c r="J89" s="625">
        <f t="shared" si="7"/>
        <v>6388248.6756046433</v>
      </c>
      <c r="K89" s="419"/>
      <c r="L89" s="572"/>
      <c r="M89" s="625"/>
      <c r="N89" s="572"/>
      <c r="O89" s="572"/>
    </row>
    <row r="90" spans="1:16" ht="13.5">
      <c r="A90" s="574"/>
      <c r="B90" s="574"/>
      <c r="C90" s="571"/>
      <c r="D90" s="419"/>
      <c r="E90" s="572" t="s">
        <v>637</v>
      </c>
      <c r="F90" s="841">
        <v>0.77991278180875778</v>
      </c>
      <c r="G90" s="1346">
        <f>'WKSHT4 - Monthly Tx System Peak'!C22</f>
        <v>4469</v>
      </c>
      <c r="H90" s="625">
        <f t="shared" si="5"/>
        <v>3485430.2219033386</v>
      </c>
      <c r="I90" s="1346">
        <f t="shared" si="8"/>
        <v>-3261578.3333333335</v>
      </c>
      <c r="J90" s="625">
        <f t="shared" si="7"/>
        <v>6747008.5552366721</v>
      </c>
      <c r="K90" s="419"/>
      <c r="L90" s="572"/>
      <c r="M90" s="625"/>
      <c r="N90" s="572"/>
      <c r="O90" s="572"/>
    </row>
    <row r="91" spans="1:16" ht="13.5">
      <c r="A91" s="574"/>
      <c r="B91" s="574"/>
      <c r="C91" s="571"/>
      <c r="D91" s="419"/>
      <c r="E91" s="572" t="s">
        <v>638</v>
      </c>
      <c r="F91" s="841">
        <v>0.77991278180875778</v>
      </c>
      <c r="G91" s="1346">
        <f>'WKSHT4 - Monthly Tx System Peak'!C23</f>
        <v>4782</v>
      </c>
      <c r="H91" s="625">
        <f t="shared" si="5"/>
        <v>3729542.9226094796</v>
      </c>
      <c r="I91" s="1346">
        <f t="shared" si="8"/>
        <v>-3261578.3333333335</v>
      </c>
      <c r="J91" s="625">
        <f t="shared" si="7"/>
        <v>6991121.2559428131</v>
      </c>
      <c r="K91" s="1739"/>
      <c r="L91" s="572"/>
      <c r="N91" s="572"/>
      <c r="O91" s="572"/>
    </row>
    <row r="92" spans="1:16" ht="13.5">
      <c r="A92" s="574"/>
      <c r="B92" s="574"/>
      <c r="C92" s="571"/>
      <c r="D92" s="572"/>
      <c r="E92" s="572" t="s">
        <v>1006</v>
      </c>
      <c r="F92" s="611"/>
      <c r="G92" s="611"/>
      <c r="H92" s="611"/>
      <c r="I92" s="611"/>
      <c r="J92" s="625">
        <f>SUM(J80:J91)</f>
        <v>91918375.325438544</v>
      </c>
      <c r="K92" s="419"/>
      <c r="L92" s="572"/>
      <c r="N92" s="572"/>
      <c r="O92" s="572"/>
    </row>
    <row r="93" spans="1:16" ht="13.5">
      <c r="A93" s="574"/>
      <c r="B93" s="574"/>
      <c r="C93" s="571"/>
      <c r="D93" s="572"/>
      <c r="E93" s="611"/>
      <c r="F93" s="611"/>
      <c r="G93" s="611"/>
      <c r="H93" s="611"/>
      <c r="I93" s="611"/>
      <c r="J93" s="1776"/>
      <c r="K93" s="419"/>
      <c r="L93" s="572"/>
      <c r="N93" s="572"/>
      <c r="O93" s="572"/>
    </row>
    <row r="94" spans="1:16" ht="13.5">
      <c r="A94" s="574"/>
      <c r="B94" s="574"/>
      <c r="C94" s="571"/>
      <c r="D94" s="572" t="s">
        <v>371</v>
      </c>
      <c r="E94" s="611"/>
      <c r="F94" s="611"/>
      <c r="G94" s="611"/>
      <c r="H94" s="611"/>
      <c r="I94" s="611"/>
      <c r="J94" s="419"/>
      <c r="K94" s="419"/>
      <c r="L94" s="572"/>
      <c r="M94" s="625"/>
      <c r="N94" s="625"/>
      <c r="O94" s="572"/>
    </row>
    <row r="95" spans="1:16" ht="13.5">
      <c r="A95" s="574"/>
      <c r="B95" s="574"/>
      <c r="C95" s="571"/>
      <c r="D95" s="572"/>
      <c r="E95" s="572" t="s">
        <v>1000</v>
      </c>
      <c r="F95" s="572"/>
      <c r="G95" s="572"/>
      <c r="H95" s="572"/>
      <c r="I95" s="572"/>
      <c r="J95" s="572"/>
      <c r="K95" s="419"/>
      <c r="L95" s="572"/>
      <c r="M95" s="572"/>
      <c r="N95" s="572"/>
      <c r="O95" s="572"/>
    </row>
    <row r="96" spans="1:16" ht="27">
      <c r="A96" s="574"/>
      <c r="B96" s="574"/>
      <c r="C96" s="571"/>
      <c r="D96" s="572"/>
      <c r="E96" s="826" t="s">
        <v>621</v>
      </c>
      <c r="F96" s="826" t="s">
        <v>1001</v>
      </c>
      <c r="G96" s="826" t="s">
        <v>1002</v>
      </c>
      <c r="H96" s="826" t="s">
        <v>1003</v>
      </c>
      <c r="I96" s="826" t="s">
        <v>1004</v>
      </c>
      <c r="J96" s="826" t="s">
        <v>1005</v>
      </c>
      <c r="K96" s="603"/>
      <c r="L96" s="572"/>
      <c r="M96" s="572"/>
      <c r="N96" s="572"/>
      <c r="O96" s="572"/>
    </row>
    <row r="97" spans="1:16" ht="13.5">
      <c r="A97" s="574"/>
      <c r="B97" s="574"/>
      <c r="C97" s="571"/>
      <c r="D97" s="572"/>
      <c r="E97" s="572" t="s">
        <v>628</v>
      </c>
      <c r="F97" s="841">
        <v>9.0585316714883055E-2</v>
      </c>
      <c r="G97" s="1346">
        <f>G80</f>
        <v>6342.0616037001</v>
      </c>
      <c r="H97" s="625">
        <f>+F97*G97*1000</f>
        <v>574497.65899647272</v>
      </c>
      <c r="I97" s="1346">
        <f>-992738.373222738/12</f>
        <v>-82728.197768561498</v>
      </c>
      <c r="J97" s="625">
        <f>+H97-I97</f>
        <v>657225.85676503426</v>
      </c>
      <c r="K97" s="419"/>
      <c r="L97" s="572"/>
      <c r="M97" s="572"/>
      <c r="N97" s="572"/>
      <c r="O97" s="572"/>
    </row>
    <row r="98" spans="1:16" ht="13.5">
      <c r="A98" s="574"/>
      <c r="B98" s="574"/>
      <c r="C98" s="571"/>
      <c r="D98" s="572"/>
      <c r="E98" s="572" t="s">
        <v>629</v>
      </c>
      <c r="F98" s="841">
        <v>9.0585316714883055E-2</v>
      </c>
      <c r="G98" s="1346">
        <f t="shared" ref="G98:G108" si="9">G81</f>
        <v>4613.6454868549199</v>
      </c>
      <c r="H98" s="625">
        <f t="shared" ref="H98:H108" si="10">+F98*G98*1000</f>
        <v>417928.53763694374</v>
      </c>
      <c r="I98" s="1346">
        <f t="shared" ref="I98:I101" si="11">-992738.373222738/12</f>
        <v>-82728.197768561498</v>
      </c>
      <c r="J98" s="625">
        <f t="shared" ref="J98:J108" si="12">+H98-I98</f>
        <v>500656.73540550523</v>
      </c>
      <c r="K98" s="419"/>
      <c r="L98" s="572"/>
      <c r="M98" s="572"/>
      <c r="N98" s="572"/>
      <c r="O98" s="572"/>
    </row>
    <row r="99" spans="1:16" ht="13.5">
      <c r="A99" s="1738"/>
      <c r="B99" s="574"/>
      <c r="C99" s="571"/>
      <c r="D99" s="572"/>
      <c r="E99" s="572" t="s">
        <v>630</v>
      </c>
      <c r="F99" s="841">
        <v>9.0585316714883055E-2</v>
      </c>
      <c r="G99" s="1346">
        <f t="shared" si="9"/>
        <v>4743.3481850048693</v>
      </c>
      <c r="H99" s="625">
        <f t="shared" si="10"/>
        <v>429677.69762763177</v>
      </c>
      <c r="I99" s="1346">
        <f t="shared" si="11"/>
        <v>-82728.197768561498</v>
      </c>
      <c r="J99" s="625">
        <f t="shared" si="12"/>
        <v>512405.89539619326</v>
      </c>
      <c r="K99" s="419"/>
      <c r="L99" s="572"/>
      <c r="M99" s="572"/>
      <c r="N99" s="572"/>
      <c r="O99" s="572"/>
    </row>
    <row r="100" spans="1:16" ht="13.5">
      <c r="A100" s="574"/>
      <c r="B100" s="574"/>
      <c r="C100" s="571"/>
      <c r="D100" s="572"/>
      <c r="E100" s="572" t="s">
        <v>631</v>
      </c>
      <c r="F100" s="841">
        <v>9.0585316714883055E-2</v>
      </c>
      <c r="G100" s="1346">
        <f t="shared" si="9"/>
        <v>4054</v>
      </c>
      <c r="H100" s="625">
        <f t="shared" si="10"/>
        <v>367232.87396213587</v>
      </c>
      <c r="I100" s="1346">
        <f t="shared" si="11"/>
        <v>-82728.197768561498</v>
      </c>
      <c r="J100" s="625">
        <f t="shared" si="12"/>
        <v>449961.07173069735</v>
      </c>
      <c r="K100" s="419"/>
      <c r="L100" s="572"/>
      <c r="M100" s="572"/>
      <c r="N100" s="572"/>
      <c r="O100" s="572"/>
    </row>
    <row r="101" spans="1:16" ht="13.5">
      <c r="A101" s="574"/>
      <c r="B101" s="574"/>
      <c r="C101" s="571"/>
      <c r="D101" s="572"/>
      <c r="E101" s="572" t="s">
        <v>626</v>
      </c>
      <c r="F101" s="841">
        <v>9.0585316714883055E-2</v>
      </c>
      <c r="G101" s="1346">
        <f t="shared" si="9"/>
        <v>3825</v>
      </c>
      <c r="H101" s="625">
        <f t="shared" si="10"/>
        <v>346488.83643442771</v>
      </c>
      <c r="I101" s="1346">
        <f t="shared" si="11"/>
        <v>-82728.197768561498</v>
      </c>
      <c r="J101" s="625">
        <f t="shared" si="12"/>
        <v>429217.03420298919</v>
      </c>
      <c r="K101" s="419"/>
      <c r="L101" s="572"/>
      <c r="M101" s="572"/>
      <c r="N101" s="572"/>
      <c r="O101" s="572"/>
    </row>
    <row r="102" spans="1:16" ht="13.5">
      <c r="A102" s="574"/>
      <c r="B102" s="574"/>
      <c r="C102" s="571"/>
      <c r="D102" s="572"/>
      <c r="E102" s="572" t="s">
        <v>632</v>
      </c>
      <c r="F102" s="841">
        <v>0.11583029489954975</v>
      </c>
      <c r="G102" s="1346">
        <f t="shared" si="9"/>
        <v>3777</v>
      </c>
      <c r="H102" s="625">
        <f t="shared" si="10"/>
        <v>437491.02383559942</v>
      </c>
      <c r="I102" s="1346">
        <f>473642/12</f>
        <v>39470.166666666664</v>
      </c>
      <c r="J102" s="625">
        <f t="shared" si="12"/>
        <v>398020.85716893274</v>
      </c>
      <c r="K102" s="419"/>
      <c r="L102" s="572"/>
      <c r="M102" s="572"/>
      <c r="N102" s="572"/>
      <c r="O102" s="572"/>
    </row>
    <row r="103" spans="1:16" ht="13.5">
      <c r="A103" s="574"/>
      <c r="B103" s="574"/>
      <c r="C103" s="571"/>
      <c r="D103" s="572"/>
      <c r="E103" s="572" t="s">
        <v>633</v>
      </c>
      <c r="F103" s="841">
        <v>0.11583029489954975</v>
      </c>
      <c r="G103" s="1346">
        <f t="shared" si="9"/>
        <v>4666</v>
      </c>
      <c r="H103" s="625">
        <f t="shared" si="10"/>
        <v>540464.15600129915</v>
      </c>
      <c r="I103" s="1346">
        <f t="shared" ref="I103:I108" si="13">473642/12</f>
        <v>39470.166666666664</v>
      </c>
      <c r="J103" s="625">
        <f t="shared" si="12"/>
        <v>500993.98933463247</v>
      </c>
      <c r="K103" s="419"/>
      <c r="L103" s="572"/>
      <c r="M103" s="572"/>
      <c r="N103" s="572"/>
      <c r="O103" s="572"/>
    </row>
    <row r="104" spans="1:16" ht="13.5">
      <c r="A104" s="574"/>
      <c r="B104" s="574"/>
      <c r="C104" s="571"/>
      <c r="D104" s="572"/>
      <c r="E104" s="572" t="s">
        <v>634</v>
      </c>
      <c r="F104" s="841">
        <v>0.11583029489954975</v>
      </c>
      <c r="G104" s="1346">
        <f t="shared" si="9"/>
        <v>4248</v>
      </c>
      <c r="H104" s="625">
        <f t="shared" si="10"/>
        <v>492047.09273328737</v>
      </c>
      <c r="I104" s="1346">
        <f t="shared" si="13"/>
        <v>39470.166666666664</v>
      </c>
      <c r="J104" s="625">
        <f t="shared" si="12"/>
        <v>452576.92606662068</v>
      </c>
      <c r="K104" s="419"/>
      <c r="L104" s="572"/>
      <c r="M104" s="572"/>
      <c r="N104" s="572"/>
      <c r="O104" s="572"/>
    </row>
    <row r="105" spans="1:16" ht="13.5">
      <c r="A105" s="1738"/>
      <c r="B105" s="574"/>
      <c r="C105" s="571"/>
      <c r="D105" s="572"/>
      <c r="E105" s="572" t="s">
        <v>635</v>
      </c>
      <c r="F105" s="841">
        <v>0.11583029489954975</v>
      </c>
      <c r="G105" s="1346">
        <f t="shared" si="9"/>
        <v>4200</v>
      </c>
      <c r="H105" s="625">
        <f t="shared" si="10"/>
        <v>486487.23857810901</v>
      </c>
      <c r="I105" s="1346">
        <f t="shared" si="13"/>
        <v>39470.166666666664</v>
      </c>
      <c r="J105" s="625">
        <f t="shared" si="12"/>
        <v>447017.07191144233</v>
      </c>
      <c r="K105" s="419"/>
      <c r="L105" s="572"/>
      <c r="M105" s="572"/>
      <c r="N105" s="572"/>
    </row>
    <row r="106" spans="1:16" ht="13.5">
      <c r="A106" s="574"/>
      <c r="B106" s="574"/>
      <c r="C106" s="571"/>
      <c r="D106" s="572"/>
      <c r="E106" s="572" t="s">
        <v>636</v>
      </c>
      <c r="F106" s="841">
        <v>0.11583029489954975</v>
      </c>
      <c r="G106" s="1346">
        <f t="shared" si="9"/>
        <v>4009</v>
      </c>
      <c r="H106" s="625">
        <f t="shared" si="10"/>
        <v>464363.652252295</v>
      </c>
      <c r="I106" s="1346">
        <f t="shared" si="13"/>
        <v>39470.166666666664</v>
      </c>
      <c r="J106" s="625">
        <f t="shared" si="12"/>
        <v>424893.48558562831</v>
      </c>
      <c r="K106" s="419"/>
      <c r="L106" s="572"/>
      <c r="M106" s="572"/>
      <c r="N106" s="572"/>
      <c r="O106" s="572"/>
    </row>
    <row r="107" spans="1:16" ht="13.5">
      <c r="A107" s="574"/>
      <c r="B107" s="574"/>
      <c r="C107" s="571"/>
      <c r="D107" s="572"/>
      <c r="E107" s="572" t="s">
        <v>637</v>
      </c>
      <c r="F107" s="841">
        <v>0.11583029489954975</v>
      </c>
      <c r="G107" s="1346">
        <f t="shared" si="9"/>
        <v>4469</v>
      </c>
      <c r="H107" s="625">
        <f t="shared" si="10"/>
        <v>517645.58790608781</v>
      </c>
      <c r="I107" s="1346">
        <f t="shared" si="13"/>
        <v>39470.166666666664</v>
      </c>
      <c r="J107" s="625">
        <f t="shared" si="12"/>
        <v>478175.42123942112</v>
      </c>
      <c r="K107" s="419"/>
      <c r="L107" s="572"/>
      <c r="M107" s="572"/>
      <c r="N107" s="572"/>
      <c r="O107" s="572"/>
      <c r="P107" s="428"/>
    </row>
    <row r="108" spans="1:16" ht="13.5">
      <c r="A108" s="574"/>
      <c r="B108" s="574"/>
      <c r="C108" s="571"/>
      <c r="D108" s="572"/>
      <c r="E108" s="572" t="s">
        <v>638</v>
      </c>
      <c r="F108" s="841">
        <v>0.11583029489954975</v>
      </c>
      <c r="G108" s="1346">
        <f t="shared" si="9"/>
        <v>4782</v>
      </c>
      <c r="H108" s="625">
        <f t="shared" si="10"/>
        <v>553900.47020964685</v>
      </c>
      <c r="I108" s="1346">
        <f t="shared" si="13"/>
        <v>39470.166666666664</v>
      </c>
      <c r="J108" s="625">
        <f t="shared" si="12"/>
        <v>514430.30354298017</v>
      </c>
      <c r="K108" s="419"/>
      <c r="L108" s="572"/>
      <c r="M108" s="572"/>
      <c r="N108" s="572"/>
      <c r="O108" s="572"/>
    </row>
    <row r="109" spans="1:16" ht="13.5">
      <c r="A109" s="574"/>
      <c r="B109" s="574"/>
      <c r="C109" s="571"/>
      <c r="D109" s="572"/>
      <c r="E109" s="572" t="s">
        <v>1006</v>
      </c>
      <c r="F109" s="611"/>
      <c r="G109" s="611"/>
      <c r="H109" s="611"/>
      <c r="I109" s="611"/>
      <c r="J109" s="625">
        <f>SUM(J97:J108)</f>
        <v>5765574.6483500767</v>
      </c>
      <c r="K109" s="419"/>
      <c r="L109" s="572"/>
      <c r="M109" s="572"/>
      <c r="N109" s="572"/>
      <c r="O109" s="572"/>
    </row>
    <row r="110" spans="1:16" ht="13.5">
      <c r="A110" s="574"/>
      <c r="B110" s="574"/>
      <c r="C110" s="571"/>
      <c r="D110" s="572"/>
      <c r="E110" s="611"/>
      <c r="F110" s="611"/>
      <c r="G110" s="611"/>
      <c r="H110" s="611"/>
      <c r="I110" s="611"/>
      <c r="J110" s="419"/>
      <c r="K110" s="419"/>
      <c r="L110" s="572"/>
      <c r="M110" s="572"/>
      <c r="N110" s="572"/>
      <c r="O110" s="572"/>
    </row>
    <row r="111" spans="1:16" ht="13.5">
      <c r="A111" s="574"/>
      <c r="B111" s="574"/>
      <c r="C111" s="571"/>
      <c r="D111" s="578"/>
      <c r="E111" s="572"/>
      <c r="F111" s="419"/>
      <c r="G111" s="572"/>
      <c r="H111" s="572"/>
      <c r="I111" s="572"/>
      <c r="J111" s="572"/>
      <c r="K111" s="572"/>
      <c r="L111" s="572"/>
      <c r="M111" s="572"/>
      <c r="N111" s="572"/>
      <c r="O111" s="572"/>
      <c r="P111" s="485"/>
    </row>
    <row r="112" spans="1:16" ht="31.5">
      <c r="A112" s="574"/>
      <c r="B112" s="574"/>
      <c r="C112" s="571"/>
      <c r="D112" s="573" t="s">
        <v>1007</v>
      </c>
      <c r="E112" s="1758"/>
      <c r="F112" s="1758" t="s">
        <v>982</v>
      </c>
      <c r="G112" s="572"/>
      <c r="H112" s="1759" t="s">
        <v>1100</v>
      </c>
      <c r="I112" s="572"/>
      <c r="J112" s="1760" t="s">
        <v>1101</v>
      </c>
      <c r="K112" s="185"/>
      <c r="L112" s="1761" t="s">
        <v>1102</v>
      </c>
      <c r="M112" s="572"/>
      <c r="N112" s="572"/>
      <c r="O112" s="572"/>
    </row>
    <row r="113" spans="1:15" ht="15.75">
      <c r="A113" s="574"/>
      <c r="B113" s="574"/>
      <c r="C113" s="1757" t="s">
        <v>1008</v>
      </c>
      <c r="D113" s="608">
        <f>+D69</f>
        <v>130472862</v>
      </c>
      <c r="E113" s="571" t="s">
        <v>422</v>
      </c>
      <c r="F113" s="608">
        <f>+J92</f>
        <v>91918375.325438544</v>
      </c>
      <c r="G113" s="571" t="s">
        <v>423</v>
      </c>
      <c r="H113" s="1737">
        <f>+D113-F113</f>
        <v>38554486.674561456</v>
      </c>
      <c r="I113" s="1762" t="s">
        <v>422</v>
      </c>
      <c r="J113" s="1737">
        <f>M85</f>
        <v>0</v>
      </c>
      <c r="K113" s="1762" t="s">
        <v>423</v>
      </c>
      <c r="L113" s="608">
        <f>H113-J113</f>
        <v>38554486.674561456</v>
      </c>
      <c r="M113" s="608"/>
      <c r="N113" s="608"/>
      <c r="O113" s="1763"/>
    </row>
    <row r="114" spans="1:15" ht="15.75">
      <c r="A114" s="574"/>
      <c r="B114" s="574"/>
      <c r="C114" s="1757" t="s">
        <v>371</v>
      </c>
      <c r="D114" s="612">
        <f>+D72</f>
        <v>6763802</v>
      </c>
      <c r="E114" s="571" t="s">
        <v>422</v>
      </c>
      <c r="F114" s="1737">
        <f>+J109</f>
        <v>5765574.6483500767</v>
      </c>
      <c r="G114" s="571" t="s">
        <v>423</v>
      </c>
      <c r="H114" s="1737">
        <f>+D114-F114</f>
        <v>998227.35164992325</v>
      </c>
      <c r="I114" s="1762" t="s">
        <v>422</v>
      </c>
      <c r="J114" s="1737">
        <v>0</v>
      </c>
      <c r="K114" s="1762" t="s">
        <v>423</v>
      </c>
      <c r="L114" s="608">
        <f>H114-J114</f>
        <v>998227.35164992325</v>
      </c>
      <c r="M114" s="608"/>
      <c r="N114" s="608"/>
      <c r="O114" s="576"/>
    </row>
    <row r="115" spans="1:15" ht="15.75">
      <c r="A115" s="574"/>
      <c r="B115" s="574"/>
      <c r="C115" s="1757" t="s">
        <v>850</v>
      </c>
      <c r="D115" s="612">
        <f>+D113+D114</f>
        <v>137236664</v>
      </c>
      <c r="E115" s="571" t="s">
        <v>422</v>
      </c>
      <c r="F115" s="1737">
        <f>+F113+F114</f>
        <v>97683949.973788619</v>
      </c>
      <c r="G115" s="571" t="s">
        <v>423</v>
      </c>
      <c r="H115" s="1737">
        <f>+H113+H114</f>
        <v>39552714.026211381</v>
      </c>
      <c r="I115" s="1762" t="s">
        <v>422</v>
      </c>
      <c r="J115" s="1737">
        <f>+J113+J114</f>
        <v>0</v>
      </c>
      <c r="K115" s="1762" t="s">
        <v>423</v>
      </c>
      <c r="L115" s="608">
        <f>H115-J115</f>
        <v>39552714.026211381</v>
      </c>
      <c r="M115" s="608"/>
      <c r="N115" s="608"/>
      <c r="O115" s="576"/>
    </row>
    <row r="116" spans="1:15" ht="15.75">
      <c r="A116" s="571"/>
      <c r="B116" s="571"/>
      <c r="C116" s="571"/>
      <c r="D116" s="612"/>
      <c r="E116" s="571"/>
      <c r="F116" s="1737"/>
      <c r="G116" s="571"/>
      <c r="H116" s="1737"/>
      <c r="I116" s="572"/>
      <c r="J116" s="176"/>
      <c r="K116" s="15"/>
      <c r="L116" s="15"/>
      <c r="M116" s="176"/>
      <c r="N116" s="576"/>
      <c r="O116" s="576"/>
    </row>
    <row r="117" spans="1:15" ht="15.75">
      <c r="A117" s="571"/>
      <c r="B117" s="571"/>
      <c r="C117" s="571"/>
      <c r="D117" s="612"/>
      <c r="E117" s="571"/>
      <c r="F117" s="1737"/>
      <c r="G117" s="571"/>
      <c r="H117" s="1737"/>
      <c r="I117" s="572"/>
      <c r="J117" s="176"/>
      <c r="K117" s="12"/>
      <c r="L117" s="12"/>
      <c r="M117" s="183"/>
      <c r="N117" s="572"/>
      <c r="O117" s="572"/>
    </row>
    <row r="118" spans="1:15" ht="15.75">
      <c r="A118" s="571"/>
      <c r="B118" s="571"/>
      <c r="C118" s="571"/>
      <c r="D118" s="1319" t="s">
        <v>639</v>
      </c>
      <c r="E118" s="574"/>
      <c r="F118" s="608"/>
      <c r="G118" s="571"/>
      <c r="H118" s="1737"/>
      <c r="I118" s="572"/>
      <c r="J118" s="176"/>
      <c r="K118" s="12"/>
      <c r="L118" s="12"/>
      <c r="M118" s="183"/>
      <c r="N118" s="572"/>
      <c r="O118" s="572"/>
    </row>
    <row r="119" spans="1:15" ht="15.75">
      <c r="A119" s="1726"/>
      <c r="B119" s="574"/>
      <c r="C119" s="571"/>
      <c r="D119" s="2016" t="s">
        <v>1009</v>
      </c>
      <c r="E119" s="2016"/>
      <c r="F119" s="1729">
        <v>6.3E-3</v>
      </c>
      <c r="G119" s="571"/>
      <c r="H119" s="1737"/>
      <c r="I119" s="572"/>
      <c r="J119" s="176"/>
      <c r="K119" s="12"/>
      <c r="L119" s="12"/>
      <c r="M119" s="183"/>
      <c r="N119" s="572"/>
      <c r="O119" s="572"/>
    </row>
    <row r="120" spans="1:15" ht="13.5">
      <c r="A120" s="571"/>
      <c r="B120" s="571"/>
      <c r="C120" s="571"/>
      <c r="D120" s="605" t="s">
        <v>621</v>
      </c>
      <c r="E120" s="571" t="s">
        <v>640</v>
      </c>
      <c r="G120" s="605" t="s">
        <v>1011</v>
      </c>
      <c r="H120" s="571"/>
      <c r="I120" s="605" t="s">
        <v>641</v>
      </c>
      <c r="J120" s="575" t="s">
        <v>1012</v>
      </c>
      <c r="K120" s="572"/>
      <c r="L120" s="572"/>
      <c r="M120" s="572"/>
      <c r="N120" s="572"/>
      <c r="O120" s="572"/>
    </row>
    <row r="121" spans="1:15" ht="13.5">
      <c r="A121" s="571"/>
      <c r="B121" s="571"/>
      <c r="C121" s="571"/>
      <c r="D121" s="571"/>
      <c r="E121" s="571"/>
      <c r="F121" s="571" t="s">
        <v>1013</v>
      </c>
      <c r="G121" s="571" t="s">
        <v>1014</v>
      </c>
      <c r="H121" s="571" t="s">
        <v>642</v>
      </c>
      <c r="I121" s="571"/>
      <c r="J121" s="571"/>
      <c r="K121" s="572" t="s">
        <v>1015</v>
      </c>
      <c r="L121" s="572"/>
      <c r="M121" s="572"/>
      <c r="N121" s="572"/>
      <c r="O121" s="572"/>
    </row>
    <row r="122" spans="1:15" ht="13.5">
      <c r="A122" s="571"/>
      <c r="B122" s="571"/>
      <c r="C122" s="571"/>
      <c r="D122" s="572" t="s">
        <v>628</v>
      </c>
      <c r="E122" s="572" t="s">
        <v>367</v>
      </c>
      <c r="F122" s="582">
        <f>+L115/12</f>
        <v>3296059.5021842816</v>
      </c>
      <c r="G122" s="1730">
        <f>F119</f>
        <v>6.3E-3</v>
      </c>
      <c r="H122" s="576">
        <v>12</v>
      </c>
      <c r="I122" s="582">
        <f>+F122*G122*H122</f>
        <v>249182.09836513171</v>
      </c>
      <c r="J122" s="582">
        <f>+F122+I122</f>
        <v>3545241.6005494134</v>
      </c>
      <c r="K122" s="572" t="s">
        <v>1016</v>
      </c>
      <c r="L122" s="572"/>
      <c r="M122" s="572"/>
      <c r="N122" s="572"/>
      <c r="O122" s="572"/>
    </row>
    <row r="123" spans="1:15" ht="13.5">
      <c r="A123" s="571"/>
      <c r="B123" s="571"/>
      <c r="C123" s="571"/>
      <c r="D123" s="572" t="s">
        <v>629</v>
      </c>
      <c r="E123" s="572" t="s">
        <v>367</v>
      </c>
      <c r="F123" s="1737">
        <f t="shared" ref="F123:F133" si="14">+F122</f>
        <v>3296059.5021842816</v>
      </c>
      <c r="G123" s="1731">
        <f>G122</f>
        <v>6.3E-3</v>
      </c>
      <c r="H123" s="576">
        <v>11</v>
      </c>
      <c r="I123" s="582">
        <f t="shared" ref="I123:I133" si="15">+F123*G123*H123</f>
        <v>228416.92350137071</v>
      </c>
      <c r="J123" s="582">
        <f t="shared" ref="J123:J133" si="16">+F123+I123</f>
        <v>3524476.4256856525</v>
      </c>
      <c r="K123" s="572" t="s">
        <v>1017</v>
      </c>
      <c r="L123" s="572"/>
      <c r="M123" s="572"/>
      <c r="N123" s="572"/>
      <c r="O123" s="572"/>
    </row>
    <row r="124" spans="1:15" ht="13.5">
      <c r="A124" s="571"/>
      <c r="B124" s="571"/>
      <c r="C124" s="571"/>
      <c r="D124" s="572" t="s">
        <v>630</v>
      </c>
      <c r="E124" s="572" t="s">
        <v>367</v>
      </c>
      <c r="F124" s="1737">
        <f t="shared" si="14"/>
        <v>3296059.5021842816</v>
      </c>
      <c r="G124" s="1731">
        <f t="shared" ref="G124:G133" si="17">G123</f>
        <v>6.3E-3</v>
      </c>
      <c r="H124" s="576">
        <v>10</v>
      </c>
      <c r="I124" s="582">
        <f t="shared" si="15"/>
        <v>207651.74863760974</v>
      </c>
      <c r="J124" s="582">
        <f t="shared" si="16"/>
        <v>3503711.2508218912</v>
      </c>
      <c r="K124" s="572"/>
      <c r="L124" s="572"/>
      <c r="M124" s="572"/>
      <c r="N124" s="572"/>
      <c r="O124" s="572"/>
    </row>
    <row r="125" spans="1:15" ht="13.5">
      <c r="A125" s="571"/>
      <c r="B125" s="571"/>
      <c r="C125" s="571"/>
      <c r="D125" s="572" t="s">
        <v>631</v>
      </c>
      <c r="E125" s="572" t="s">
        <v>367</v>
      </c>
      <c r="F125" s="1737">
        <f t="shared" si="14"/>
        <v>3296059.5021842816</v>
      </c>
      <c r="G125" s="1731">
        <f t="shared" si="17"/>
        <v>6.3E-3</v>
      </c>
      <c r="H125" s="576">
        <v>9</v>
      </c>
      <c r="I125" s="582">
        <f t="shared" si="15"/>
        <v>186886.57377384877</v>
      </c>
      <c r="J125" s="582">
        <f t="shared" si="16"/>
        <v>3482946.0759581304</v>
      </c>
      <c r="K125" s="572"/>
      <c r="L125" s="572"/>
      <c r="M125" s="572"/>
      <c r="N125" s="572"/>
      <c r="O125" s="572"/>
    </row>
    <row r="126" spans="1:15" ht="13.5">
      <c r="A126" s="571"/>
      <c r="B126" s="571"/>
      <c r="C126" s="571"/>
      <c r="D126" s="572" t="s">
        <v>626</v>
      </c>
      <c r="E126" s="572" t="s">
        <v>367</v>
      </c>
      <c r="F126" s="1737">
        <f t="shared" si="14"/>
        <v>3296059.5021842816</v>
      </c>
      <c r="G126" s="1731">
        <f t="shared" si="17"/>
        <v>6.3E-3</v>
      </c>
      <c r="H126" s="576">
        <v>8</v>
      </c>
      <c r="I126" s="582">
        <f t="shared" si="15"/>
        <v>166121.3989100878</v>
      </c>
      <c r="J126" s="582">
        <f t="shared" si="16"/>
        <v>3462180.9010943696</v>
      </c>
      <c r="K126" s="572"/>
      <c r="L126" s="572"/>
      <c r="M126" s="572"/>
      <c r="N126" s="572"/>
      <c r="O126" s="572"/>
    </row>
    <row r="127" spans="1:15" ht="13.5">
      <c r="A127" s="571"/>
      <c r="B127" s="571"/>
      <c r="C127" s="571"/>
      <c r="D127" s="572" t="s">
        <v>632</v>
      </c>
      <c r="E127" s="572" t="s">
        <v>367</v>
      </c>
      <c r="F127" s="587">
        <f t="shared" si="14"/>
        <v>3296059.5021842816</v>
      </c>
      <c r="G127" s="1731">
        <f t="shared" si="17"/>
        <v>6.3E-3</v>
      </c>
      <c r="H127" s="576">
        <v>7</v>
      </c>
      <c r="I127" s="582">
        <f t="shared" si="15"/>
        <v>145356.22404632682</v>
      </c>
      <c r="J127" s="582">
        <f t="shared" si="16"/>
        <v>3441415.7262306083</v>
      </c>
      <c r="K127" s="572"/>
      <c r="L127" s="572"/>
      <c r="M127" s="572"/>
      <c r="N127" s="572"/>
      <c r="O127" s="572"/>
    </row>
    <row r="128" spans="1:15" ht="13.5">
      <c r="A128" s="571"/>
      <c r="B128" s="571"/>
      <c r="C128" s="571"/>
      <c r="D128" s="572" t="s">
        <v>633</v>
      </c>
      <c r="E128" s="572" t="s">
        <v>367</v>
      </c>
      <c r="F128" s="587">
        <f t="shared" si="14"/>
        <v>3296059.5021842816</v>
      </c>
      <c r="G128" s="1731">
        <f t="shared" si="17"/>
        <v>6.3E-3</v>
      </c>
      <c r="H128" s="576">
        <v>6</v>
      </c>
      <c r="I128" s="582">
        <f t="shared" si="15"/>
        <v>124591.04918256585</v>
      </c>
      <c r="J128" s="582">
        <f t="shared" si="16"/>
        <v>3420650.5513668475</v>
      </c>
      <c r="K128" s="572"/>
      <c r="L128" s="572"/>
      <c r="M128" s="572"/>
      <c r="N128" s="572"/>
      <c r="O128" s="572"/>
    </row>
    <row r="129" spans="1:15" ht="13.5">
      <c r="A129" s="571"/>
      <c r="B129" s="571"/>
      <c r="C129" s="571"/>
      <c r="D129" s="572" t="s">
        <v>634</v>
      </c>
      <c r="E129" s="572" t="s">
        <v>600</v>
      </c>
      <c r="F129" s="587">
        <f t="shared" si="14"/>
        <v>3296059.5021842816</v>
      </c>
      <c r="G129" s="1731">
        <f t="shared" si="17"/>
        <v>6.3E-3</v>
      </c>
      <c r="H129" s="576">
        <v>5</v>
      </c>
      <c r="I129" s="582">
        <f t="shared" si="15"/>
        <v>103825.87431880487</v>
      </c>
      <c r="J129" s="582">
        <f t="shared" si="16"/>
        <v>3399885.3765030866</v>
      </c>
      <c r="K129" s="572"/>
      <c r="L129" s="572"/>
      <c r="M129" s="572"/>
      <c r="N129" s="572"/>
      <c r="O129" s="572"/>
    </row>
    <row r="130" spans="1:15" ht="13.5">
      <c r="A130" s="571"/>
      <c r="B130" s="571"/>
      <c r="C130" s="571"/>
      <c r="D130" s="572" t="s">
        <v>635</v>
      </c>
      <c r="E130" s="572" t="s">
        <v>600</v>
      </c>
      <c r="F130" s="587">
        <f t="shared" si="14"/>
        <v>3296059.5021842816</v>
      </c>
      <c r="G130" s="1731">
        <f t="shared" si="17"/>
        <v>6.3E-3</v>
      </c>
      <c r="H130" s="576">
        <v>4</v>
      </c>
      <c r="I130" s="582">
        <f t="shared" si="15"/>
        <v>83060.699455043898</v>
      </c>
      <c r="J130" s="582">
        <f t="shared" si="16"/>
        <v>3379120.2016393254</v>
      </c>
      <c r="K130" s="572"/>
      <c r="L130" s="572"/>
      <c r="M130" s="572"/>
      <c r="N130" s="572"/>
      <c r="O130" s="572"/>
    </row>
    <row r="131" spans="1:15" ht="13.5">
      <c r="A131" s="571"/>
      <c r="B131" s="571"/>
      <c r="C131" s="571"/>
      <c r="D131" s="572" t="s">
        <v>636</v>
      </c>
      <c r="E131" s="572" t="s">
        <v>600</v>
      </c>
      <c r="F131" s="587">
        <f t="shared" si="14"/>
        <v>3296059.5021842816</v>
      </c>
      <c r="G131" s="1731">
        <f t="shared" si="17"/>
        <v>6.3E-3</v>
      </c>
      <c r="H131" s="576">
        <v>3</v>
      </c>
      <c r="I131" s="582">
        <f t="shared" si="15"/>
        <v>62295.524591282927</v>
      </c>
      <c r="J131" s="582">
        <f t="shared" si="16"/>
        <v>3358355.0267755645</v>
      </c>
      <c r="K131" s="572"/>
      <c r="L131" s="572"/>
      <c r="M131" s="572"/>
      <c r="N131" s="572"/>
      <c r="O131" s="572"/>
    </row>
    <row r="132" spans="1:15" ht="13.5">
      <c r="A132" s="571"/>
      <c r="B132" s="571"/>
      <c r="C132" s="571"/>
      <c r="D132" s="572" t="s">
        <v>637</v>
      </c>
      <c r="E132" s="572" t="s">
        <v>600</v>
      </c>
      <c r="F132" s="587">
        <f t="shared" si="14"/>
        <v>3296059.5021842816</v>
      </c>
      <c r="G132" s="1731">
        <f t="shared" si="17"/>
        <v>6.3E-3</v>
      </c>
      <c r="H132" s="576">
        <v>2</v>
      </c>
      <c r="I132" s="582">
        <f t="shared" si="15"/>
        <v>41530.349727521949</v>
      </c>
      <c r="J132" s="582">
        <f t="shared" si="16"/>
        <v>3337589.8519118037</v>
      </c>
      <c r="K132" s="572"/>
      <c r="L132" s="572"/>
      <c r="M132" s="572"/>
      <c r="N132" s="572"/>
      <c r="O132" s="572"/>
    </row>
    <row r="133" spans="1:15" ht="13.5">
      <c r="A133" s="571"/>
      <c r="B133" s="571"/>
      <c r="C133" s="571"/>
      <c r="D133" s="572" t="s">
        <v>638</v>
      </c>
      <c r="E133" s="572" t="s">
        <v>600</v>
      </c>
      <c r="F133" s="587">
        <f t="shared" si="14"/>
        <v>3296059.5021842816</v>
      </c>
      <c r="G133" s="1731">
        <f t="shared" si="17"/>
        <v>6.3E-3</v>
      </c>
      <c r="H133" s="576">
        <v>1</v>
      </c>
      <c r="I133" s="582">
        <f t="shared" si="15"/>
        <v>20765.174863760974</v>
      </c>
      <c r="J133" s="582">
        <f t="shared" si="16"/>
        <v>3316824.6770480424</v>
      </c>
      <c r="K133" s="572"/>
      <c r="L133" s="572"/>
      <c r="M133" s="572"/>
      <c r="N133" s="572"/>
      <c r="O133" s="572"/>
    </row>
    <row r="134" spans="1:15" ht="13.5">
      <c r="A134" s="571"/>
      <c r="B134" s="571"/>
      <c r="C134" s="571"/>
      <c r="D134" s="572" t="s">
        <v>850</v>
      </c>
      <c r="E134" s="572"/>
      <c r="F134" s="587">
        <v>0</v>
      </c>
      <c r="G134" s="576"/>
      <c r="H134" s="576"/>
      <c r="I134" s="572"/>
      <c r="J134" s="582">
        <f>SUM(J122:J133)</f>
        <v>41172397.665584736</v>
      </c>
      <c r="K134" s="572"/>
      <c r="L134" s="572"/>
      <c r="M134" s="572"/>
      <c r="N134" s="572"/>
      <c r="O134" s="572"/>
    </row>
    <row r="135" spans="1:15" ht="27">
      <c r="A135" s="571"/>
      <c r="B135" s="571"/>
      <c r="C135" s="571"/>
      <c r="D135" s="572"/>
      <c r="E135" s="572"/>
      <c r="F135" s="605" t="s">
        <v>643</v>
      </c>
      <c r="G135" s="1732" t="s">
        <v>1018</v>
      </c>
      <c r="H135" s="1732" t="s">
        <v>1019</v>
      </c>
      <c r="I135" s="605" t="s">
        <v>641</v>
      </c>
      <c r="J135" s="582" t="str">
        <f>+J120</f>
        <v>Surcharge (Refund) Owed</v>
      </c>
      <c r="K135" s="572"/>
      <c r="L135" s="572"/>
      <c r="M135" s="572"/>
      <c r="N135" s="572"/>
      <c r="O135" s="572"/>
    </row>
    <row r="136" spans="1:15" ht="13.5">
      <c r="A136" s="571"/>
      <c r="B136" s="571"/>
      <c r="C136" s="571"/>
      <c r="D136" s="572" t="s">
        <v>628</v>
      </c>
      <c r="E136" s="572" t="s">
        <v>600</v>
      </c>
      <c r="F136" s="587">
        <f>+J134</f>
        <v>41172397.665584736</v>
      </c>
      <c r="G136" s="1731">
        <f>+G133</f>
        <v>6.3E-3</v>
      </c>
      <c r="H136" s="589">
        <v>0</v>
      </c>
      <c r="I136" s="582">
        <f t="shared" ref="I136:I141" si="18">+F136*G136</f>
        <v>259386.10529318385</v>
      </c>
      <c r="J136" s="582">
        <f>+F136+I136-H136</f>
        <v>41431783.77087792</v>
      </c>
      <c r="K136" s="572"/>
      <c r="L136" s="572"/>
      <c r="M136" s="1733"/>
      <c r="N136" s="572"/>
      <c r="O136" s="572"/>
    </row>
    <row r="137" spans="1:15" ht="13.5">
      <c r="A137" s="571"/>
      <c r="B137" s="571"/>
      <c r="C137" s="571"/>
      <c r="D137" s="572" t="s">
        <v>629</v>
      </c>
      <c r="E137" s="572" t="s">
        <v>600</v>
      </c>
      <c r="F137" s="587">
        <f>+J136</f>
        <v>41431783.77087792</v>
      </c>
      <c r="G137" s="1731">
        <f>+G136</f>
        <v>6.3E-3</v>
      </c>
      <c r="H137" s="608">
        <v>0</v>
      </c>
      <c r="I137" s="582">
        <f t="shared" si="18"/>
        <v>261020.2377565309</v>
      </c>
      <c r="J137" s="582">
        <f t="shared" ref="J137:J151" si="19">+F137+I137-H137</f>
        <v>41692804.008634448</v>
      </c>
      <c r="K137" s="572"/>
      <c r="L137" s="572"/>
      <c r="M137" s="576"/>
      <c r="N137" s="576"/>
      <c r="O137" s="576"/>
    </row>
    <row r="138" spans="1:15" ht="13.5">
      <c r="A138" s="571"/>
      <c r="B138" s="571"/>
      <c r="C138" s="571"/>
      <c r="D138" s="572" t="s">
        <v>630</v>
      </c>
      <c r="E138" s="572" t="s">
        <v>600</v>
      </c>
      <c r="F138" s="587">
        <f t="shared" ref="F138:F152" si="20">+J137</f>
        <v>41692804.008634448</v>
      </c>
      <c r="G138" s="1731">
        <f t="shared" ref="G138:G152" si="21">+G137</f>
        <v>6.3E-3</v>
      </c>
      <c r="H138" s="608">
        <v>0</v>
      </c>
      <c r="I138" s="582">
        <f t="shared" si="18"/>
        <v>262664.66525439703</v>
      </c>
      <c r="J138" s="582">
        <f t="shared" si="19"/>
        <v>41955468.673888847</v>
      </c>
      <c r="K138" s="572"/>
      <c r="L138" s="572"/>
      <c r="M138" s="572"/>
      <c r="N138" s="572"/>
      <c r="O138" s="572"/>
    </row>
    <row r="139" spans="1:15" ht="13.5">
      <c r="A139" s="571"/>
      <c r="B139" s="571"/>
      <c r="C139" s="571"/>
      <c r="D139" s="572" t="s">
        <v>631</v>
      </c>
      <c r="E139" s="572" t="s">
        <v>600</v>
      </c>
      <c r="F139" s="587">
        <f t="shared" si="20"/>
        <v>41955468.673888847</v>
      </c>
      <c r="G139" s="1731">
        <f t="shared" si="21"/>
        <v>6.3E-3</v>
      </c>
      <c r="H139" s="608">
        <v>0</v>
      </c>
      <c r="I139" s="582">
        <f t="shared" si="18"/>
        <v>264319.45264549972</v>
      </c>
      <c r="J139" s="582">
        <f t="shared" si="19"/>
        <v>42219788.12653435</v>
      </c>
      <c r="K139" s="615"/>
      <c r="L139" s="572"/>
      <c r="M139" s="572"/>
      <c r="N139" s="572"/>
      <c r="O139" s="572"/>
    </row>
    <row r="140" spans="1:15" ht="13.5">
      <c r="A140" s="571"/>
      <c r="B140" s="571"/>
      <c r="C140" s="571"/>
      <c r="D140" s="572" t="s">
        <v>626</v>
      </c>
      <c r="E140" s="572" t="s">
        <v>600</v>
      </c>
      <c r="F140" s="587">
        <f t="shared" si="20"/>
        <v>42219788.12653435</v>
      </c>
      <c r="G140" s="1731">
        <f t="shared" si="21"/>
        <v>6.3E-3</v>
      </c>
      <c r="H140" s="608">
        <v>0</v>
      </c>
      <c r="I140" s="582">
        <f t="shared" si="18"/>
        <v>265984.66519716638</v>
      </c>
      <c r="J140" s="582">
        <f t="shared" si="19"/>
        <v>42485772.791731514</v>
      </c>
      <c r="K140" s="614"/>
      <c r="L140" s="572"/>
      <c r="M140" s="572"/>
      <c r="N140" s="572"/>
      <c r="O140" s="572"/>
    </row>
    <row r="141" spans="1:15" ht="13.5">
      <c r="A141" s="571"/>
      <c r="B141" s="571"/>
      <c r="C141" s="571"/>
      <c r="D141" s="572" t="s">
        <v>632</v>
      </c>
      <c r="E141" s="572" t="s">
        <v>600</v>
      </c>
      <c r="F141" s="587">
        <f t="shared" si="20"/>
        <v>42485772.791731514</v>
      </c>
      <c r="G141" s="1731">
        <f t="shared" si="21"/>
        <v>6.3E-3</v>
      </c>
      <c r="H141" s="589">
        <f>-PMT(G141,12,J140)</f>
        <v>3687132.9039370758</v>
      </c>
      <c r="I141" s="582">
        <f t="shared" si="18"/>
        <v>267660.36858790857</v>
      </c>
      <c r="J141" s="582">
        <f>+F141+I141-H141</f>
        <v>39066300.256382346</v>
      </c>
      <c r="K141" s="572"/>
      <c r="L141" s="572"/>
      <c r="M141" s="572"/>
      <c r="N141" s="572"/>
      <c r="O141" s="572"/>
    </row>
    <row r="142" spans="1:15" ht="13.5">
      <c r="A142" s="571"/>
      <c r="B142" s="571"/>
      <c r="C142" s="571"/>
      <c r="D142" s="572" t="s">
        <v>633</v>
      </c>
      <c r="E142" s="572" t="s">
        <v>600</v>
      </c>
      <c r="F142" s="587">
        <f t="shared" si="20"/>
        <v>39066300.256382346</v>
      </c>
      <c r="G142" s="1731">
        <f t="shared" si="21"/>
        <v>6.3E-3</v>
      </c>
      <c r="H142" s="608">
        <f t="shared" ref="H142:H152" si="22">H141</f>
        <v>3687132.9039370758</v>
      </c>
      <c r="I142" s="582">
        <f t="shared" ref="I142:I152" si="23">+F142*G142</f>
        <v>246117.69161520878</v>
      </c>
      <c r="J142" s="582">
        <f t="shared" si="19"/>
        <v>35625285.044060476</v>
      </c>
      <c r="K142" s="572"/>
      <c r="L142" s="572"/>
      <c r="M142" s="572"/>
      <c r="N142" s="572"/>
      <c r="O142" s="572"/>
    </row>
    <row r="143" spans="1:15" ht="13.5">
      <c r="A143" s="571"/>
      <c r="B143" s="571"/>
      <c r="C143" s="571"/>
      <c r="D143" s="572" t="s">
        <v>634</v>
      </c>
      <c r="E143" s="572" t="s">
        <v>600</v>
      </c>
      <c r="F143" s="587">
        <f t="shared" si="20"/>
        <v>35625285.044060476</v>
      </c>
      <c r="G143" s="1731">
        <f t="shared" si="21"/>
        <v>6.3E-3</v>
      </c>
      <c r="H143" s="608">
        <f t="shared" si="22"/>
        <v>3687132.9039370758</v>
      </c>
      <c r="I143" s="582">
        <f t="shared" si="23"/>
        <v>224439.29577758099</v>
      </c>
      <c r="J143" s="582">
        <f t="shared" si="19"/>
        <v>32162591.435900982</v>
      </c>
      <c r="K143" s="572"/>
      <c r="L143" s="572"/>
      <c r="M143" s="572"/>
      <c r="N143" s="572"/>
      <c r="O143" s="572"/>
    </row>
    <row r="144" spans="1:15" ht="13.5">
      <c r="A144" s="571"/>
      <c r="B144" s="571"/>
      <c r="C144" s="571"/>
      <c r="D144" s="572" t="s">
        <v>635</v>
      </c>
      <c r="E144" s="572" t="s">
        <v>600</v>
      </c>
      <c r="F144" s="587">
        <f t="shared" si="20"/>
        <v>32162591.435900982</v>
      </c>
      <c r="G144" s="1731">
        <f t="shared" si="21"/>
        <v>6.3E-3</v>
      </c>
      <c r="H144" s="608">
        <f t="shared" si="22"/>
        <v>3687132.9039370758</v>
      </c>
      <c r="I144" s="582">
        <f t="shared" si="23"/>
        <v>202624.3260461762</v>
      </c>
      <c r="J144" s="582">
        <f t="shared" si="19"/>
        <v>28678082.858010083</v>
      </c>
      <c r="K144" s="572"/>
      <c r="L144" s="572"/>
      <c r="M144" s="572"/>
      <c r="N144" s="572"/>
      <c r="O144" s="572"/>
    </row>
    <row r="145" spans="1:15" ht="13.5">
      <c r="A145" s="571"/>
      <c r="B145" s="571"/>
      <c r="C145" s="571"/>
      <c r="D145" s="572" t="s">
        <v>636</v>
      </c>
      <c r="E145" s="572" t="s">
        <v>600</v>
      </c>
      <c r="F145" s="587">
        <f t="shared" si="20"/>
        <v>28678082.858010083</v>
      </c>
      <c r="G145" s="1731">
        <f t="shared" si="21"/>
        <v>6.3E-3</v>
      </c>
      <c r="H145" s="608">
        <f t="shared" si="22"/>
        <v>3687132.9039370758</v>
      </c>
      <c r="I145" s="582">
        <f t="shared" si="23"/>
        <v>180671.92200546354</v>
      </c>
      <c r="J145" s="582">
        <f>+F145+I145-H145</f>
        <v>25171621.876078472</v>
      </c>
      <c r="K145" s="572"/>
      <c r="L145" s="572"/>
      <c r="M145" s="572"/>
      <c r="N145" s="572"/>
      <c r="O145" s="572"/>
    </row>
    <row r="146" spans="1:15" ht="13.5">
      <c r="A146" s="571"/>
      <c r="B146" s="571"/>
      <c r="C146" s="571"/>
      <c r="D146" s="572" t="s">
        <v>637</v>
      </c>
      <c r="E146" s="572" t="s">
        <v>600</v>
      </c>
      <c r="F146" s="587">
        <f t="shared" si="20"/>
        <v>25171621.876078472</v>
      </c>
      <c r="G146" s="1731">
        <f t="shared" si="21"/>
        <v>6.3E-3</v>
      </c>
      <c r="H146" s="608">
        <f t="shared" si="22"/>
        <v>3687132.9039370758</v>
      </c>
      <c r="I146" s="582">
        <f t="shared" si="23"/>
        <v>158581.21781929437</v>
      </c>
      <c r="J146" s="582">
        <f t="shared" si="19"/>
        <v>21643070.189960692</v>
      </c>
      <c r="K146" s="572"/>
      <c r="L146" s="572"/>
      <c r="M146" s="572"/>
      <c r="N146" s="572"/>
      <c r="O146" s="572"/>
    </row>
    <row r="147" spans="1:15" ht="13.5">
      <c r="A147" s="571"/>
      <c r="B147" s="571"/>
      <c r="C147" s="571"/>
      <c r="D147" s="572" t="s">
        <v>638</v>
      </c>
      <c r="E147" s="572" t="s">
        <v>600</v>
      </c>
      <c r="F147" s="587">
        <f t="shared" si="20"/>
        <v>21643070.189960692</v>
      </c>
      <c r="G147" s="1731">
        <f t="shared" si="21"/>
        <v>6.3E-3</v>
      </c>
      <c r="H147" s="608">
        <f t="shared" si="22"/>
        <v>3687132.9039370758</v>
      </c>
      <c r="I147" s="582">
        <f t="shared" si="23"/>
        <v>136351.34219675238</v>
      </c>
      <c r="J147" s="582">
        <f t="shared" si="19"/>
        <v>18092288.628220368</v>
      </c>
      <c r="K147" s="572"/>
      <c r="L147" s="572"/>
      <c r="M147" s="572"/>
      <c r="N147" s="572"/>
      <c r="O147" s="572"/>
    </row>
    <row r="148" spans="1:15" ht="13.5">
      <c r="A148" s="571"/>
      <c r="B148" s="571"/>
      <c r="C148" s="571"/>
      <c r="D148" s="572" t="s">
        <v>628</v>
      </c>
      <c r="E148" s="572" t="s">
        <v>601</v>
      </c>
      <c r="F148" s="587">
        <f t="shared" si="20"/>
        <v>18092288.628220368</v>
      </c>
      <c r="G148" s="1731">
        <f t="shared" si="21"/>
        <v>6.3E-3</v>
      </c>
      <c r="H148" s="608">
        <f t="shared" si="22"/>
        <v>3687132.9039370758</v>
      </c>
      <c r="I148" s="582">
        <f t="shared" si="23"/>
        <v>113981.41835778832</v>
      </c>
      <c r="J148" s="582">
        <f t="shared" si="19"/>
        <v>14519137.142641082</v>
      </c>
      <c r="K148" s="572"/>
      <c r="L148" s="572"/>
      <c r="M148" s="572"/>
      <c r="N148" s="572"/>
      <c r="O148" s="572"/>
    </row>
    <row r="149" spans="1:15" ht="13.5">
      <c r="A149" s="571"/>
      <c r="B149" s="571"/>
      <c r="C149" s="571"/>
      <c r="D149" s="572" t="s">
        <v>629</v>
      </c>
      <c r="E149" s="572" t="s">
        <v>601</v>
      </c>
      <c r="F149" s="587">
        <f t="shared" si="20"/>
        <v>14519137.142641082</v>
      </c>
      <c r="G149" s="1731">
        <f t="shared" si="21"/>
        <v>6.3E-3</v>
      </c>
      <c r="H149" s="608">
        <f t="shared" si="22"/>
        <v>3687132.9039370758</v>
      </c>
      <c r="I149" s="582">
        <f t="shared" si="23"/>
        <v>91470.563998638827</v>
      </c>
      <c r="J149" s="582">
        <f t="shared" si="19"/>
        <v>10923474.802702647</v>
      </c>
      <c r="K149" s="572"/>
      <c r="L149" s="572"/>
      <c r="M149" s="572"/>
      <c r="N149" s="572"/>
      <c r="O149" s="572"/>
    </row>
    <row r="150" spans="1:15" ht="13.5">
      <c r="A150" s="571"/>
      <c r="B150" s="571"/>
      <c r="C150" s="571"/>
      <c r="D150" s="572" t="s">
        <v>630</v>
      </c>
      <c r="E150" s="572" t="s">
        <v>601</v>
      </c>
      <c r="F150" s="587">
        <f t="shared" si="20"/>
        <v>10923474.802702647</v>
      </c>
      <c r="G150" s="1731">
        <f t="shared" si="21"/>
        <v>6.3E-3</v>
      </c>
      <c r="H150" s="608">
        <f t="shared" si="22"/>
        <v>3687132.9039370758</v>
      </c>
      <c r="I150" s="582">
        <f>+F150*G150</f>
        <v>68817.891257026669</v>
      </c>
      <c r="J150" s="582">
        <f t="shared" si="19"/>
        <v>7305159.7900225986</v>
      </c>
      <c r="K150" s="572"/>
      <c r="L150" s="572"/>
      <c r="M150" s="572"/>
      <c r="N150" s="572"/>
      <c r="O150" s="572"/>
    </row>
    <row r="151" spans="1:15" ht="13.5">
      <c r="A151" s="571"/>
      <c r="B151" s="571"/>
      <c r="C151" s="571"/>
      <c r="D151" s="572" t="s">
        <v>631</v>
      </c>
      <c r="E151" s="572" t="s">
        <v>601</v>
      </c>
      <c r="F151" s="587">
        <f t="shared" si="20"/>
        <v>7305159.7900225986</v>
      </c>
      <c r="G151" s="1731">
        <f t="shared" si="21"/>
        <v>6.3E-3</v>
      </c>
      <c r="H151" s="608">
        <f t="shared" si="22"/>
        <v>3687132.9039370758</v>
      </c>
      <c r="I151" s="582">
        <f t="shared" si="23"/>
        <v>46022.506677142374</v>
      </c>
      <c r="J151" s="582">
        <f t="shared" si="19"/>
        <v>3664049.3927626652</v>
      </c>
      <c r="K151" s="572"/>
      <c r="L151" s="572"/>
      <c r="M151" s="572"/>
      <c r="N151" s="572"/>
      <c r="O151" s="572"/>
    </row>
    <row r="152" spans="1:15" ht="13.5">
      <c r="A152" s="571"/>
      <c r="B152" s="571"/>
      <c r="C152" s="571"/>
      <c r="D152" s="572" t="s">
        <v>626</v>
      </c>
      <c r="E152" s="572" t="s">
        <v>601</v>
      </c>
      <c r="F152" s="587">
        <f t="shared" si="20"/>
        <v>3664049.3927626652</v>
      </c>
      <c r="G152" s="1731">
        <f t="shared" si="21"/>
        <v>6.3E-3</v>
      </c>
      <c r="H152" s="608">
        <f t="shared" si="22"/>
        <v>3687132.9039370758</v>
      </c>
      <c r="I152" s="582">
        <f t="shared" si="23"/>
        <v>23083.51117440479</v>
      </c>
      <c r="J152" s="582">
        <f>+F152-H152+I152</f>
        <v>-5.791662260890007E-9</v>
      </c>
      <c r="K152" s="572"/>
      <c r="L152" s="572"/>
      <c r="N152" s="572"/>
      <c r="O152" s="572"/>
    </row>
    <row r="153" spans="1:15" ht="13.5">
      <c r="A153" s="571"/>
      <c r="B153" s="571"/>
      <c r="C153" s="571"/>
      <c r="D153" s="572" t="s">
        <v>657</v>
      </c>
      <c r="E153" s="572"/>
      <c r="F153" s="572"/>
      <c r="G153" s="572"/>
      <c r="H153" s="587">
        <f>SUM(H136:H152)</f>
        <v>44245594.847244918</v>
      </c>
      <c r="I153" s="572"/>
      <c r="J153" s="572"/>
      <c r="K153" s="572"/>
      <c r="L153" s="572"/>
      <c r="M153" s="572"/>
      <c r="N153" s="572"/>
      <c r="O153" s="572"/>
    </row>
    <row r="154" spans="1:15" ht="13.5">
      <c r="B154" s="571"/>
      <c r="C154" s="571"/>
      <c r="D154" s="572"/>
      <c r="E154" s="572"/>
      <c r="F154" s="572"/>
      <c r="G154" s="572"/>
      <c r="H154" s="572"/>
      <c r="I154" s="572"/>
      <c r="J154" s="572"/>
      <c r="K154" s="572"/>
      <c r="L154" s="572"/>
      <c r="M154" s="572"/>
      <c r="N154" s="572"/>
      <c r="O154" s="572"/>
    </row>
    <row r="155" spans="1:15" ht="13.5">
      <c r="A155" s="420"/>
      <c r="B155" s="571"/>
      <c r="C155" s="571"/>
      <c r="D155" s="613" t="s">
        <v>981</v>
      </c>
      <c r="E155" s="571"/>
      <c r="F155" s="419"/>
      <c r="G155" s="571"/>
      <c r="H155" s="587">
        <f>+H153</f>
        <v>44245594.847244918</v>
      </c>
      <c r="I155" s="1890">
        <f>H155*L113/L115</f>
        <v>43128929.049361326</v>
      </c>
      <c r="J155" s="1890">
        <f>H155*L114/L115</f>
        <v>1116665.79788359</v>
      </c>
      <c r="K155" s="587"/>
      <c r="L155" s="572"/>
      <c r="M155" s="572"/>
      <c r="N155" s="572"/>
      <c r="O155" s="572"/>
    </row>
    <row r="156" spans="1:15" ht="13.5">
      <c r="A156" s="420"/>
      <c r="B156" s="571"/>
      <c r="C156" s="571"/>
      <c r="D156" s="613" t="s">
        <v>66</v>
      </c>
      <c r="E156" s="571"/>
      <c r="F156" s="419"/>
      <c r="G156" s="571"/>
      <c r="I156" s="616">
        <f>'ATT H-1 '!J286</f>
        <v>133473402.4110166</v>
      </c>
      <c r="J156" s="1529">
        <f>'Sch 1'!E16</f>
        <v>6763802</v>
      </c>
      <c r="K156" s="572"/>
      <c r="L156" s="572"/>
      <c r="M156" s="1727"/>
      <c r="N156" s="576"/>
      <c r="O156" s="572"/>
    </row>
    <row r="157" spans="1:15" ht="13.5">
      <c r="A157" s="420"/>
      <c r="B157" s="571"/>
      <c r="C157" s="571"/>
      <c r="D157" s="613" t="s">
        <v>67</v>
      </c>
      <c r="E157" s="571"/>
      <c r="F157" s="419"/>
      <c r="G157" s="571"/>
      <c r="I157" s="587">
        <f>+I155+I156</f>
        <v>176602331.46037793</v>
      </c>
      <c r="J157" s="1529">
        <f>SUM(J155:J156)</f>
        <v>7880467.7978835898</v>
      </c>
      <c r="K157" s="572"/>
      <c r="L157" s="572"/>
      <c r="M157" s="572"/>
      <c r="N157" s="572"/>
      <c r="O157" s="572"/>
    </row>
    <row r="158" spans="1:15" ht="13.5">
      <c r="A158" s="571"/>
      <c r="B158" s="571"/>
      <c r="C158" s="571"/>
      <c r="D158" s="604"/>
      <c r="E158" s="572"/>
      <c r="F158" s="572"/>
      <c r="G158" s="576"/>
      <c r="H158" s="608"/>
      <c r="I158" s="576"/>
      <c r="J158" s="572"/>
      <c r="K158" s="572"/>
      <c r="L158" s="572"/>
      <c r="M158" s="572"/>
      <c r="N158" s="572"/>
      <c r="O158" s="572"/>
    </row>
    <row r="159" spans="1:15" ht="13.5">
      <c r="A159" s="571">
        <v>9</v>
      </c>
      <c r="B159" s="571" t="s">
        <v>625</v>
      </c>
      <c r="C159" s="571" t="s">
        <v>601</v>
      </c>
      <c r="D159" s="578" t="s">
        <v>1106</v>
      </c>
      <c r="E159" s="572"/>
      <c r="F159" s="572"/>
      <c r="G159" s="572"/>
      <c r="H159" s="572"/>
      <c r="I159" s="572"/>
      <c r="J159" s="419"/>
      <c r="K159" s="572"/>
      <c r="L159" s="572"/>
      <c r="M159" s="572"/>
      <c r="N159" s="572"/>
      <c r="O159" s="572"/>
    </row>
    <row r="160" spans="1:15" ht="13.5">
      <c r="A160" s="571"/>
      <c r="B160" s="571"/>
      <c r="C160" s="571"/>
      <c r="D160" s="578"/>
      <c r="E160" s="572"/>
      <c r="F160" s="572"/>
      <c r="G160" s="572"/>
      <c r="H160" s="572"/>
      <c r="I160" s="572"/>
      <c r="J160" s="419"/>
      <c r="K160" s="572"/>
      <c r="L160" s="572"/>
      <c r="M160" s="572"/>
      <c r="N160" s="572"/>
      <c r="O160" s="572"/>
    </row>
    <row r="161" spans="1:15" ht="13.5">
      <c r="A161" s="571"/>
      <c r="B161" s="419"/>
      <c r="C161" s="478" t="s">
        <v>263</v>
      </c>
      <c r="D161" s="478" t="s">
        <v>264</v>
      </c>
      <c r="E161" s="478" t="s">
        <v>356</v>
      </c>
      <c r="F161" s="478" t="s">
        <v>265</v>
      </c>
      <c r="G161" s="478" t="s">
        <v>266</v>
      </c>
      <c r="H161" s="478" t="s">
        <v>262</v>
      </c>
      <c r="I161" s="478"/>
      <c r="J161" s="478" t="s">
        <v>569</v>
      </c>
      <c r="K161" s="478" t="s">
        <v>570</v>
      </c>
      <c r="L161" s="478" t="s">
        <v>962</v>
      </c>
      <c r="M161" s="574" t="s">
        <v>963</v>
      </c>
      <c r="N161" s="571" t="s">
        <v>964</v>
      </c>
      <c r="O161" s="571" t="s">
        <v>965</v>
      </c>
    </row>
    <row r="162" spans="1:15" ht="13.5">
      <c r="A162" s="571"/>
      <c r="B162" s="419"/>
      <c r="C162" s="571" t="s">
        <v>219</v>
      </c>
      <c r="D162" s="571" t="s">
        <v>219</v>
      </c>
      <c r="E162" s="571" t="s">
        <v>219</v>
      </c>
      <c r="F162" s="571" t="s">
        <v>219</v>
      </c>
      <c r="G162" s="571" t="s">
        <v>219</v>
      </c>
      <c r="H162" s="571" t="s">
        <v>219</v>
      </c>
      <c r="I162" s="571"/>
      <c r="J162" s="571" t="s">
        <v>72</v>
      </c>
      <c r="K162" s="571" t="s">
        <v>72</v>
      </c>
      <c r="L162" s="571" t="s">
        <v>72</v>
      </c>
      <c r="M162" s="571" t="s">
        <v>72</v>
      </c>
      <c r="N162" s="571" t="s">
        <v>72</v>
      </c>
      <c r="O162" s="571" t="s">
        <v>72</v>
      </c>
    </row>
    <row r="163" spans="1:15" ht="13.5">
      <c r="A163" s="571"/>
      <c r="B163" s="572"/>
      <c r="C163" s="571" t="s">
        <v>68</v>
      </c>
      <c r="D163" s="571" t="s">
        <v>68</v>
      </c>
      <c r="E163" s="571" t="s">
        <v>68</v>
      </c>
      <c r="F163" s="622"/>
      <c r="G163" s="622"/>
      <c r="H163" s="622"/>
      <c r="I163" s="571"/>
      <c r="J163" s="571" t="s">
        <v>73</v>
      </c>
      <c r="K163" s="571" t="s">
        <v>74</v>
      </c>
      <c r="L163" s="571" t="s">
        <v>75</v>
      </c>
      <c r="M163" s="571" t="s">
        <v>76</v>
      </c>
      <c r="N163" s="571" t="s">
        <v>77</v>
      </c>
      <c r="O163" s="571" t="s">
        <v>78</v>
      </c>
    </row>
    <row r="164" spans="1:15" ht="13.5">
      <c r="A164" s="2017"/>
      <c r="B164" s="572"/>
      <c r="C164" s="571" t="s">
        <v>568</v>
      </c>
      <c r="D164" s="571"/>
      <c r="E164" s="571"/>
      <c r="F164" s="571" t="s">
        <v>69</v>
      </c>
      <c r="G164" s="571" t="s">
        <v>70</v>
      </c>
      <c r="H164" s="571" t="s">
        <v>71</v>
      </c>
      <c r="I164" s="571"/>
      <c r="J164" s="571"/>
      <c r="K164" s="571"/>
      <c r="L164" s="571"/>
      <c r="M164" s="571"/>
      <c r="N164" s="571"/>
      <c r="O164" s="571"/>
    </row>
    <row r="165" spans="1:15" ht="13.5">
      <c r="A165" s="2017"/>
      <c r="B165" s="572"/>
      <c r="C165" s="571"/>
      <c r="D165" s="586"/>
      <c r="E165" s="586"/>
      <c r="F165" s="586"/>
      <c r="G165" s="571"/>
      <c r="H165" s="571"/>
      <c r="I165" s="621"/>
      <c r="J165" s="571"/>
      <c r="K165" s="571"/>
      <c r="L165" s="587"/>
      <c r="M165" s="571"/>
      <c r="N165" s="571"/>
      <c r="O165" s="582"/>
    </row>
    <row r="166" spans="1:15" ht="13.5">
      <c r="A166" s="2017"/>
      <c r="B166" s="572" t="s">
        <v>628</v>
      </c>
      <c r="C166" s="588">
        <v>271952</v>
      </c>
      <c r="D166" s="588"/>
      <c r="E166" s="588"/>
      <c r="F166" s="588"/>
      <c r="G166" s="588"/>
      <c r="H166" s="588"/>
      <c r="I166" s="621"/>
      <c r="J166" s="587">
        <f>C166</f>
        <v>271952</v>
      </c>
      <c r="K166" s="587">
        <f>E166</f>
        <v>0</v>
      </c>
      <c r="L166" s="587">
        <f>F166</f>
        <v>0</v>
      </c>
      <c r="M166" s="587">
        <f>G166</f>
        <v>0</v>
      </c>
      <c r="N166" s="587">
        <f>H166</f>
        <v>0</v>
      </c>
      <c r="O166" s="587">
        <f>I166</f>
        <v>0</v>
      </c>
    </row>
    <row r="167" spans="1:15" ht="13.5">
      <c r="A167" s="2017"/>
      <c r="B167" s="572" t="s">
        <v>629</v>
      </c>
      <c r="C167" s="588">
        <v>15258935</v>
      </c>
      <c r="D167" s="588"/>
      <c r="E167" s="588"/>
      <c r="F167" s="588"/>
      <c r="G167" s="588"/>
      <c r="H167" s="588"/>
      <c r="I167" s="621"/>
      <c r="J167" s="587">
        <f>J166+C167</f>
        <v>15530887</v>
      </c>
      <c r="K167" s="587">
        <f t="shared" ref="K167:K177" si="24">K166+E167</f>
        <v>0</v>
      </c>
      <c r="L167" s="587">
        <f t="shared" ref="L167:L177" si="25">L166+F167</f>
        <v>0</v>
      </c>
      <c r="M167" s="587">
        <f t="shared" ref="M167:M177" si="26">M166+G167</f>
        <v>0</v>
      </c>
      <c r="N167" s="587">
        <f t="shared" ref="N167:N177" si="27">N166+H167</f>
        <v>0</v>
      </c>
      <c r="O167" s="587">
        <f t="shared" ref="O167:O177" si="28">O166+I167</f>
        <v>0</v>
      </c>
    </row>
    <row r="168" spans="1:15" ht="13.5">
      <c r="A168" s="2017"/>
      <c r="B168" s="572" t="s">
        <v>630</v>
      </c>
      <c r="C168" s="588">
        <v>9705139</v>
      </c>
      <c r="D168" s="588"/>
      <c r="E168" s="588"/>
      <c r="F168" s="588"/>
      <c r="G168" s="588"/>
      <c r="H168" s="588"/>
      <c r="I168" s="621"/>
      <c r="J168" s="587">
        <f t="shared" ref="J168:J177" si="29">J167+C168</f>
        <v>25236026</v>
      </c>
      <c r="K168" s="587">
        <f t="shared" si="24"/>
        <v>0</v>
      </c>
      <c r="L168" s="587">
        <f t="shared" si="25"/>
        <v>0</v>
      </c>
      <c r="M168" s="587">
        <f t="shared" si="26"/>
        <v>0</v>
      </c>
      <c r="N168" s="587">
        <f t="shared" si="27"/>
        <v>0</v>
      </c>
      <c r="O168" s="587">
        <f t="shared" si="28"/>
        <v>0</v>
      </c>
    </row>
    <row r="169" spans="1:15" ht="13.5">
      <c r="A169" s="2017"/>
      <c r="B169" s="572" t="s">
        <v>631</v>
      </c>
      <c r="C169" s="588">
        <v>1883700</v>
      </c>
      <c r="D169" s="588"/>
      <c r="E169" s="588"/>
      <c r="F169" s="588"/>
      <c r="G169" s="588"/>
      <c r="H169" s="588"/>
      <c r="I169" s="621"/>
      <c r="J169" s="587">
        <f t="shared" si="29"/>
        <v>27119726</v>
      </c>
      <c r="K169" s="587">
        <f t="shared" si="24"/>
        <v>0</v>
      </c>
      <c r="L169" s="587">
        <f t="shared" si="25"/>
        <v>0</v>
      </c>
      <c r="M169" s="587">
        <f t="shared" si="26"/>
        <v>0</v>
      </c>
      <c r="N169" s="587">
        <f t="shared" si="27"/>
        <v>0</v>
      </c>
      <c r="O169" s="587">
        <f t="shared" si="28"/>
        <v>0</v>
      </c>
    </row>
    <row r="170" spans="1:15" ht="13.5">
      <c r="A170" s="2017"/>
      <c r="B170" s="572" t="s">
        <v>626</v>
      </c>
      <c r="C170" s="588">
        <v>1891079</v>
      </c>
      <c r="D170" s="588"/>
      <c r="E170" s="588"/>
      <c r="F170" s="588"/>
      <c r="G170" s="588"/>
      <c r="H170" s="588"/>
      <c r="I170" s="621"/>
      <c r="J170" s="587">
        <f t="shared" si="29"/>
        <v>29010805</v>
      </c>
      <c r="K170" s="587">
        <f t="shared" si="24"/>
        <v>0</v>
      </c>
      <c r="L170" s="587">
        <f t="shared" si="25"/>
        <v>0</v>
      </c>
      <c r="M170" s="587">
        <f t="shared" si="26"/>
        <v>0</v>
      </c>
      <c r="N170" s="587">
        <f t="shared" si="27"/>
        <v>0</v>
      </c>
      <c r="O170" s="587">
        <f t="shared" si="28"/>
        <v>0</v>
      </c>
    </row>
    <row r="171" spans="1:15" ht="13.5">
      <c r="A171" s="2017"/>
      <c r="B171" s="572" t="s">
        <v>632</v>
      </c>
      <c r="C171" s="588">
        <v>2728415</v>
      </c>
      <c r="D171" s="588"/>
      <c r="E171" s="588"/>
      <c r="F171" s="588"/>
      <c r="G171" s="588"/>
      <c r="H171" s="588"/>
      <c r="I171" s="621"/>
      <c r="J171" s="587">
        <f t="shared" si="29"/>
        <v>31739220</v>
      </c>
      <c r="K171" s="587">
        <f t="shared" si="24"/>
        <v>0</v>
      </c>
      <c r="L171" s="587">
        <f t="shared" si="25"/>
        <v>0</v>
      </c>
      <c r="M171" s="587">
        <f t="shared" si="26"/>
        <v>0</v>
      </c>
      <c r="N171" s="587">
        <f t="shared" si="27"/>
        <v>0</v>
      </c>
      <c r="O171" s="587">
        <f t="shared" si="28"/>
        <v>0</v>
      </c>
    </row>
    <row r="172" spans="1:15" ht="13.5">
      <c r="A172" s="2017"/>
      <c r="B172" s="572" t="s">
        <v>633</v>
      </c>
      <c r="C172" s="588">
        <v>1989189</v>
      </c>
      <c r="D172" s="588"/>
      <c r="E172" s="588"/>
      <c r="F172" s="588"/>
      <c r="G172" s="588"/>
      <c r="H172" s="588"/>
      <c r="I172" s="621"/>
      <c r="J172" s="587">
        <f t="shared" si="29"/>
        <v>33728409</v>
      </c>
      <c r="K172" s="587">
        <f t="shared" si="24"/>
        <v>0</v>
      </c>
      <c r="L172" s="587">
        <f t="shared" si="25"/>
        <v>0</v>
      </c>
      <c r="M172" s="587">
        <f t="shared" si="26"/>
        <v>0</v>
      </c>
      <c r="N172" s="587">
        <f t="shared" si="27"/>
        <v>0</v>
      </c>
      <c r="O172" s="587">
        <f t="shared" si="28"/>
        <v>0</v>
      </c>
    </row>
    <row r="173" spans="1:15" ht="13.5">
      <c r="A173" s="2017"/>
      <c r="B173" s="572" t="s">
        <v>634</v>
      </c>
      <c r="C173" s="588">
        <v>36776118</v>
      </c>
      <c r="D173" s="588"/>
      <c r="E173" s="588"/>
      <c r="F173" s="588"/>
      <c r="G173" s="588"/>
      <c r="H173" s="588"/>
      <c r="I173" s="621"/>
      <c r="J173" s="587">
        <f t="shared" si="29"/>
        <v>70504527</v>
      </c>
      <c r="K173" s="587">
        <f t="shared" si="24"/>
        <v>0</v>
      </c>
      <c r="L173" s="587">
        <f t="shared" si="25"/>
        <v>0</v>
      </c>
      <c r="M173" s="587">
        <f t="shared" si="26"/>
        <v>0</v>
      </c>
      <c r="N173" s="587">
        <f t="shared" si="27"/>
        <v>0</v>
      </c>
      <c r="O173" s="587">
        <f t="shared" si="28"/>
        <v>0</v>
      </c>
    </row>
    <row r="174" spans="1:15" ht="13.5">
      <c r="A174" s="2017"/>
      <c r="B174" s="572" t="s">
        <v>635</v>
      </c>
      <c r="C174" s="588">
        <v>3388238</v>
      </c>
      <c r="D174" s="588"/>
      <c r="E174" s="588"/>
      <c r="F174" s="588"/>
      <c r="G174" s="588"/>
      <c r="H174" s="588"/>
      <c r="I174" s="621"/>
      <c r="J174" s="587">
        <f t="shared" si="29"/>
        <v>73892765</v>
      </c>
      <c r="K174" s="587">
        <f t="shared" si="24"/>
        <v>0</v>
      </c>
      <c r="L174" s="587">
        <f t="shared" si="25"/>
        <v>0</v>
      </c>
      <c r="M174" s="587">
        <f t="shared" si="26"/>
        <v>0</v>
      </c>
      <c r="N174" s="587">
        <f t="shared" si="27"/>
        <v>0</v>
      </c>
      <c r="O174" s="587">
        <f t="shared" si="28"/>
        <v>0</v>
      </c>
    </row>
    <row r="175" spans="1:15" ht="13.5">
      <c r="A175" s="2017"/>
      <c r="B175" s="572" t="s">
        <v>636</v>
      </c>
      <c r="C175" s="588">
        <v>3256723</v>
      </c>
      <c r="D175" s="588"/>
      <c r="E175" s="588"/>
      <c r="F175" s="588"/>
      <c r="G175" s="588"/>
      <c r="H175" s="588"/>
      <c r="I175" s="621"/>
      <c r="J175" s="587">
        <f t="shared" si="29"/>
        <v>77149488</v>
      </c>
      <c r="K175" s="587">
        <f t="shared" si="24"/>
        <v>0</v>
      </c>
      <c r="L175" s="587">
        <f t="shared" si="25"/>
        <v>0</v>
      </c>
      <c r="M175" s="587">
        <f t="shared" si="26"/>
        <v>0</v>
      </c>
      <c r="N175" s="587">
        <f t="shared" si="27"/>
        <v>0</v>
      </c>
      <c r="O175" s="587">
        <f t="shared" si="28"/>
        <v>0</v>
      </c>
    </row>
    <row r="176" spans="1:15" ht="13.5">
      <c r="A176" s="2017"/>
      <c r="B176" s="572" t="s">
        <v>637</v>
      </c>
      <c r="C176" s="588">
        <v>2041415</v>
      </c>
      <c r="D176" s="588"/>
      <c r="E176" s="588"/>
      <c r="F176" s="588"/>
      <c r="G176" s="588"/>
      <c r="H176" s="588"/>
      <c r="I176" s="621"/>
      <c r="J176" s="587">
        <f t="shared" si="29"/>
        <v>79190903</v>
      </c>
      <c r="K176" s="587">
        <f t="shared" si="24"/>
        <v>0</v>
      </c>
      <c r="L176" s="587">
        <f t="shared" si="25"/>
        <v>0</v>
      </c>
      <c r="M176" s="587">
        <f t="shared" si="26"/>
        <v>0</v>
      </c>
      <c r="N176" s="587">
        <f t="shared" si="27"/>
        <v>0</v>
      </c>
      <c r="O176" s="587">
        <f t="shared" si="28"/>
        <v>0</v>
      </c>
    </row>
    <row r="177" spans="1:15" ht="13.5">
      <c r="A177" s="571"/>
      <c r="B177" s="572" t="s">
        <v>638</v>
      </c>
      <c r="C177" s="588">
        <v>49468688</v>
      </c>
      <c r="D177" s="588"/>
      <c r="E177" s="588"/>
      <c r="F177" s="588"/>
      <c r="G177" s="588"/>
      <c r="H177" s="588"/>
      <c r="I177" s="621"/>
      <c r="J177" s="587">
        <f t="shared" si="29"/>
        <v>128659591</v>
      </c>
      <c r="K177" s="587">
        <f t="shared" si="24"/>
        <v>0</v>
      </c>
      <c r="L177" s="587">
        <f t="shared" si="25"/>
        <v>0</v>
      </c>
      <c r="M177" s="587">
        <f t="shared" si="26"/>
        <v>0</v>
      </c>
      <c r="N177" s="587">
        <f t="shared" si="27"/>
        <v>0</v>
      </c>
      <c r="O177" s="587">
        <f t="shared" si="28"/>
        <v>0</v>
      </c>
    </row>
    <row r="178" spans="1:15" ht="13.5">
      <c r="A178" s="571"/>
      <c r="B178" s="572" t="s">
        <v>850</v>
      </c>
      <c r="C178" s="587">
        <f t="shared" ref="C178:H178" si="30">SUM(C166:C177)</f>
        <v>128659591</v>
      </c>
      <c r="D178" s="587">
        <f t="shared" si="30"/>
        <v>0</v>
      </c>
      <c r="E178" s="587">
        <f t="shared" si="30"/>
        <v>0</v>
      </c>
      <c r="F178" s="587">
        <f t="shared" si="30"/>
        <v>0</v>
      </c>
      <c r="G178" s="587">
        <f t="shared" si="30"/>
        <v>0</v>
      </c>
      <c r="H178" s="587">
        <f t="shared" si="30"/>
        <v>0</v>
      </c>
      <c r="I178" s="587" t="s">
        <v>79</v>
      </c>
      <c r="J178" s="587">
        <f t="shared" ref="J178:O178" si="31">AVERAGE(J166:J177)</f>
        <v>49336191.583333336</v>
      </c>
      <c r="K178" s="587">
        <f t="shared" si="31"/>
        <v>0</v>
      </c>
      <c r="L178" s="587">
        <f t="shared" si="31"/>
        <v>0</v>
      </c>
      <c r="M178" s="587">
        <f t="shared" si="31"/>
        <v>0</v>
      </c>
      <c r="N178" s="587">
        <f t="shared" si="31"/>
        <v>0</v>
      </c>
      <c r="O178" s="587">
        <f t="shared" si="31"/>
        <v>0</v>
      </c>
    </row>
    <row r="179" spans="1:15" ht="13.5">
      <c r="A179" s="571"/>
      <c r="C179" s="572"/>
      <c r="D179" s="419"/>
      <c r="E179" s="419"/>
      <c r="F179" s="419"/>
      <c r="G179" s="419"/>
      <c r="H179" s="419"/>
      <c r="I179" s="419"/>
      <c r="J179" s="419"/>
      <c r="K179" s="419"/>
      <c r="L179" s="589"/>
      <c r="M179" s="572"/>
      <c r="N179" s="572"/>
      <c r="O179" s="572"/>
    </row>
    <row r="180" spans="1:15" ht="15.75">
      <c r="A180" s="571" t="s">
        <v>759</v>
      </c>
      <c r="B180" s="572" t="s">
        <v>81</v>
      </c>
      <c r="C180" s="572"/>
      <c r="D180" s="419"/>
      <c r="E180" s="419"/>
      <c r="F180" s="419"/>
      <c r="G180" s="419"/>
      <c r="H180" s="419"/>
      <c r="I180" s="419"/>
      <c r="J180" s="572"/>
      <c r="K180" s="623" t="s">
        <v>80</v>
      </c>
      <c r="L180" s="419"/>
      <c r="M180" s="587">
        <f>SUM(J178:O178)</f>
        <v>49336191.583333336</v>
      </c>
      <c r="N180" s="1767" t="s">
        <v>1107</v>
      </c>
      <c r="O180" s="608"/>
    </row>
    <row r="181" spans="1:15" ht="13.5">
      <c r="A181" s="571"/>
      <c r="B181" s="572"/>
      <c r="C181" s="572"/>
      <c r="D181" s="419"/>
      <c r="E181" s="419"/>
      <c r="F181" s="419"/>
      <c r="G181" s="419"/>
      <c r="H181" s="419"/>
      <c r="I181" s="419"/>
      <c r="J181" s="572"/>
      <c r="K181" s="572"/>
      <c r="L181" s="587"/>
      <c r="M181" s="572"/>
      <c r="N181" s="419"/>
      <c r="O181" s="572"/>
    </row>
    <row r="182" spans="1:15" ht="13.5">
      <c r="A182" s="571"/>
      <c r="B182" s="571"/>
      <c r="C182" s="571"/>
      <c r="D182" s="572"/>
      <c r="E182" s="572"/>
      <c r="F182" s="419"/>
      <c r="G182" s="572"/>
      <c r="H182" s="572"/>
      <c r="I182" s="587"/>
      <c r="J182" s="572"/>
      <c r="K182" s="419"/>
      <c r="L182" s="572"/>
      <c r="M182" s="572"/>
      <c r="N182" s="590"/>
      <c r="O182" s="590"/>
    </row>
    <row r="183" spans="1:15" ht="13.5">
      <c r="A183" s="571"/>
      <c r="B183" s="571"/>
      <c r="C183" s="571"/>
      <c r="D183" s="593"/>
      <c r="E183" s="571"/>
      <c r="F183" s="587"/>
      <c r="G183" s="571"/>
      <c r="H183" s="587"/>
      <c r="I183" s="575"/>
      <c r="J183" s="608"/>
      <c r="K183" s="572"/>
      <c r="L183" s="572"/>
      <c r="M183" s="572"/>
      <c r="N183" s="572"/>
      <c r="O183" s="572"/>
    </row>
    <row r="184" spans="1:15" ht="13.5">
      <c r="A184" s="571">
        <v>10</v>
      </c>
      <c r="B184" s="571" t="s">
        <v>626</v>
      </c>
      <c r="C184" s="571" t="s">
        <v>601</v>
      </c>
      <c r="D184" s="578" t="s">
        <v>460</v>
      </c>
      <c r="E184" s="572"/>
      <c r="F184" s="572"/>
      <c r="G184" s="572"/>
      <c r="H184" s="572"/>
      <c r="I184" s="575"/>
      <c r="J184" s="576"/>
      <c r="K184" s="572"/>
      <c r="L184" s="572"/>
      <c r="M184" s="572"/>
      <c r="N184" s="572"/>
      <c r="O184" s="572"/>
    </row>
    <row r="185" spans="1:15" ht="13.5">
      <c r="A185" s="571"/>
      <c r="B185" s="571"/>
      <c r="C185" s="1546">
        <f>I157</f>
        <v>176602331.46037793</v>
      </c>
      <c r="D185" s="594"/>
      <c r="E185" s="572" t="s">
        <v>961</v>
      </c>
      <c r="F185" s="572"/>
      <c r="G185" s="572"/>
      <c r="H185" s="572"/>
      <c r="I185" s="576"/>
      <c r="J185" s="576"/>
      <c r="K185" s="572"/>
      <c r="L185" s="572"/>
      <c r="M185" s="572"/>
      <c r="N185" s="572"/>
      <c r="O185" s="572"/>
    </row>
    <row r="186" spans="1:15" ht="13.5">
      <c r="A186" s="571"/>
      <c r="B186" s="571"/>
      <c r="C186" s="571"/>
      <c r="D186" s="600"/>
      <c r="E186" s="593"/>
      <c r="F186" s="572"/>
      <c r="G186" s="572"/>
      <c r="H186" s="572"/>
      <c r="I186" s="576"/>
      <c r="J186" s="576"/>
      <c r="K186" s="572"/>
      <c r="L186" s="572"/>
      <c r="M186" s="572"/>
      <c r="N186" s="572"/>
      <c r="O186" s="572"/>
    </row>
    <row r="187" spans="1:15" ht="13.5">
      <c r="A187" s="571"/>
      <c r="B187" s="571"/>
      <c r="C187" s="571"/>
      <c r="D187" s="594"/>
      <c r="E187" s="572"/>
      <c r="F187" s="572"/>
      <c r="G187" s="572"/>
      <c r="H187" s="572"/>
      <c r="I187" s="576"/>
      <c r="J187" s="576"/>
      <c r="K187" s="572"/>
      <c r="L187" s="572"/>
      <c r="M187" s="572"/>
      <c r="N187" s="572"/>
      <c r="O187" s="572"/>
    </row>
    <row r="188" spans="1:15" ht="13.5">
      <c r="A188" s="571">
        <v>11</v>
      </c>
      <c r="B188" s="571" t="s">
        <v>627</v>
      </c>
      <c r="C188" s="571" t="s">
        <v>601</v>
      </c>
      <c r="D188" s="601" t="s">
        <v>1096</v>
      </c>
      <c r="E188" s="576"/>
      <c r="F188" s="576"/>
      <c r="G188" s="576"/>
      <c r="H188" s="576"/>
      <c r="I188" s="576"/>
      <c r="J188" s="576"/>
      <c r="K188" s="576"/>
      <c r="L188" s="576"/>
      <c r="M188" s="572"/>
      <c r="N188" s="572"/>
      <c r="O188" s="572"/>
    </row>
    <row r="189" spans="1:15" ht="13.5">
      <c r="A189" s="571"/>
      <c r="B189" s="571"/>
      <c r="C189" s="571"/>
      <c r="D189" s="1547">
        <f>C185</f>
        <v>176602331.46037793</v>
      </c>
      <c r="E189" s="572"/>
      <c r="F189" s="572"/>
      <c r="G189" s="572"/>
      <c r="H189" s="572"/>
      <c r="I189" s="572"/>
      <c r="J189" s="572"/>
      <c r="K189" s="572"/>
      <c r="L189" s="572"/>
      <c r="M189" s="572"/>
      <c r="N189" s="572"/>
      <c r="O189" s="572"/>
    </row>
    <row r="190" spans="1:15" ht="13.5">
      <c r="A190" s="571"/>
      <c r="B190" s="571"/>
      <c r="C190" s="571"/>
      <c r="D190" s="572"/>
      <c r="E190" s="572"/>
      <c r="F190" s="572"/>
      <c r="G190" s="572"/>
      <c r="H190" s="572"/>
      <c r="I190" s="572"/>
      <c r="J190" s="572"/>
      <c r="K190" s="572"/>
      <c r="L190" s="572"/>
      <c r="M190" s="572"/>
      <c r="N190" s="572"/>
      <c r="O190" s="572"/>
    </row>
    <row r="191" spans="1:15" ht="13.5">
      <c r="A191" s="571"/>
      <c r="B191" s="572"/>
      <c r="C191" s="571"/>
      <c r="D191" s="593"/>
      <c r="E191" s="572"/>
      <c r="F191" s="572"/>
      <c r="G191" s="572"/>
      <c r="H191" s="572"/>
      <c r="I191" s="572"/>
      <c r="J191" s="572"/>
      <c r="K191" s="572"/>
      <c r="L191" s="572"/>
      <c r="M191" s="572"/>
      <c r="N191" s="572"/>
      <c r="O191" s="572"/>
    </row>
    <row r="192" spans="1:15" ht="13.5">
      <c r="A192" s="571"/>
      <c r="B192" s="571"/>
      <c r="C192" s="571"/>
      <c r="D192" s="572"/>
      <c r="E192" s="572"/>
      <c r="F192" s="572"/>
      <c r="G192" s="572"/>
      <c r="H192" s="572"/>
      <c r="I192" s="572"/>
      <c r="J192" s="572"/>
      <c r="K192" s="572"/>
      <c r="L192" s="572"/>
      <c r="M192" s="572"/>
      <c r="N192" s="572"/>
      <c r="O192" s="572"/>
    </row>
    <row r="193" spans="1:15" ht="13.5">
      <c r="A193" s="571"/>
      <c r="B193" s="571"/>
      <c r="C193" s="571"/>
      <c r="D193" s="572"/>
      <c r="E193" s="572"/>
      <c r="F193" s="572"/>
      <c r="G193" s="572"/>
      <c r="H193" s="572"/>
      <c r="I193" s="572"/>
      <c r="J193" s="572"/>
      <c r="K193" s="572"/>
      <c r="L193" s="572"/>
      <c r="M193" s="572"/>
      <c r="N193" s="572"/>
      <c r="O193" s="572"/>
    </row>
    <row r="194" spans="1:15" ht="13.5">
      <c r="A194" s="571"/>
      <c r="B194" s="571"/>
      <c r="C194" s="571"/>
      <c r="D194" s="572"/>
      <c r="E194" s="572"/>
      <c r="F194" s="572"/>
      <c r="G194" s="572"/>
      <c r="H194" s="572"/>
      <c r="I194" s="572"/>
      <c r="J194" s="572"/>
      <c r="K194" s="572"/>
      <c r="L194" s="572"/>
      <c r="M194" s="572"/>
      <c r="N194" s="572"/>
      <c r="O194" s="572"/>
    </row>
    <row r="195" spans="1:15" ht="13.5">
      <c r="A195" s="571"/>
      <c r="B195" s="571"/>
      <c r="C195" s="571"/>
      <c r="D195" s="572"/>
      <c r="E195" s="572"/>
      <c r="F195" s="572"/>
      <c r="G195" s="572"/>
      <c r="H195" s="572"/>
      <c r="I195" s="572"/>
      <c r="J195" s="572"/>
      <c r="K195" s="572"/>
      <c r="L195" s="572"/>
      <c r="M195" s="572"/>
      <c r="N195" s="572"/>
      <c r="O195" s="572"/>
    </row>
    <row r="196" spans="1:15" ht="13.5">
      <c r="A196" s="571"/>
      <c r="B196" s="571"/>
      <c r="C196" s="571"/>
      <c r="D196" s="572"/>
      <c r="E196" s="572"/>
      <c r="F196" s="572"/>
      <c r="G196" s="572"/>
      <c r="H196" s="572"/>
      <c r="I196" s="572"/>
      <c r="J196" s="572"/>
      <c r="K196" s="572"/>
      <c r="L196" s="572"/>
      <c r="M196" s="572"/>
      <c r="N196" s="572"/>
      <c r="O196" s="572"/>
    </row>
    <row r="197" spans="1:15" ht="13.5">
      <c r="A197" s="571"/>
      <c r="B197" s="571"/>
      <c r="C197" s="571"/>
      <c r="D197" s="572"/>
      <c r="E197" s="572"/>
      <c r="F197" s="572"/>
      <c r="G197" s="572"/>
      <c r="H197" s="572"/>
      <c r="I197" s="572"/>
      <c r="J197" s="572"/>
      <c r="K197" s="572"/>
      <c r="L197" s="572"/>
      <c r="M197" s="572"/>
      <c r="N197" s="572"/>
      <c r="O197" s="572"/>
    </row>
    <row r="198" spans="1:15" ht="13.5">
      <c r="A198" s="571"/>
      <c r="B198" s="571"/>
      <c r="C198" s="571"/>
      <c r="D198" s="572"/>
      <c r="E198" s="572"/>
      <c r="F198" s="572"/>
      <c r="G198" s="572"/>
      <c r="H198" s="572"/>
      <c r="I198" s="572"/>
      <c r="J198" s="572"/>
      <c r="K198" s="572"/>
      <c r="L198" s="572"/>
      <c r="M198" s="572"/>
      <c r="N198" s="572"/>
      <c r="O198" s="572"/>
    </row>
    <row r="199" spans="1:15" ht="13.5">
      <c r="A199" s="571"/>
      <c r="B199" s="571"/>
      <c r="C199" s="571"/>
      <c r="D199" s="572"/>
      <c r="E199" s="572"/>
      <c r="F199" s="572"/>
      <c r="G199" s="572"/>
      <c r="H199" s="572"/>
      <c r="I199" s="572"/>
      <c r="J199" s="572"/>
      <c r="K199" s="572"/>
      <c r="L199" s="572"/>
      <c r="M199" s="572"/>
      <c r="N199" s="572"/>
      <c r="O199" s="572"/>
    </row>
    <row r="200" spans="1:15" ht="13.5">
      <c r="A200" s="571"/>
      <c r="B200" s="571"/>
      <c r="C200" s="571"/>
      <c r="D200" s="572"/>
      <c r="E200" s="572"/>
      <c r="F200" s="572"/>
      <c r="G200" s="572"/>
      <c r="H200" s="572"/>
      <c r="I200" s="572"/>
      <c r="J200" s="572"/>
      <c r="K200" s="572"/>
      <c r="L200" s="572"/>
      <c r="M200" s="572"/>
      <c r="N200" s="572"/>
      <c r="O200" s="572"/>
    </row>
    <row r="201" spans="1:15" ht="13.5">
      <c r="A201" s="571"/>
      <c r="B201" s="571"/>
      <c r="C201" s="571"/>
      <c r="D201" s="572"/>
      <c r="E201" s="572"/>
      <c r="F201" s="572"/>
      <c r="G201" s="572"/>
      <c r="H201" s="572"/>
      <c r="I201" s="572"/>
      <c r="J201" s="572"/>
      <c r="K201" s="572"/>
      <c r="L201" s="572"/>
      <c r="M201" s="572"/>
      <c r="N201" s="572"/>
      <c r="O201" s="572"/>
    </row>
    <row r="202" spans="1:15" ht="13.5">
      <c r="A202" s="571"/>
      <c r="B202" s="571"/>
      <c r="C202" s="571"/>
      <c r="D202" s="572"/>
      <c r="E202" s="572"/>
      <c r="F202" s="572"/>
      <c r="G202" s="572"/>
      <c r="H202" s="572"/>
      <c r="I202" s="572"/>
      <c r="J202" s="572"/>
      <c r="K202" s="572"/>
      <c r="L202" s="572"/>
      <c r="M202" s="572"/>
      <c r="N202" s="572"/>
      <c r="O202" s="572"/>
    </row>
    <row r="203" spans="1:15" ht="13.5">
      <c r="A203" s="571"/>
      <c r="B203" s="571"/>
      <c r="C203" s="571"/>
      <c r="D203" s="572"/>
      <c r="E203" s="572"/>
      <c r="F203" s="572"/>
      <c r="G203" s="572"/>
      <c r="H203" s="572"/>
      <c r="I203" s="572"/>
      <c r="J203" s="572"/>
      <c r="K203" s="572"/>
      <c r="L203" s="572"/>
      <c r="M203" s="572"/>
      <c r="N203" s="572"/>
      <c r="O203" s="572"/>
    </row>
    <row r="204" spans="1:15" ht="13.5">
      <c r="A204" s="571"/>
      <c r="B204" s="571"/>
      <c r="C204" s="571"/>
      <c r="D204" s="572"/>
      <c r="E204" s="572"/>
      <c r="F204" s="572"/>
      <c r="G204" s="572"/>
      <c r="H204" s="572"/>
      <c r="I204" s="572"/>
      <c r="J204" s="572"/>
      <c r="K204" s="572"/>
      <c r="L204" s="572"/>
      <c r="M204" s="572"/>
      <c r="N204" s="572"/>
      <c r="O204" s="572"/>
    </row>
    <row r="205" spans="1:15" ht="13.5">
      <c r="A205" s="571"/>
      <c r="B205" s="571"/>
      <c r="C205" s="571"/>
      <c r="D205" s="572"/>
      <c r="E205" s="572"/>
      <c r="F205" s="572"/>
      <c r="G205" s="572"/>
      <c r="H205" s="572"/>
      <c r="I205" s="572"/>
      <c r="J205" s="572"/>
      <c r="K205" s="572"/>
      <c r="L205" s="572"/>
      <c r="M205" s="572"/>
      <c r="N205" s="572"/>
      <c r="O205" s="572"/>
    </row>
    <row r="206" spans="1:15" ht="13.5">
      <c r="A206" s="571"/>
      <c r="B206" s="571"/>
      <c r="C206" s="571"/>
      <c r="D206" s="572"/>
      <c r="E206" s="572"/>
      <c r="F206" s="572"/>
      <c r="G206" s="572"/>
      <c r="H206" s="572"/>
      <c r="I206" s="572"/>
      <c r="J206" s="572"/>
      <c r="K206" s="572"/>
      <c r="L206" s="572"/>
      <c r="M206" s="572"/>
      <c r="N206" s="572"/>
      <c r="O206" s="572"/>
    </row>
    <row r="207" spans="1:15" ht="15.75">
      <c r="A207" s="619"/>
      <c r="B207" s="571"/>
      <c r="C207" s="571"/>
      <c r="D207" s="572"/>
      <c r="E207" s="572"/>
      <c r="F207" s="572"/>
      <c r="G207" s="572"/>
      <c r="H207" s="572"/>
      <c r="I207" s="572"/>
      <c r="J207" s="572"/>
      <c r="K207" s="572"/>
      <c r="L207" s="572"/>
      <c r="M207" s="572"/>
      <c r="N207" s="572"/>
      <c r="O207" s="572"/>
    </row>
    <row r="208" spans="1:15" ht="15.75">
      <c r="A208" s="619"/>
      <c r="B208" s="571"/>
      <c r="C208" s="571"/>
      <c r="D208" s="572"/>
      <c r="E208" s="572"/>
      <c r="F208" s="572"/>
      <c r="G208" s="572"/>
      <c r="H208" s="572"/>
      <c r="I208" s="572"/>
      <c r="J208" s="572"/>
      <c r="K208" s="572"/>
      <c r="L208" s="572"/>
      <c r="M208" s="572"/>
      <c r="N208" s="572"/>
      <c r="O208" s="572"/>
    </row>
    <row r="209" spans="1:15" ht="15.75">
      <c r="A209" s="619"/>
      <c r="B209" s="619"/>
      <c r="C209" s="619"/>
      <c r="D209" s="620"/>
      <c r="E209" s="620"/>
      <c r="F209" s="620"/>
      <c r="G209" s="620"/>
      <c r="H209" s="620"/>
      <c r="I209" s="620"/>
      <c r="J209" s="620"/>
      <c r="K209" s="620"/>
      <c r="L209" s="620"/>
      <c r="M209" s="620"/>
      <c r="N209" s="620"/>
      <c r="O209" s="620"/>
    </row>
    <row r="210" spans="1:15" ht="15.75">
      <c r="A210" s="619"/>
      <c r="B210" s="619"/>
      <c r="C210" s="619"/>
      <c r="D210" s="620"/>
      <c r="E210" s="620"/>
      <c r="F210" s="620"/>
      <c r="G210" s="620"/>
      <c r="H210" s="620"/>
      <c r="I210" s="620"/>
      <c r="J210" s="620"/>
      <c r="K210" s="620"/>
      <c r="L210" s="620"/>
      <c r="M210" s="620"/>
      <c r="N210" s="620"/>
      <c r="O210" s="620"/>
    </row>
    <row r="211" spans="1:15" ht="13.5">
      <c r="J211" s="572"/>
      <c r="K211" s="572"/>
    </row>
    <row r="212" spans="1:15" ht="13.5">
      <c r="J212" s="572"/>
      <c r="K212" s="572"/>
    </row>
    <row r="213" spans="1:15" ht="13.5">
      <c r="J213" s="572"/>
      <c r="K213" s="572"/>
    </row>
    <row r="214" spans="1:15" ht="13.5">
      <c r="J214" s="572"/>
      <c r="K214" s="572"/>
    </row>
    <row r="215" spans="1:15" ht="13.5">
      <c r="J215" s="572"/>
      <c r="K215" s="572"/>
    </row>
    <row r="216" spans="1:15" ht="13.5">
      <c r="J216" s="572"/>
      <c r="K216" s="572"/>
    </row>
    <row r="217" spans="1:15" ht="13.5">
      <c r="J217" s="572"/>
      <c r="K217" s="572"/>
    </row>
    <row r="218" spans="1:15" ht="13.5">
      <c r="J218" s="572"/>
      <c r="K218" s="572"/>
    </row>
    <row r="219" spans="1:15" ht="13.5">
      <c r="J219" s="572"/>
      <c r="K219" s="572"/>
    </row>
    <row r="220" spans="1:15" ht="13.5">
      <c r="J220" s="572"/>
      <c r="K220" s="572"/>
    </row>
    <row r="221" spans="1:15" ht="13.5">
      <c r="J221" s="572"/>
      <c r="K221" s="572"/>
    </row>
  </sheetData>
  <mergeCells count="3">
    <mergeCell ref="D119:E119"/>
    <mergeCell ref="A164:A176"/>
    <mergeCell ref="N81:N82"/>
  </mergeCells>
  <phoneticPr fontId="73" type="noConversion"/>
  <printOptions gridLines="1"/>
  <pageMargins left="0.78" right="0.7" top="0.32" bottom="0.5" header="0.3" footer="0.3"/>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9"/>
  <sheetViews>
    <sheetView zoomScale="75" zoomScaleNormal="75" workbookViewId="0">
      <selection activeCell="E75" sqref="E75"/>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9" ht="15">
      <c r="A2" s="1985" t="s">
        <v>447</v>
      </c>
      <c r="B2" s="1985"/>
      <c r="C2" s="1985"/>
      <c r="D2" s="1985"/>
      <c r="E2" s="1985"/>
      <c r="F2" s="1985"/>
      <c r="G2" s="1985"/>
      <c r="H2" s="1985"/>
      <c r="I2" s="1985"/>
      <c r="J2" s="1985"/>
      <c r="K2" s="1985"/>
      <c r="L2" s="1985"/>
      <c r="M2" s="1985"/>
      <c r="N2" s="1985"/>
      <c r="O2" s="1985"/>
      <c r="P2" s="1985"/>
      <c r="Q2" s="1985"/>
    </row>
    <row r="3" spans="1:29" ht="18">
      <c r="A3" s="2019" t="s">
        <v>418</v>
      </c>
      <c r="B3" s="2019"/>
      <c r="C3" s="2019"/>
      <c r="D3" s="2019"/>
      <c r="E3" s="2019"/>
      <c r="F3" s="2019"/>
      <c r="G3" s="2019"/>
      <c r="H3" s="2019"/>
      <c r="I3" s="2019"/>
      <c r="J3" s="2019"/>
      <c r="K3" s="2019"/>
      <c r="L3" s="2019"/>
      <c r="M3" s="2019"/>
      <c r="N3" s="2019"/>
      <c r="O3" s="2019"/>
      <c r="P3" s="2019"/>
      <c r="Q3" s="2019"/>
      <c r="R3" s="421"/>
      <c r="S3" s="421"/>
    </row>
    <row r="4" spans="1:29">
      <c r="A4" s="421"/>
      <c r="B4" s="421"/>
      <c r="C4" s="421"/>
      <c r="D4" s="421"/>
      <c r="E4" s="1764" t="s">
        <v>1103</v>
      </c>
      <c r="F4" s="1765">
        <v>2022</v>
      </c>
      <c r="G4" s="421"/>
      <c r="H4" s="421"/>
      <c r="I4" s="421"/>
      <c r="J4" s="421"/>
      <c r="K4" s="421"/>
      <c r="L4" s="421"/>
      <c r="M4" s="421"/>
      <c r="N4" s="421"/>
      <c r="O4" s="421"/>
      <c r="P4" s="421"/>
      <c r="Q4" s="421"/>
      <c r="R4" s="421"/>
      <c r="S4" s="421"/>
    </row>
    <row r="5" spans="1:29" ht="16.5">
      <c r="A5" s="420"/>
      <c r="B5" s="420"/>
      <c r="C5" s="420"/>
      <c r="D5" s="419"/>
      <c r="E5" s="1764" t="s">
        <v>1104</v>
      </c>
      <c r="F5" s="1766">
        <v>2023</v>
      </c>
      <c r="G5" s="419"/>
      <c r="H5" s="419"/>
      <c r="I5" s="419"/>
      <c r="J5" s="570"/>
      <c r="K5" s="419"/>
      <c r="L5" s="419"/>
      <c r="M5" s="419"/>
      <c r="N5" s="419"/>
      <c r="O5" s="419"/>
      <c r="P5" s="419"/>
      <c r="Q5" s="419"/>
      <c r="R5" s="419"/>
      <c r="S5" s="419"/>
      <c r="Y5" s="97"/>
      <c r="Z5" s="97"/>
      <c r="AA5" s="97"/>
      <c r="AB5" s="97"/>
      <c r="AC5" s="97"/>
    </row>
    <row r="6" spans="1:29" ht="13.5">
      <c r="A6" s="571" t="s">
        <v>620</v>
      </c>
      <c r="B6" s="571" t="s">
        <v>621</v>
      </c>
      <c r="C6" s="571" t="s">
        <v>622</v>
      </c>
      <c r="D6" s="571" t="s">
        <v>623</v>
      </c>
      <c r="E6" s="1764" t="s">
        <v>1105</v>
      </c>
      <c r="F6" s="1766">
        <v>2024</v>
      </c>
      <c r="G6" s="572"/>
      <c r="H6" s="572"/>
      <c r="I6" s="572"/>
      <c r="J6" s="572"/>
      <c r="K6" s="572"/>
      <c r="L6" s="572"/>
      <c r="M6" s="572"/>
      <c r="N6" s="572"/>
      <c r="O6" s="572"/>
      <c r="P6" s="572"/>
      <c r="Q6" s="572"/>
      <c r="R6" s="572"/>
      <c r="S6" s="572"/>
      <c r="Y6" s="596"/>
      <c r="Z6" s="596"/>
      <c r="AA6" s="596"/>
      <c r="AB6" s="596"/>
      <c r="AC6" s="97"/>
    </row>
    <row r="7" spans="1:29" ht="13.5">
      <c r="A7" s="420"/>
      <c r="B7" s="571"/>
      <c r="C7" s="571"/>
      <c r="D7" s="572"/>
      <c r="E7" s="572"/>
      <c r="F7" s="572"/>
      <c r="G7" s="572"/>
      <c r="H7" s="572"/>
      <c r="I7" s="572"/>
      <c r="J7" s="572"/>
      <c r="K7" s="572"/>
      <c r="L7" s="572"/>
      <c r="M7" s="572"/>
      <c r="N7" s="572"/>
      <c r="O7" s="572"/>
      <c r="P7" s="572"/>
      <c r="Q7" s="572"/>
      <c r="R7" s="572"/>
      <c r="S7" s="572"/>
      <c r="Y7" s="843"/>
      <c r="Z7" s="843"/>
      <c r="AA7" s="843"/>
      <c r="AB7" s="843"/>
      <c r="AC7" s="97"/>
    </row>
    <row r="8" spans="1:29" ht="13.5">
      <c r="A8" s="573" t="s">
        <v>624</v>
      </c>
      <c r="B8" s="571"/>
      <c r="C8" s="571"/>
      <c r="D8" s="572"/>
      <c r="E8" s="572"/>
      <c r="F8" s="572"/>
      <c r="G8" s="572"/>
      <c r="H8" s="572"/>
      <c r="I8" s="572"/>
      <c r="J8" s="572"/>
      <c r="K8" s="572"/>
      <c r="L8" s="572"/>
      <c r="M8" s="572"/>
      <c r="N8" s="572"/>
      <c r="S8" s="572"/>
      <c r="Y8" s="843"/>
      <c r="Z8" s="843"/>
      <c r="AA8" s="843"/>
      <c r="AB8" s="843"/>
      <c r="AC8" s="97"/>
    </row>
    <row r="9" spans="1:29" ht="15.75">
      <c r="A9" s="574">
        <v>1</v>
      </c>
      <c r="B9" s="574" t="s">
        <v>625</v>
      </c>
      <c r="C9" s="574" t="s">
        <v>600</v>
      </c>
      <c r="D9" s="1777" t="s">
        <v>1090</v>
      </c>
      <c r="E9" s="576"/>
      <c r="F9" s="576"/>
      <c r="G9" s="576"/>
      <c r="H9" s="576"/>
      <c r="I9" s="576"/>
      <c r="J9" s="576"/>
      <c r="K9" s="576"/>
      <c r="L9" s="576"/>
      <c r="M9" s="576"/>
      <c r="N9" s="576"/>
      <c r="S9" s="576"/>
      <c r="Y9" s="843"/>
      <c r="Z9" s="844"/>
      <c r="AA9" s="844"/>
      <c r="AB9" s="845"/>
      <c r="AC9" s="97"/>
    </row>
    <row r="10" spans="1:29" ht="13.5">
      <c r="A10" s="574">
        <v>2</v>
      </c>
      <c r="B10" s="574" t="s">
        <v>625</v>
      </c>
      <c r="C10" s="574" t="s">
        <v>600</v>
      </c>
      <c r="D10" t="s">
        <v>1091</v>
      </c>
      <c r="E10" s="576"/>
      <c r="F10" s="576"/>
      <c r="G10" s="576"/>
      <c r="H10" s="576"/>
      <c r="I10" s="576"/>
      <c r="J10" s="576"/>
      <c r="K10" s="576"/>
      <c r="L10" s="576"/>
      <c r="M10" s="576"/>
      <c r="N10" s="576"/>
      <c r="S10" s="576"/>
      <c r="Y10" s="843"/>
      <c r="Z10" s="844"/>
      <c r="AA10" s="844"/>
      <c r="AB10" s="845"/>
      <c r="AC10" s="97"/>
    </row>
    <row r="11" spans="1:29" ht="13.5">
      <c r="A11" s="574">
        <v>3</v>
      </c>
      <c r="B11" s="574" t="s">
        <v>625</v>
      </c>
      <c r="C11" s="574" t="s">
        <v>600</v>
      </c>
      <c r="D11" t="s">
        <v>1092</v>
      </c>
      <c r="E11" s="576"/>
      <c r="F11" s="576"/>
      <c r="G11" s="576"/>
      <c r="H11" s="576"/>
      <c r="I11" s="576"/>
      <c r="J11" s="576"/>
      <c r="K11" s="576"/>
      <c r="L11" s="576"/>
      <c r="M11" s="576"/>
      <c r="N11" s="576"/>
      <c r="S11" s="576"/>
      <c r="Y11" s="843"/>
      <c r="Z11" s="844"/>
      <c r="AA11" s="844"/>
      <c r="AB11" s="845"/>
      <c r="AC11" s="97"/>
    </row>
    <row r="12" spans="1:29" ht="13.5">
      <c r="A12" s="574">
        <v>4</v>
      </c>
      <c r="B12" s="574" t="s">
        <v>626</v>
      </c>
      <c r="C12" s="574" t="s">
        <v>600</v>
      </c>
      <c r="D12" t="s">
        <v>961</v>
      </c>
      <c r="E12" s="576"/>
      <c r="F12" s="576"/>
      <c r="G12" s="576"/>
      <c r="H12" s="576"/>
      <c r="I12" s="576"/>
      <c r="J12" s="576"/>
      <c r="K12" s="576"/>
      <c r="L12" s="576"/>
      <c r="M12" s="576"/>
      <c r="N12" s="576"/>
      <c r="S12" s="576"/>
      <c r="Y12" s="596"/>
      <c r="Z12" s="846"/>
      <c r="AA12" s="846"/>
      <c r="AB12" s="845"/>
      <c r="AC12" s="97"/>
    </row>
    <row r="13" spans="1:29" ht="13.5">
      <c r="A13" s="574">
        <v>5</v>
      </c>
      <c r="B13" s="577" t="s">
        <v>627</v>
      </c>
      <c r="C13" s="574" t="s">
        <v>600</v>
      </c>
      <c r="D13" t="s">
        <v>1093</v>
      </c>
      <c r="E13" s="576"/>
      <c r="F13" s="576"/>
      <c r="G13" s="576"/>
      <c r="H13" s="576"/>
      <c r="I13" s="576"/>
      <c r="J13" s="576"/>
      <c r="K13" s="576"/>
      <c r="L13" s="576"/>
      <c r="M13" s="576"/>
      <c r="N13" s="576"/>
      <c r="S13" s="576"/>
      <c r="Y13" s="596"/>
      <c r="Z13" s="846"/>
      <c r="AA13" s="846"/>
      <c r="AB13" s="845"/>
      <c r="AC13" s="97"/>
    </row>
    <row r="14" spans="1:29" ht="13.5">
      <c r="A14" s="571">
        <v>6</v>
      </c>
      <c r="B14" s="571" t="s">
        <v>625</v>
      </c>
      <c r="C14" s="574" t="s">
        <v>601</v>
      </c>
      <c r="D14" t="s">
        <v>1094</v>
      </c>
      <c r="E14" s="572"/>
      <c r="F14" s="572"/>
      <c r="G14" s="572"/>
      <c r="H14" s="572"/>
      <c r="I14" s="572"/>
      <c r="J14" s="572"/>
      <c r="K14" s="572"/>
      <c r="L14" s="572"/>
      <c r="M14" s="572"/>
      <c r="N14" s="572"/>
      <c r="S14" s="572"/>
      <c r="Y14" s="596"/>
      <c r="Z14" s="846"/>
      <c r="AA14" s="846"/>
      <c r="AB14" s="845"/>
      <c r="AC14" s="97"/>
    </row>
    <row r="15" spans="1:29" ht="13.5">
      <c r="A15" s="571">
        <v>7</v>
      </c>
      <c r="B15" s="571" t="s">
        <v>625</v>
      </c>
      <c r="C15" s="574" t="s">
        <v>601</v>
      </c>
      <c r="D15" t="s">
        <v>994</v>
      </c>
      <c r="E15" s="579"/>
      <c r="F15" s="579"/>
      <c r="G15" s="579"/>
      <c r="H15" s="579"/>
      <c r="I15" s="579"/>
      <c r="J15" s="579"/>
      <c r="K15" s="572"/>
      <c r="L15" s="572"/>
      <c r="M15" s="572"/>
      <c r="N15" s="572"/>
      <c r="S15" s="572"/>
      <c r="Y15" s="596"/>
      <c r="Z15" s="846"/>
      <c r="AA15" s="846"/>
      <c r="AB15" s="845"/>
      <c r="AC15" s="97"/>
    </row>
    <row r="16" spans="1:29" ht="13.5">
      <c r="A16" s="571">
        <v>8</v>
      </c>
      <c r="B16" s="571" t="s">
        <v>625</v>
      </c>
      <c r="C16" s="574" t="s">
        <v>601</v>
      </c>
      <c r="D16" t="s">
        <v>980</v>
      </c>
      <c r="E16" s="572"/>
      <c r="F16" s="572"/>
      <c r="G16" s="572"/>
      <c r="H16" s="572"/>
      <c r="I16" s="572"/>
      <c r="J16" s="572"/>
      <c r="K16" s="572"/>
      <c r="L16" s="572"/>
      <c r="M16" s="572"/>
      <c r="N16" s="572"/>
      <c r="S16" s="572"/>
      <c r="Y16" s="596"/>
      <c r="Z16" s="846"/>
      <c r="AA16" s="846"/>
      <c r="AB16" s="845"/>
      <c r="AC16" s="97"/>
    </row>
    <row r="17" spans="1:29" ht="13.5">
      <c r="A17" s="571">
        <v>9</v>
      </c>
      <c r="B17" s="571" t="s">
        <v>625</v>
      </c>
      <c r="C17" s="574" t="s">
        <v>601</v>
      </c>
      <c r="D17" t="s">
        <v>1095</v>
      </c>
      <c r="E17" s="572"/>
      <c r="F17" s="572"/>
      <c r="G17" s="572"/>
      <c r="H17" s="572"/>
      <c r="I17" s="572"/>
      <c r="J17" s="572"/>
      <c r="K17" s="572"/>
      <c r="L17" s="572"/>
      <c r="M17" s="572"/>
      <c r="N17" s="572"/>
      <c r="S17" s="572"/>
      <c r="Y17" s="596"/>
      <c r="Z17" s="846"/>
      <c r="AA17" s="846"/>
      <c r="AB17" s="845"/>
      <c r="AC17" s="97"/>
    </row>
    <row r="18" spans="1:29" ht="13.5">
      <c r="A18" s="571">
        <v>10</v>
      </c>
      <c r="B18" s="571" t="s">
        <v>626</v>
      </c>
      <c r="C18" s="574" t="s">
        <v>601</v>
      </c>
      <c r="D18" t="s">
        <v>460</v>
      </c>
      <c r="E18" s="572"/>
      <c r="F18" s="572"/>
      <c r="G18" s="572"/>
      <c r="H18" s="572"/>
      <c r="I18" s="572"/>
      <c r="J18" s="572"/>
      <c r="K18" s="572"/>
      <c r="L18" s="572"/>
      <c r="M18" s="572"/>
      <c r="N18" s="572"/>
      <c r="S18" s="572"/>
      <c r="Y18" s="596"/>
      <c r="Z18" s="846"/>
      <c r="AA18" s="846"/>
      <c r="AB18" s="845"/>
      <c r="AC18" s="97"/>
    </row>
    <row r="19" spans="1:29" ht="13.5">
      <c r="A19" s="571">
        <v>11</v>
      </c>
      <c r="B19" s="580" t="s">
        <v>627</v>
      </c>
      <c r="C19" s="574" t="s">
        <v>601</v>
      </c>
      <c r="D19" t="s">
        <v>1096</v>
      </c>
      <c r="E19" s="572"/>
      <c r="F19" s="572"/>
      <c r="G19" s="572"/>
      <c r="H19" s="572"/>
      <c r="I19" s="572"/>
      <c r="J19" s="572"/>
      <c r="K19" s="572"/>
      <c r="L19" s="572"/>
      <c r="M19" s="572"/>
      <c r="N19" s="572"/>
      <c r="S19" s="572"/>
      <c r="Y19" s="596"/>
      <c r="Z19" s="846"/>
      <c r="AA19" s="846"/>
      <c r="AB19" s="846"/>
      <c r="AC19" s="97"/>
    </row>
    <row r="20" spans="1:29" ht="13.5">
      <c r="A20" s="571"/>
      <c r="B20" s="580"/>
      <c r="C20" s="571"/>
      <c r="D20" s="578"/>
      <c r="E20" s="572"/>
      <c r="F20" s="572"/>
      <c r="G20" s="572"/>
      <c r="H20" s="572"/>
      <c r="I20" s="572"/>
      <c r="J20" s="572"/>
      <c r="K20" s="572"/>
      <c r="L20" s="572"/>
      <c r="M20" s="572"/>
      <c r="N20" s="572"/>
      <c r="S20" s="572"/>
      <c r="Y20" s="596"/>
      <c r="Z20" s="596"/>
      <c r="AA20" s="596"/>
      <c r="AB20" s="596"/>
      <c r="AC20" s="97"/>
    </row>
    <row r="21" spans="1:29" ht="13.5">
      <c r="A21" s="581"/>
      <c r="B21" s="574"/>
      <c r="C21" s="571"/>
      <c r="D21" s="582"/>
      <c r="E21" s="572"/>
      <c r="F21" s="572"/>
      <c r="G21" s="572"/>
      <c r="H21" s="572"/>
      <c r="I21" s="572"/>
      <c r="J21" s="572"/>
      <c r="K21" s="572"/>
      <c r="L21" s="572"/>
      <c r="M21" s="572"/>
      <c r="N21" s="572"/>
      <c r="S21" s="572"/>
      <c r="Y21" s="572"/>
      <c r="Z21" s="572"/>
      <c r="AA21" s="572"/>
      <c r="AB21" s="572"/>
    </row>
    <row r="22" spans="1:29" ht="13.5">
      <c r="A22" s="571">
        <v>1</v>
      </c>
      <c r="B22" s="571" t="s">
        <v>625</v>
      </c>
      <c r="C22" s="571" t="s">
        <v>600</v>
      </c>
      <c r="D22" s="572" t="s">
        <v>959</v>
      </c>
      <c r="E22" s="572"/>
      <c r="F22" s="572"/>
      <c r="G22" s="572"/>
      <c r="H22" s="572"/>
      <c r="I22" s="572"/>
      <c r="J22" s="419"/>
      <c r="K22" s="572"/>
      <c r="L22" s="572"/>
      <c r="M22" s="572"/>
      <c r="N22" s="572"/>
      <c r="S22" s="572"/>
    </row>
    <row r="23" spans="1:29" ht="13.5">
      <c r="A23" s="571"/>
      <c r="B23" s="571"/>
      <c r="C23" s="571"/>
      <c r="D23" s="583"/>
      <c r="E23" s="572" t="s">
        <v>366</v>
      </c>
      <c r="F23" s="572"/>
      <c r="G23" s="1778" t="s">
        <v>1087</v>
      </c>
      <c r="H23" s="1499"/>
      <c r="I23" s="1499"/>
      <c r="J23" s="1499"/>
      <c r="K23" s="1499"/>
      <c r="L23" s="572"/>
      <c r="M23" s="572"/>
      <c r="N23" s="572"/>
      <c r="S23" s="572"/>
    </row>
    <row r="24" spans="1:29" ht="13.5">
      <c r="A24" s="571"/>
      <c r="B24" s="571"/>
      <c r="C24" s="571"/>
      <c r="D24" s="585"/>
      <c r="E24" s="572"/>
      <c r="F24" s="572"/>
      <c r="G24" s="572"/>
      <c r="H24" s="572"/>
      <c r="I24" s="572"/>
      <c r="J24" s="572"/>
      <c r="K24" s="572"/>
      <c r="L24" s="572"/>
      <c r="M24" s="572"/>
      <c r="N24" s="572"/>
      <c r="O24" s="572"/>
      <c r="P24" s="572"/>
      <c r="Q24" s="572"/>
      <c r="R24" s="572"/>
      <c r="S24" s="572"/>
    </row>
    <row r="25" spans="1:29" ht="13.5">
      <c r="A25" s="571">
        <v>2</v>
      </c>
      <c r="B25" s="571" t="s">
        <v>625</v>
      </c>
      <c r="C25" s="571" t="s">
        <v>600</v>
      </c>
      <c r="D25" s="578" t="s">
        <v>960</v>
      </c>
      <c r="E25" s="572"/>
      <c r="F25" s="572"/>
      <c r="G25" s="572"/>
      <c r="H25" s="572"/>
      <c r="I25" s="572"/>
      <c r="J25" s="419"/>
      <c r="K25" s="572"/>
      <c r="L25" s="572"/>
      <c r="M25" s="572"/>
      <c r="N25" s="572"/>
      <c r="O25" s="572"/>
      <c r="P25" s="572"/>
      <c r="Q25" s="572"/>
      <c r="R25" s="572"/>
      <c r="S25" s="572"/>
    </row>
    <row r="26" spans="1:29" ht="13.5">
      <c r="A26" s="571"/>
      <c r="C26" s="571"/>
      <c r="D26" s="578"/>
      <c r="E26" s="572"/>
      <c r="F26" s="572"/>
      <c r="G26" s="572"/>
      <c r="H26" s="572"/>
      <c r="I26" s="572"/>
      <c r="J26" s="419"/>
      <c r="K26" s="572"/>
      <c r="L26" s="572"/>
      <c r="M26" s="572"/>
      <c r="N26" s="572"/>
      <c r="O26" s="572"/>
      <c r="P26" s="572"/>
      <c r="Q26" s="572"/>
      <c r="R26" s="572"/>
      <c r="S26" s="572"/>
    </row>
    <row r="27" spans="1:29" ht="13.5">
      <c r="A27" s="571"/>
      <c r="B27" s="419"/>
      <c r="C27" s="478" t="s">
        <v>263</v>
      </c>
      <c r="D27" s="478" t="s">
        <v>264</v>
      </c>
      <c r="E27" s="478" t="s">
        <v>356</v>
      </c>
      <c r="F27" s="478" t="s">
        <v>265</v>
      </c>
      <c r="G27" s="478" t="s">
        <v>266</v>
      </c>
      <c r="H27" s="478" t="s">
        <v>262</v>
      </c>
      <c r="I27" s="478"/>
      <c r="J27" s="478" t="s">
        <v>569</v>
      </c>
      <c r="K27" s="478" t="s">
        <v>570</v>
      </c>
      <c r="L27" s="478" t="s">
        <v>962</v>
      </c>
      <c r="M27" s="574" t="s">
        <v>963</v>
      </c>
      <c r="N27" s="571" t="s">
        <v>964</v>
      </c>
      <c r="O27" s="571" t="s">
        <v>965</v>
      </c>
      <c r="P27" s="571"/>
      <c r="Q27" s="574"/>
      <c r="R27" s="574"/>
      <c r="S27" s="571"/>
    </row>
    <row r="28" spans="1:29" ht="13.5">
      <c r="A28" s="571"/>
      <c r="B28" s="419"/>
      <c r="C28" s="571" t="s">
        <v>219</v>
      </c>
      <c r="D28" s="571" t="s">
        <v>219</v>
      </c>
      <c r="E28" s="571" t="s">
        <v>219</v>
      </c>
      <c r="F28" s="571" t="s">
        <v>219</v>
      </c>
      <c r="G28" s="571" t="s">
        <v>219</v>
      </c>
      <c r="H28" s="571" t="s">
        <v>219</v>
      </c>
      <c r="I28" s="571"/>
      <c r="J28" s="571" t="s">
        <v>72</v>
      </c>
      <c r="K28" s="571" t="s">
        <v>72</v>
      </c>
      <c r="L28" s="571" t="s">
        <v>72</v>
      </c>
      <c r="M28" s="571" t="s">
        <v>72</v>
      </c>
      <c r="N28" s="571" t="s">
        <v>72</v>
      </c>
      <c r="O28" s="571" t="s">
        <v>72</v>
      </c>
      <c r="P28" s="571"/>
      <c r="Q28" s="574"/>
      <c r="R28" s="2"/>
    </row>
    <row r="29" spans="1:29" ht="13.5">
      <c r="A29" s="571"/>
      <c r="B29" s="572"/>
      <c r="C29" s="571" t="s">
        <v>68</v>
      </c>
      <c r="D29" s="571" t="s">
        <v>68</v>
      </c>
      <c r="E29" s="571" t="s">
        <v>68</v>
      </c>
      <c r="F29" s="571" t="s">
        <v>68</v>
      </c>
      <c r="G29" s="622"/>
      <c r="H29" s="622"/>
      <c r="I29" s="571"/>
      <c r="J29" s="571" t="s">
        <v>73</v>
      </c>
      <c r="K29" s="571" t="s">
        <v>74</v>
      </c>
      <c r="L29" s="571" t="s">
        <v>75</v>
      </c>
      <c r="M29" s="571" t="s">
        <v>76</v>
      </c>
      <c r="N29" s="571" t="s">
        <v>77</v>
      </c>
      <c r="O29" s="571" t="s">
        <v>78</v>
      </c>
      <c r="P29" s="571"/>
      <c r="Q29" s="576"/>
      <c r="R29" s="2"/>
    </row>
    <row r="30" spans="1:29" ht="13.5">
      <c r="A30" s="571"/>
      <c r="B30" s="572"/>
      <c r="C30" s="571"/>
      <c r="D30" s="571"/>
      <c r="E30" s="571"/>
      <c r="F30" s="571"/>
      <c r="G30" s="571" t="s">
        <v>69</v>
      </c>
      <c r="H30" s="571" t="s">
        <v>70</v>
      </c>
      <c r="I30" s="571"/>
      <c r="J30" s="571"/>
      <c r="K30" s="571"/>
      <c r="L30" s="571"/>
      <c r="M30" s="571"/>
      <c r="N30" s="571"/>
      <c r="O30" s="571"/>
      <c r="Q30" s="576"/>
      <c r="R30" s="2"/>
    </row>
    <row r="31" spans="1:29" ht="13.5">
      <c r="A31" s="571"/>
      <c r="B31" s="572"/>
      <c r="C31" s="571"/>
      <c r="D31" s="586"/>
      <c r="E31" s="586"/>
      <c r="F31" s="586"/>
      <c r="G31" s="571"/>
      <c r="H31" s="571"/>
      <c r="I31" s="621"/>
      <c r="J31" s="571"/>
      <c r="K31" s="571"/>
      <c r="L31" s="587"/>
      <c r="M31" s="571"/>
      <c r="N31" s="571"/>
      <c r="O31" s="582"/>
      <c r="Q31" s="576"/>
      <c r="R31" s="2"/>
    </row>
    <row r="32" spans="1:29" ht="13.5">
      <c r="A32" s="571"/>
      <c r="B32" s="572" t="s">
        <v>628</v>
      </c>
      <c r="C32" s="842"/>
      <c r="D32" s="588"/>
      <c r="E32" s="588"/>
      <c r="F32" s="588"/>
      <c r="G32" s="588"/>
      <c r="H32" s="588"/>
      <c r="I32" s="621"/>
      <c r="J32" s="587">
        <f t="shared" ref="J32:O32" si="0">C32</f>
        <v>0</v>
      </c>
      <c r="K32" s="587">
        <f t="shared" si="0"/>
        <v>0</v>
      </c>
      <c r="L32" s="587">
        <f t="shared" si="0"/>
        <v>0</v>
      </c>
      <c r="M32" s="587">
        <f t="shared" si="0"/>
        <v>0</v>
      </c>
      <c r="N32" s="587">
        <f t="shared" si="0"/>
        <v>0</v>
      </c>
      <c r="O32" s="587">
        <f t="shared" si="0"/>
        <v>0</v>
      </c>
      <c r="P32" s="587"/>
      <c r="Q32" s="576"/>
      <c r="R32" s="2"/>
    </row>
    <row r="33" spans="1:18" ht="13.5">
      <c r="A33" s="571"/>
      <c r="B33" s="572" t="s">
        <v>629</v>
      </c>
      <c r="C33" s="842"/>
      <c r="D33" s="588"/>
      <c r="E33" s="588"/>
      <c r="F33" s="588"/>
      <c r="G33" s="588"/>
      <c r="H33" s="588"/>
      <c r="I33" s="621"/>
      <c r="J33" s="587">
        <f>J32+C33</f>
        <v>0</v>
      </c>
      <c r="K33" s="587">
        <f t="shared" ref="K33:O43" si="1">K32+D33</f>
        <v>0</v>
      </c>
      <c r="L33" s="587">
        <f t="shared" si="1"/>
        <v>0</v>
      </c>
      <c r="M33" s="587">
        <f t="shared" si="1"/>
        <v>0</v>
      </c>
      <c r="N33" s="587">
        <f t="shared" si="1"/>
        <v>0</v>
      </c>
      <c r="O33" s="587">
        <f t="shared" si="1"/>
        <v>0</v>
      </c>
      <c r="P33" s="587"/>
      <c r="Q33" s="576"/>
      <c r="R33" s="2"/>
    </row>
    <row r="34" spans="1:18" ht="13.5">
      <c r="A34" s="571"/>
      <c r="B34" s="572" t="s">
        <v>630</v>
      </c>
      <c r="C34" s="842"/>
      <c r="D34" s="588"/>
      <c r="E34" s="588"/>
      <c r="F34" s="588"/>
      <c r="G34" s="588"/>
      <c r="H34" s="588"/>
      <c r="I34" s="621"/>
      <c r="J34" s="587">
        <f t="shared" ref="J34:J43" si="2">J33+C34</f>
        <v>0</v>
      </c>
      <c r="K34" s="587">
        <f t="shared" si="1"/>
        <v>0</v>
      </c>
      <c r="L34" s="587">
        <f t="shared" si="1"/>
        <v>0</v>
      </c>
      <c r="M34" s="587">
        <f t="shared" si="1"/>
        <v>0</v>
      </c>
      <c r="N34" s="587">
        <f t="shared" si="1"/>
        <v>0</v>
      </c>
      <c r="O34" s="587">
        <f t="shared" si="1"/>
        <v>0</v>
      </c>
      <c r="P34" s="587"/>
      <c r="Q34" s="576"/>
      <c r="R34" s="2"/>
    </row>
    <row r="35" spans="1:18" ht="13.5">
      <c r="A35" s="571"/>
      <c r="B35" s="572" t="s">
        <v>631</v>
      </c>
      <c r="C35" s="842"/>
      <c r="D35" s="588"/>
      <c r="E35" s="588"/>
      <c r="F35" s="588"/>
      <c r="G35" s="588"/>
      <c r="H35" s="588"/>
      <c r="I35" s="621"/>
      <c r="J35" s="587">
        <f t="shared" si="2"/>
        <v>0</v>
      </c>
      <c r="K35" s="587">
        <f t="shared" si="1"/>
        <v>0</v>
      </c>
      <c r="L35" s="587">
        <f t="shared" si="1"/>
        <v>0</v>
      </c>
      <c r="M35" s="587">
        <f t="shared" si="1"/>
        <v>0</v>
      </c>
      <c r="N35" s="587">
        <f t="shared" si="1"/>
        <v>0</v>
      </c>
      <c r="O35" s="587">
        <f t="shared" si="1"/>
        <v>0</v>
      </c>
      <c r="P35" s="587"/>
      <c r="Q35" s="576"/>
      <c r="R35" s="2"/>
    </row>
    <row r="36" spans="1:18" ht="13.5">
      <c r="A36" s="571"/>
      <c r="B36" s="572" t="s">
        <v>626</v>
      </c>
      <c r="C36" s="842"/>
      <c r="D36" s="588"/>
      <c r="E36" s="588"/>
      <c r="F36" s="588"/>
      <c r="G36" s="588"/>
      <c r="H36" s="588"/>
      <c r="I36" s="621"/>
      <c r="J36" s="587">
        <f t="shared" si="2"/>
        <v>0</v>
      </c>
      <c r="K36" s="587">
        <f t="shared" si="1"/>
        <v>0</v>
      </c>
      <c r="L36" s="587">
        <f t="shared" si="1"/>
        <v>0</v>
      </c>
      <c r="M36" s="587">
        <f t="shared" si="1"/>
        <v>0</v>
      </c>
      <c r="N36" s="587">
        <f t="shared" si="1"/>
        <v>0</v>
      </c>
      <c r="O36" s="587">
        <f t="shared" si="1"/>
        <v>0</v>
      </c>
      <c r="P36" s="587"/>
      <c r="Q36" s="576"/>
      <c r="R36" s="2"/>
    </row>
    <row r="37" spans="1:18" ht="13.5">
      <c r="A37" s="571"/>
      <c r="B37" s="572" t="s">
        <v>632</v>
      </c>
      <c r="C37" s="842"/>
      <c r="D37" s="588"/>
      <c r="E37" s="588"/>
      <c r="F37" s="588"/>
      <c r="G37" s="588"/>
      <c r="H37" s="588"/>
      <c r="I37" s="621"/>
      <c r="J37" s="587">
        <f t="shared" si="2"/>
        <v>0</v>
      </c>
      <c r="K37" s="587">
        <f t="shared" si="1"/>
        <v>0</v>
      </c>
      <c r="L37" s="587">
        <f t="shared" si="1"/>
        <v>0</v>
      </c>
      <c r="M37" s="587">
        <f t="shared" si="1"/>
        <v>0</v>
      </c>
      <c r="N37" s="587">
        <f t="shared" si="1"/>
        <v>0</v>
      </c>
      <c r="O37" s="587">
        <f t="shared" si="1"/>
        <v>0</v>
      </c>
      <c r="P37" s="587"/>
      <c r="Q37" s="576"/>
      <c r="R37" s="2"/>
    </row>
    <row r="38" spans="1:18" ht="13.5">
      <c r="A38" s="571"/>
      <c r="B38" s="572" t="s">
        <v>633</v>
      </c>
      <c r="C38" s="842"/>
      <c r="D38" s="588"/>
      <c r="E38" s="588"/>
      <c r="F38" s="588"/>
      <c r="G38" s="588"/>
      <c r="H38" s="588"/>
      <c r="I38" s="621"/>
      <c r="J38" s="587">
        <f t="shared" si="2"/>
        <v>0</v>
      </c>
      <c r="K38" s="587">
        <f t="shared" si="1"/>
        <v>0</v>
      </c>
      <c r="L38" s="587">
        <f t="shared" si="1"/>
        <v>0</v>
      </c>
      <c r="M38" s="587">
        <f t="shared" si="1"/>
        <v>0</v>
      </c>
      <c r="N38" s="587">
        <f t="shared" si="1"/>
        <v>0</v>
      </c>
      <c r="O38" s="587">
        <f t="shared" si="1"/>
        <v>0</v>
      </c>
      <c r="P38" s="587"/>
      <c r="Q38" s="576"/>
      <c r="R38" s="2"/>
    </row>
    <row r="39" spans="1:18" ht="13.5">
      <c r="A39" s="571"/>
      <c r="B39" s="572" t="s">
        <v>634</v>
      </c>
      <c r="C39" s="842"/>
      <c r="D39" s="588"/>
      <c r="E39" s="588"/>
      <c r="F39" s="588"/>
      <c r="G39" s="588"/>
      <c r="H39" s="588"/>
      <c r="I39" s="621"/>
      <c r="J39" s="587">
        <f t="shared" si="2"/>
        <v>0</v>
      </c>
      <c r="K39" s="587">
        <f t="shared" si="1"/>
        <v>0</v>
      </c>
      <c r="L39" s="587">
        <f t="shared" si="1"/>
        <v>0</v>
      </c>
      <c r="M39" s="587">
        <f t="shared" si="1"/>
        <v>0</v>
      </c>
      <c r="N39" s="587">
        <f t="shared" si="1"/>
        <v>0</v>
      </c>
      <c r="O39" s="587">
        <f t="shared" si="1"/>
        <v>0</v>
      </c>
      <c r="P39" s="587"/>
      <c r="Q39" s="576"/>
      <c r="R39" s="2"/>
    </row>
    <row r="40" spans="1:18" ht="13.5">
      <c r="A40" s="571"/>
      <c r="B40" s="572" t="s">
        <v>635</v>
      </c>
      <c r="C40" s="842"/>
      <c r="D40" s="588"/>
      <c r="E40" s="588"/>
      <c r="F40" s="588"/>
      <c r="G40" s="588"/>
      <c r="H40" s="588"/>
      <c r="I40" s="621"/>
      <c r="J40" s="587">
        <f t="shared" si="2"/>
        <v>0</v>
      </c>
      <c r="K40" s="587">
        <f t="shared" si="1"/>
        <v>0</v>
      </c>
      <c r="L40" s="587">
        <f t="shared" si="1"/>
        <v>0</v>
      </c>
      <c r="M40" s="587">
        <f t="shared" si="1"/>
        <v>0</v>
      </c>
      <c r="N40" s="587">
        <f t="shared" si="1"/>
        <v>0</v>
      </c>
      <c r="O40" s="587">
        <f t="shared" si="1"/>
        <v>0</v>
      </c>
      <c r="P40" s="587"/>
      <c r="Q40" s="576"/>
      <c r="R40" s="2"/>
    </row>
    <row r="41" spans="1:18" ht="13.5">
      <c r="A41" s="571"/>
      <c r="B41" s="572" t="s">
        <v>636</v>
      </c>
      <c r="C41" s="842"/>
      <c r="D41" s="588"/>
      <c r="E41" s="588"/>
      <c r="F41" s="588"/>
      <c r="G41" s="588"/>
      <c r="H41" s="588"/>
      <c r="I41" s="621"/>
      <c r="J41" s="587">
        <f t="shared" si="2"/>
        <v>0</v>
      </c>
      <c r="K41" s="587">
        <f t="shared" si="1"/>
        <v>0</v>
      </c>
      <c r="L41" s="587">
        <f t="shared" si="1"/>
        <v>0</v>
      </c>
      <c r="M41" s="587">
        <f t="shared" si="1"/>
        <v>0</v>
      </c>
      <c r="N41" s="587">
        <f t="shared" si="1"/>
        <v>0</v>
      </c>
      <c r="O41" s="587">
        <f t="shared" si="1"/>
        <v>0</v>
      </c>
      <c r="P41" s="587"/>
      <c r="Q41" s="576"/>
      <c r="R41" s="2"/>
    </row>
    <row r="42" spans="1:18" ht="13.5">
      <c r="A42" s="571"/>
      <c r="B42" s="572" t="s">
        <v>637</v>
      </c>
      <c r="C42" s="842"/>
      <c r="D42" s="588"/>
      <c r="E42" s="588"/>
      <c r="F42" s="588"/>
      <c r="G42" s="588"/>
      <c r="H42" s="588"/>
      <c r="I42" s="621"/>
      <c r="J42" s="587">
        <f t="shared" si="2"/>
        <v>0</v>
      </c>
      <c r="K42" s="587">
        <f t="shared" si="1"/>
        <v>0</v>
      </c>
      <c r="L42" s="587">
        <f t="shared" si="1"/>
        <v>0</v>
      </c>
      <c r="M42" s="587">
        <f t="shared" si="1"/>
        <v>0</v>
      </c>
      <c r="N42" s="587">
        <f t="shared" si="1"/>
        <v>0</v>
      </c>
      <c r="O42" s="587">
        <f t="shared" si="1"/>
        <v>0</v>
      </c>
      <c r="P42" s="587"/>
      <c r="Q42" s="576"/>
      <c r="R42" s="2"/>
    </row>
    <row r="43" spans="1:18" ht="13.5">
      <c r="A43" s="571"/>
      <c r="B43" s="572" t="s">
        <v>638</v>
      </c>
      <c r="C43" s="842"/>
      <c r="D43" s="588"/>
      <c r="E43" s="588"/>
      <c r="F43" s="588"/>
      <c r="G43" s="588"/>
      <c r="H43" s="588"/>
      <c r="I43" s="621"/>
      <c r="J43" s="587">
        <f t="shared" si="2"/>
        <v>0</v>
      </c>
      <c r="K43" s="587">
        <f t="shared" si="1"/>
        <v>0</v>
      </c>
      <c r="L43" s="587">
        <f t="shared" si="1"/>
        <v>0</v>
      </c>
      <c r="M43" s="587">
        <f t="shared" si="1"/>
        <v>0</v>
      </c>
      <c r="N43" s="587">
        <f t="shared" si="1"/>
        <v>0</v>
      </c>
      <c r="O43" s="587">
        <f t="shared" si="1"/>
        <v>0</v>
      </c>
      <c r="P43" s="587"/>
      <c r="Q43" s="576"/>
      <c r="R43" s="2"/>
    </row>
    <row r="44" spans="1:18" ht="13.5">
      <c r="A44" s="571"/>
      <c r="B44" s="572" t="s">
        <v>850</v>
      </c>
      <c r="C44" s="587">
        <f t="shared" ref="C44:H44" si="3">SUM(C32:C43)</f>
        <v>0</v>
      </c>
      <c r="D44" s="587">
        <f t="shared" si="3"/>
        <v>0</v>
      </c>
      <c r="E44" s="587">
        <f t="shared" si="3"/>
        <v>0</v>
      </c>
      <c r="F44" s="587">
        <f t="shared" si="3"/>
        <v>0</v>
      </c>
      <c r="G44" s="587">
        <f t="shared" si="3"/>
        <v>0</v>
      </c>
      <c r="H44" s="587">
        <f t="shared" si="3"/>
        <v>0</v>
      </c>
      <c r="I44" s="587" t="s">
        <v>79</v>
      </c>
      <c r="J44" s="587">
        <f t="shared" ref="J44:O44" si="4">AVERAGE(J32:J43)</f>
        <v>0</v>
      </c>
      <c r="K44" s="587">
        <f t="shared" si="4"/>
        <v>0</v>
      </c>
      <c r="L44" s="587">
        <f t="shared" si="4"/>
        <v>0</v>
      </c>
      <c r="M44" s="587">
        <f t="shared" si="4"/>
        <v>0</v>
      </c>
      <c r="N44" s="587">
        <f t="shared" si="4"/>
        <v>0</v>
      </c>
      <c r="O44" s="587">
        <f t="shared" si="4"/>
        <v>0</v>
      </c>
      <c r="P44" s="587"/>
      <c r="Q44" s="608"/>
      <c r="R44" s="2"/>
    </row>
    <row r="45" spans="1:18" ht="13.5">
      <c r="A45" s="571"/>
      <c r="C45" s="572"/>
      <c r="D45" s="419"/>
      <c r="E45" s="419"/>
      <c r="F45" s="419"/>
      <c r="G45" s="419"/>
      <c r="H45" s="419"/>
      <c r="I45" s="419"/>
      <c r="J45" s="419"/>
      <c r="K45" s="419"/>
      <c r="L45" s="589"/>
      <c r="M45" s="572"/>
      <c r="N45" s="572"/>
      <c r="O45" s="572"/>
      <c r="Q45" s="576"/>
      <c r="R45" s="2"/>
    </row>
    <row r="46" spans="1:18" ht="13.5">
      <c r="A46" s="571"/>
      <c r="B46" s="572" t="s">
        <v>81</v>
      </c>
      <c r="C46" s="572"/>
      <c r="D46" s="419"/>
      <c r="E46" s="419"/>
      <c r="F46" s="419"/>
      <c r="G46" s="419"/>
      <c r="H46" s="419"/>
      <c r="I46" s="419"/>
      <c r="J46" s="572"/>
      <c r="K46" s="623" t="s">
        <v>80</v>
      </c>
      <c r="L46" s="419"/>
      <c r="M46" s="587">
        <f>SUM(J44:O44)</f>
        <v>0</v>
      </c>
      <c r="N46" s="587"/>
      <c r="O46" s="587"/>
      <c r="Q46" s="608"/>
      <c r="R46" s="2"/>
    </row>
    <row r="47" spans="1:18" ht="13.5">
      <c r="A47" s="571"/>
      <c r="B47" s="572"/>
      <c r="C47" s="572"/>
      <c r="D47" s="419"/>
      <c r="E47" s="419"/>
      <c r="F47" s="419"/>
      <c r="G47" s="419"/>
      <c r="H47" s="419"/>
      <c r="I47" s="419"/>
      <c r="J47" s="572"/>
      <c r="K47" s="572"/>
      <c r="L47" s="419"/>
      <c r="M47" s="587"/>
      <c r="N47" s="572"/>
      <c r="O47" s="587"/>
      <c r="Q47" s="608"/>
      <c r="R47" s="2"/>
    </row>
    <row r="48" spans="1:18" ht="13.5">
      <c r="A48" s="571"/>
      <c r="B48" s="571"/>
      <c r="C48" s="571"/>
      <c r="D48" s="572"/>
      <c r="E48" s="572"/>
      <c r="F48" s="419"/>
      <c r="G48" s="419"/>
      <c r="H48" s="419"/>
      <c r="I48" s="419"/>
      <c r="J48" s="572"/>
      <c r="L48" s="419"/>
      <c r="M48" s="590"/>
      <c r="N48" s="590"/>
      <c r="O48" s="591"/>
      <c r="Q48" s="576"/>
      <c r="R48" s="2"/>
    </row>
    <row r="49" spans="1:19" ht="13.5">
      <c r="A49" s="571">
        <v>3</v>
      </c>
      <c r="B49" s="571" t="s">
        <v>625</v>
      </c>
      <c r="C49" s="571" t="s">
        <v>600</v>
      </c>
      <c r="D49" s="578" t="s">
        <v>1092</v>
      </c>
      <c r="E49" s="572"/>
      <c r="F49" s="572"/>
      <c r="G49" s="572"/>
      <c r="H49" s="572"/>
      <c r="I49" s="572"/>
      <c r="J49" s="572"/>
      <c r="K49" s="572"/>
      <c r="L49" s="587"/>
      <c r="M49" s="572"/>
      <c r="N49" s="572"/>
      <c r="O49" s="572"/>
      <c r="P49" s="572"/>
      <c r="Q49" s="572"/>
      <c r="R49" s="572"/>
      <c r="S49" s="572"/>
    </row>
    <row r="50" spans="1:19" ht="13.5">
      <c r="A50" s="571"/>
      <c r="B50" s="571"/>
      <c r="C50" s="571"/>
      <c r="D50" s="592">
        <f>D23</f>
        <v>0</v>
      </c>
      <c r="E50" s="1497"/>
      <c r="F50" s="1498"/>
      <c r="G50" s="1768" t="s">
        <v>1086</v>
      </c>
      <c r="H50" s="1498"/>
      <c r="I50" s="1499"/>
      <c r="J50" s="1499"/>
      <c r="K50" s="1499"/>
      <c r="L50" s="1498"/>
      <c r="M50" s="572"/>
      <c r="N50" s="572"/>
      <c r="O50" s="572"/>
      <c r="P50" s="572"/>
      <c r="Q50" s="572"/>
      <c r="R50" s="572"/>
      <c r="S50" s="572"/>
    </row>
    <row r="51" spans="1:19" ht="13.5">
      <c r="A51" s="571"/>
      <c r="B51" s="571"/>
      <c r="C51" s="571"/>
      <c r="D51" s="593"/>
      <c r="E51" s="1500"/>
      <c r="F51" s="1498"/>
      <c r="G51" s="1769"/>
      <c r="H51" s="1498"/>
      <c r="I51" s="1499"/>
      <c r="J51" s="1499"/>
      <c r="K51" s="1499"/>
      <c r="L51" s="1499"/>
      <c r="M51" s="572"/>
      <c r="N51" s="572"/>
      <c r="O51" s="572"/>
      <c r="P51" s="572"/>
      <c r="Q51" s="572"/>
      <c r="R51" s="572"/>
      <c r="S51" s="572"/>
    </row>
    <row r="52" spans="1:19" ht="13.5">
      <c r="A52" s="571">
        <v>4</v>
      </c>
      <c r="B52" s="571" t="s">
        <v>626</v>
      </c>
      <c r="C52" s="571" t="s">
        <v>600</v>
      </c>
      <c r="D52" s="572" t="s">
        <v>961</v>
      </c>
      <c r="E52" s="1499"/>
      <c r="F52" s="1499"/>
      <c r="G52" s="1770"/>
      <c r="H52" s="1499"/>
      <c r="I52" s="1499"/>
      <c r="J52" s="1499"/>
      <c r="K52" s="1499"/>
      <c r="L52" s="1499"/>
      <c r="M52" s="572"/>
      <c r="N52" s="572"/>
      <c r="O52" s="572"/>
      <c r="P52" s="572"/>
      <c r="Q52" s="572"/>
      <c r="R52" s="572"/>
      <c r="S52" s="572"/>
    </row>
    <row r="53" spans="1:19" ht="13.5">
      <c r="A53" s="571"/>
      <c r="B53" s="571"/>
      <c r="C53" s="571"/>
      <c r="D53" s="583">
        <f>D50</f>
        <v>0</v>
      </c>
      <c r="E53" s="1501"/>
      <c r="F53" s="1502"/>
      <c r="G53" s="1768" t="s">
        <v>1086</v>
      </c>
      <c r="H53" s="1499"/>
      <c r="I53" s="1499"/>
      <c r="J53" s="1499"/>
      <c r="K53" s="1499"/>
      <c r="L53" s="1499"/>
      <c r="M53" s="572"/>
      <c r="N53" s="572"/>
      <c r="O53" s="572"/>
      <c r="P53" s="572"/>
      <c r="Q53" s="572"/>
      <c r="R53" s="572"/>
      <c r="S53" s="572"/>
    </row>
    <row r="54" spans="1:19" ht="13.5">
      <c r="A54" s="571"/>
      <c r="B54" s="571"/>
      <c r="C54" s="571"/>
      <c r="D54" s="594"/>
      <c r="E54" s="1499"/>
      <c r="F54" s="1499"/>
      <c r="G54" s="1770"/>
      <c r="H54" s="1499"/>
      <c r="I54" s="1499"/>
      <c r="J54" s="1499"/>
      <c r="K54" s="1499"/>
      <c r="L54" s="1499"/>
      <c r="M54" s="572"/>
      <c r="N54" s="572"/>
      <c r="O54" s="572"/>
      <c r="P54" s="572"/>
      <c r="Q54" s="572"/>
      <c r="R54" s="572"/>
      <c r="S54" s="572"/>
    </row>
    <row r="55" spans="1:19" ht="13.5">
      <c r="A55" s="571">
        <v>5</v>
      </c>
      <c r="B55" s="571" t="s">
        <v>627</v>
      </c>
      <c r="C55" s="571" t="s">
        <v>600</v>
      </c>
      <c r="D55" s="575" t="s">
        <v>1093</v>
      </c>
      <c r="E55" s="1499"/>
      <c r="F55" s="1499"/>
      <c r="G55" s="1770"/>
      <c r="H55" s="1499"/>
      <c r="I55" s="1499"/>
      <c r="J55" s="1499"/>
      <c r="K55" s="1499"/>
      <c r="L55" s="1499"/>
      <c r="M55" s="572"/>
      <c r="N55" s="572"/>
      <c r="O55" s="572"/>
      <c r="P55" s="572"/>
      <c r="Q55" s="572"/>
      <c r="R55" s="572"/>
      <c r="S55" s="572"/>
    </row>
    <row r="56" spans="1:19" ht="13.5">
      <c r="A56" s="571"/>
      <c r="B56" s="571"/>
      <c r="C56" s="571"/>
      <c r="D56" s="592">
        <f>D53</f>
        <v>0</v>
      </c>
      <c r="E56" s="572"/>
      <c r="F56" s="572"/>
      <c r="G56" s="1770"/>
      <c r="H56" s="572"/>
      <c r="I56" s="572"/>
      <c r="J56" s="572"/>
      <c r="K56" s="572"/>
      <c r="L56" s="572"/>
      <c r="M56" s="572"/>
      <c r="N56" s="572"/>
      <c r="O56" s="572"/>
      <c r="P56" s="572"/>
      <c r="Q56" s="572"/>
      <c r="R56" s="572"/>
      <c r="S56" s="572"/>
    </row>
    <row r="57" spans="1:19" ht="13.5">
      <c r="A57" s="595"/>
      <c r="B57" s="595"/>
      <c r="C57" s="595"/>
      <c r="D57" s="596"/>
      <c r="E57" s="596"/>
      <c r="F57" s="596"/>
      <c r="G57" s="1771"/>
      <c r="H57" s="596"/>
      <c r="I57" s="596"/>
      <c r="J57" s="596"/>
      <c r="K57" s="596"/>
      <c r="L57" s="572"/>
      <c r="M57" s="572"/>
      <c r="N57" s="572"/>
      <c r="O57" s="572"/>
      <c r="P57" s="572"/>
      <c r="Q57" s="572"/>
      <c r="R57" s="572"/>
      <c r="S57" s="572"/>
    </row>
    <row r="58" spans="1:19" ht="15.75">
      <c r="A58" s="595"/>
      <c r="B58" s="595"/>
      <c r="C58" s="595"/>
      <c r="D58" s="596"/>
      <c r="E58" s="596"/>
      <c r="F58" s="596"/>
      <c r="G58" s="1771"/>
      <c r="H58" s="596"/>
      <c r="I58" s="596"/>
      <c r="J58" s="597"/>
      <c r="K58" s="596"/>
      <c r="L58" s="572"/>
      <c r="M58" s="572"/>
      <c r="N58" s="572"/>
      <c r="O58" s="572"/>
      <c r="P58" s="572"/>
      <c r="Q58" s="572"/>
      <c r="R58" s="572"/>
      <c r="S58" s="572"/>
    </row>
    <row r="59" spans="1:19" ht="15.75">
      <c r="A59" s="595"/>
      <c r="B59" s="595"/>
      <c r="C59" s="595"/>
      <c r="D59" s="596"/>
      <c r="E59" s="596"/>
      <c r="F59" s="596"/>
      <c r="G59" s="1771"/>
      <c r="H59" s="596"/>
      <c r="I59" s="596"/>
      <c r="J59" s="597"/>
      <c r="K59" s="596"/>
      <c r="L59" s="572"/>
      <c r="M59" s="572"/>
      <c r="N59" s="572"/>
      <c r="O59" s="572"/>
      <c r="P59" s="572"/>
      <c r="Q59" s="572"/>
      <c r="R59" s="572"/>
      <c r="S59" s="572"/>
    </row>
    <row r="60" spans="1:19" ht="13.5">
      <c r="A60" s="571">
        <v>6</v>
      </c>
      <c r="B60" s="571" t="s">
        <v>625</v>
      </c>
      <c r="C60" s="571" t="s">
        <v>601</v>
      </c>
      <c r="D60" s="578" t="s">
        <v>1094</v>
      </c>
      <c r="E60" s="572"/>
      <c r="F60" s="572"/>
      <c r="G60" s="1770"/>
      <c r="H60" s="572"/>
      <c r="I60" s="572"/>
      <c r="J60" s="572"/>
      <c r="K60" s="572"/>
      <c r="L60" s="572"/>
      <c r="M60" s="572"/>
      <c r="N60" s="572"/>
      <c r="O60" s="572"/>
      <c r="P60" s="572"/>
      <c r="Q60" s="572"/>
      <c r="R60" s="572"/>
      <c r="S60" s="572"/>
    </row>
    <row r="61" spans="1:19" ht="13.5">
      <c r="A61" s="571"/>
      <c r="B61" s="571"/>
      <c r="C61" s="571"/>
      <c r="D61" s="598"/>
      <c r="E61" s="572" t="s">
        <v>656</v>
      </c>
      <c r="F61" s="572"/>
      <c r="G61" s="1768" t="s">
        <v>1086</v>
      </c>
      <c r="H61" s="572"/>
      <c r="I61" s="572"/>
      <c r="J61" s="419"/>
      <c r="K61" s="572"/>
      <c r="L61" s="572"/>
      <c r="M61" s="572"/>
      <c r="N61" s="572"/>
      <c r="O61" s="572"/>
      <c r="P61" s="572"/>
      <c r="Q61" s="572"/>
      <c r="R61" s="572"/>
      <c r="S61" s="572"/>
    </row>
    <row r="62" spans="1:19" ht="13.5">
      <c r="A62" s="571"/>
      <c r="B62" s="571"/>
      <c r="C62" s="571"/>
      <c r="D62" s="599"/>
      <c r="E62" s="572"/>
      <c r="F62" s="572"/>
      <c r="G62" s="1772"/>
      <c r="H62" s="572"/>
      <c r="I62" s="572"/>
      <c r="J62" s="572"/>
      <c r="K62" s="572"/>
      <c r="L62" s="572"/>
      <c r="M62" s="572"/>
      <c r="N62" s="572"/>
      <c r="O62" s="572"/>
      <c r="P62" s="572"/>
      <c r="Q62" s="572"/>
      <c r="R62" s="572"/>
      <c r="S62" s="572"/>
    </row>
    <row r="63" spans="1:19" ht="13.5">
      <c r="A63" s="571"/>
      <c r="B63" s="571"/>
      <c r="C63" s="571"/>
      <c r="D63" s="600"/>
      <c r="E63" s="572"/>
      <c r="F63" s="572"/>
      <c r="G63" s="1770"/>
      <c r="H63" s="572"/>
      <c r="I63" s="572"/>
      <c r="J63" s="572"/>
      <c r="K63" s="572"/>
      <c r="L63" s="572"/>
      <c r="M63" s="572"/>
      <c r="N63" s="572"/>
      <c r="O63" s="572"/>
      <c r="P63" s="572"/>
      <c r="Q63" s="572"/>
      <c r="R63" s="572"/>
      <c r="S63" s="572"/>
    </row>
    <row r="64" spans="1:19" ht="13.5">
      <c r="A64" s="571"/>
      <c r="B64" s="571"/>
      <c r="C64" s="571"/>
      <c r="D64" s="572"/>
      <c r="E64" s="572"/>
      <c r="F64" s="572"/>
      <c r="G64" s="1770"/>
      <c r="H64" s="587"/>
      <c r="I64" s="572"/>
      <c r="J64" s="572"/>
      <c r="K64" s="572"/>
      <c r="L64" s="572"/>
      <c r="M64" s="572"/>
      <c r="N64" s="572"/>
      <c r="O64" s="572"/>
      <c r="P64" s="572"/>
      <c r="Q64" s="572"/>
      <c r="R64" s="572"/>
      <c r="S64" s="572"/>
    </row>
    <row r="65" spans="1:19" ht="13.5">
      <c r="A65" s="571">
        <v>7</v>
      </c>
      <c r="B65" s="571" t="s">
        <v>625</v>
      </c>
      <c r="C65" s="571" t="s">
        <v>601</v>
      </c>
      <c r="D65" s="578" t="str">
        <f>+'6 - Est and True up'!D65</f>
        <v>Reconciliation</v>
      </c>
      <c r="E65" s="579"/>
      <c r="F65" s="579"/>
      <c r="G65" s="1773"/>
      <c r="H65" s="579"/>
      <c r="I65" s="579"/>
      <c r="J65" s="579"/>
      <c r="K65" s="572"/>
      <c r="L65" s="572"/>
      <c r="M65" s="572"/>
      <c r="N65" s="572"/>
      <c r="O65" s="572"/>
      <c r="P65" s="572"/>
      <c r="Q65" s="572"/>
      <c r="R65" s="572"/>
      <c r="S65" s="572"/>
    </row>
    <row r="66" spans="1:19" ht="13.5">
      <c r="A66" s="571"/>
      <c r="B66" s="571"/>
      <c r="C66" s="571"/>
      <c r="D66" s="601"/>
      <c r="E66" s="602"/>
      <c r="F66" s="602"/>
      <c r="G66" s="1774"/>
      <c r="H66" s="579"/>
      <c r="I66" s="579"/>
      <c r="J66" s="579"/>
      <c r="K66" s="572"/>
      <c r="L66" s="572"/>
      <c r="M66" s="572"/>
      <c r="N66" s="572"/>
      <c r="O66" s="572"/>
      <c r="P66" s="572"/>
      <c r="Q66" s="572"/>
      <c r="R66" s="572"/>
      <c r="S66" s="572"/>
    </row>
    <row r="67" spans="1:19" ht="13.5">
      <c r="A67" s="571"/>
      <c r="B67" s="572"/>
      <c r="C67" s="572"/>
      <c r="D67" s="419"/>
      <c r="E67" s="419"/>
      <c r="F67" s="419"/>
      <c r="G67" s="1775"/>
      <c r="H67" s="419"/>
      <c r="I67" s="419"/>
      <c r="J67" s="572"/>
      <c r="K67" s="572"/>
      <c r="L67" s="587"/>
      <c r="M67" s="572"/>
      <c r="N67" s="419"/>
      <c r="O67" s="572"/>
      <c r="P67" s="572"/>
      <c r="Q67" s="576"/>
      <c r="R67" s="617"/>
      <c r="S67" s="617"/>
    </row>
    <row r="68" spans="1:19" ht="13.5">
      <c r="A68" s="571"/>
      <c r="B68" s="571"/>
      <c r="C68" s="571"/>
      <c r="D68" s="598">
        <v>6231334</v>
      </c>
      <c r="E68" s="604" t="s">
        <v>979</v>
      </c>
      <c r="F68" s="572"/>
      <c r="G68" s="1768" t="s">
        <v>1086</v>
      </c>
      <c r="H68" s="572"/>
      <c r="I68" s="572"/>
      <c r="J68" s="572"/>
      <c r="K68" s="572"/>
      <c r="L68" s="587"/>
      <c r="M68" s="572"/>
      <c r="N68" s="419"/>
      <c r="O68" s="606"/>
      <c r="P68" s="607"/>
      <c r="Q68" s="607"/>
      <c r="R68" s="607"/>
      <c r="S68" s="576"/>
    </row>
    <row r="69" spans="1:19" ht="13.5">
      <c r="A69" s="420"/>
      <c r="B69" s="571"/>
      <c r="C69" s="571"/>
      <c r="D69" s="419"/>
      <c r="E69" s="572" t="s">
        <v>999</v>
      </c>
      <c r="F69" s="572"/>
      <c r="G69" s="576"/>
      <c r="H69" s="608"/>
      <c r="I69" s="576"/>
      <c r="J69" s="572"/>
      <c r="K69" s="572"/>
      <c r="L69" s="572"/>
      <c r="M69" s="572"/>
      <c r="N69" s="572"/>
      <c r="O69" s="572"/>
      <c r="P69" s="572"/>
      <c r="Q69" s="572"/>
      <c r="R69" s="572"/>
      <c r="S69" s="572"/>
    </row>
    <row r="70" spans="1:19" ht="13.5">
      <c r="A70" s="571"/>
      <c r="B70" s="571"/>
      <c r="C70" s="571"/>
      <c r="D70" s="604"/>
      <c r="E70" s="572"/>
      <c r="F70" s="572"/>
      <c r="G70" s="576"/>
      <c r="H70" s="608"/>
      <c r="I70" s="576"/>
      <c r="J70" s="572"/>
      <c r="K70" s="572"/>
      <c r="L70" s="572"/>
      <c r="M70" s="572"/>
      <c r="N70" s="572"/>
      <c r="O70" s="572"/>
      <c r="P70" s="572"/>
      <c r="Q70" s="572"/>
      <c r="R70" s="572"/>
      <c r="S70" s="572"/>
    </row>
    <row r="71" spans="1:19" ht="13.5">
      <c r="A71" s="420"/>
      <c r="B71" s="571"/>
      <c r="C71" s="571"/>
      <c r="D71" s="609">
        <v>0</v>
      </c>
      <c r="E71" s="572" t="s">
        <v>421</v>
      </c>
      <c r="F71" s="572"/>
      <c r="G71" s="576"/>
      <c r="H71" s="608"/>
      <c r="I71" s="576"/>
      <c r="J71" s="572"/>
      <c r="K71" s="572"/>
      <c r="L71" s="572"/>
      <c r="M71" s="572"/>
      <c r="N71" s="572"/>
      <c r="O71" s="572"/>
      <c r="P71" s="572"/>
      <c r="Q71" s="572"/>
      <c r="R71" s="572"/>
      <c r="S71" s="572"/>
    </row>
    <row r="72" spans="1:19" ht="13.5">
      <c r="A72" s="420"/>
      <c r="B72" s="571"/>
      <c r="C72" s="571"/>
      <c r="D72" s="419"/>
      <c r="E72" s="572"/>
      <c r="F72" s="572"/>
      <c r="G72" s="576"/>
      <c r="H72" s="608"/>
      <c r="I72" s="576"/>
      <c r="J72" s="572"/>
      <c r="K72" s="572"/>
      <c r="L72" s="572"/>
      <c r="M72" s="572"/>
      <c r="N72" s="572"/>
      <c r="O72" s="572"/>
      <c r="P72" s="572"/>
      <c r="Q72" s="572"/>
      <c r="R72" s="572"/>
      <c r="S72" s="572"/>
    </row>
    <row r="73" spans="1:19" ht="13.5">
      <c r="A73" s="571"/>
      <c r="B73" s="571"/>
      <c r="C73" s="571"/>
      <c r="D73" s="604"/>
      <c r="E73" s="572"/>
      <c r="F73" s="572"/>
      <c r="G73" s="576"/>
      <c r="H73" s="608"/>
      <c r="I73" s="576"/>
      <c r="J73" s="572"/>
      <c r="K73" s="572"/>
      <c r="L73" s="572"/>
      <c r="M73" s="572"/>
      <c r="N73" s="572"/>
      <c r="O73" s="572"/>
      <c r="P73" s="572"/>
      <c r="Q73" s="572"/>
      <c r="R73" s="572"/>
      <c r="S73" s="572"/>
    </row>
    <row r="74" spans="1:19" ht="13.5">
      <c r="A74" s="571">
        <v>8</v>
      </c>
      <c r="B74" s="571" t="s">
        <v>625</v>
      </c>
      <c r="C74" s="571" t="s">
        <v>601</v>
      </c>
      <c r="D74" s="578" t="str">
        <f>+'6 - Est and True up'!D75</f>
        <v>True-Up Adjustment</v>
      </c>
      <c r="E74" s="572"/>
      <c r="F74" s="572"/>
      <c r="G74" s="572"/>
      <c r="H74" s="572"/>
      <c r="I74" s="572"/>
      <c r="J74" s="572"/>
      <c r="K74" s="572"/>
      <c r="L74" s="572"/>
      <c r="M74" s="572"/>
      <c r="N74" s="572"/>
      <c r="O74" s="572"/>
      <c r="P74" s="572"/>
      <c r="Q74" s="572"/>
      <c r="R74" s="572"/>
      <c r="S74" s="572"/>
    </row>
    <row r="75" spans="1:19" ht="13.5">
      <c r="A75" s="571"/>
      <c r="B75" s="571"/>
      <c r="C75" s="571"/>
      <c r="D75" s="578"/>
      <c r="E75" s="572"/>
      <c r="F75" s="572"/>
      <c r="G75" s="572"/>
      <c r="H75" s="572"/>
      <c r="I75" s="572"/>
      <c r="J75" s="572"/>
      <c r="K75" s="572"/>
      <c r="L75" s="572"/>
      <c r="M75" s="572"/>
      <c r="N75" s="572"/>
      <c r="O75" s="572"/>
      <c r="P75" s="572"/>
      <c r="Q75" s="572"/>
      <c r="R75" s="572"/>
      <c r="S75" s="572"/>
    </row>
    <row r="76" spans="1:19" ht="13.5">
      <c r="A76" s="574"/>
      <c r="B76" s="574"/>
      <c r="C76" s="571"/>
      <c r="D76" s="418" t="s">
        <v>943</v>
      </c>
      <c r="E76" s="419"/>
      <c r="F76" s="419"/>
      <c r="G76" s="419"/>
      <c r="H76" s="419"/>
      <c r="I76" s="419"/>
      <c r="J76" s="419"/>
      <c r="K76" s="419"/>
      <c r="L76" s="572"/>
      <c r="M76" s="572"/>
      <c r="N76" s="572"/>
      <c r="O76" s="572"/>
      <c r="P76" s="572"/>
      <c r="Q76" s="572"/>
      <c r="R76" s="572"/>
      <c r="S76" s="572"/>
    </row>
    <row r="77" spans="1:19" ht="13.5">
      <c r="A77" s="574"/>
      <c r="B77" s="574"/>
      <c r="C77" s="571"/>
      <c r="D77" s="419"/>
      <c r="E77" s="572" t="s">
        <v>1000</v>
      </c>
      <c r="F77" s="572"/>
      <c r="G77" s="572"/>
      <c r="H77" s="572"/>
      <c r="I77" s="572"/>
      <c r="J77" s="572"/>
      <c r="K77" s="419"/>
      <c r="L77" s="572"/>
      <c r="M77" s="572"/>
      <c r="N77" s="572"/>
      <c r="O77" s="572"/>
      <c r="P77" s="572"/>
      <c r="Q77" s="572"/>
      <c r="R77" s="572"/>
      <c r="S77" s="572"/>
    </row>
    <row r="78" spans="1:19" ht="27">
      <c r="A78" s="574"/>
      <c r="B78" s="574"/>
      <c r="C78" s="571"/>
      <c r="D78" s="419"/>
      <c r="E78" s="826" t="s">
        <v>621</v>
      </c>
      <c r="F78" s="826" t="s">
        <v>1001</v>
      </c>
      <c r="G78" s="826" t="s">
        <v>1002</v>
      </c>
      <c r="H78" s="826" t="s">
        <v>1003</v>
      </c>
      <c r="I78" s="826" t="s">
        <v>1004</v>
      </c>
      <c r="J78" s="826" t="s">
        <v>1005</v>
      </c>
      <c r="K78" s="603"/>
      <c r="L78" s="572"/>
      <c r="M78" s="1755" t="s">
        <v>1098</v>
      </c>
      <c r="N78" s="624"/>
      <c r="O78" s="572"/>
      <c r="P78" s="572"/>
      <c r="Q78" s="572"/>
      <c r="R78" s="572"/>
      <c r="S78" s="572"/>
    </row>
    <row r="79" spans="1:19" ht="13.5">
      <c r="A79" s="574"/>
      <c r="B79" s="574"/>
      <c r="C79" s="571"/>
      <c r="D79" s="419"/>
      <c r="E79" s="572" t="s">
        <v>628</v>
      </c>
      <c r="F79" s="841">
        <v>1.012869049633456</v>
      </c>
      <c r="G79" s="610">
        <f>'WKSHT4 - Monthly Tx System Peak'!C57</f>
        <v>746</v>
      </c>
      <c r="H79" s="625">
        <f>+F79*G79*1000</f>
        <v>755600.31102655816</v>
      </c>
      <c r="I79" s="1346">
        <f>-835277.046687334/12</f>
        <v>-69606.42055727783</v>
      </c>
      <c r="J79" s="625">
        <f>+H79-I79</f>
        <v>825206.73158383602</v>
      </c>
      <c r="K79" s="419"/>
      <c r="L79" s="572"/>
      <c r="M79" s="1346"/>
      <c r="N79" s="2018"/>
      <c r="O79" s="572"/>
      <c r="P79" s="572"/>
      <c r="Q79" s="572"/>
      <c r="R79" s="572"/>
      <c r="S79" s="572"/>
    </row>
    <row r="80" spans="1:19" ht="13.5">
      <c r="A80" s="574"/>
      <c r="B80" s="574"/>
      <c r="C80" s="571"/>
      <c r="D80" s="419"/>
      <c r="E80" s="572" t="s">
        <v>629</v>
      </c>
      <c r="F80" s="841">
        <v>1.012869049633456</v>
      </c>
      <c r="G80" s="610">
        <f>'WKSHT4 - Monthly Tx System Peak'!C58</f>
        <v>746</v>
      </c>
      <c r="H80" s="625">
        <f t="shared" ref="H80:H90" si="5">+F80*G80*1000</f>
        <v>755600.31102655816</v>
      </c>
      <c r="I80" s="1346">
        <f t="shared" ref="I80:I83" si="6">-835277.046687334/12</f>
        <v>-69606.42055727783</v>
      </c>
      <c r="J80" s="625">
        <f t="shared" ref="J80:J90" si="7">+H80-I80</f>
        <v>825206.73158383602</v>
      </c>
      <c r="K80" s="419"/>
      <c r="L80" s="572"/>
      <c r="M80" s="1346"/>
      <c r="N80" s="2018"/>
      <c r="O80" s="572"/>
      <c r="P80" s="572"/>
      <c r="Q80" s="572"/>
      <c r="R80" s="572"/>
      <c r="S80" s="572"/>
    </row>
    <row r="81" spans="1:19" ht="13.5">
      <c r="A81" s="574"/>
      <c r="B81" s="574"/>
      <c r="C81" s="571"/>
      <c r="D81" s="419"/>
      <c r="E81" s="572" t="s">
        <v>630</v>
      </c>
      <c r="F81" s="841">
        <v>1.012869049633456</v>
      </c>
      <c r="G81" s="610">
        <f>'WKSHT4 - Monthly Tx System Peak'!C59</f>
        <v>746</v>
      </c>
      <c r="H81" s="625">
        <f t="shared" si="5"/>
        <v>755600.31102655816</v>
      </c>
      <c r="I81" s="1346">
        <f t="shared" si="6"/>
        <v>-69606.42055727783</v>
      </c>
      <c r="J81" s="625">
        <f t="shared" si="7"/>
        <v>825206.73158383602</v>
      </c>
      <c r="K81" s="419"/>
      <c r="L81" s="572"/>
      <c r="M81" s="610"/>
      <c r="N81" s="610"/>
      <c r="O81" s="572"/>
      <c r="P81" s="572"/>
      <c r="Q81" s="572"/>
      <c r="R81" s="572"/>
      <c r="S81" s="572"/>
    </row>
    <row r="82" spans="1:19" ht="13.5">
      <c r="A82" s="574"/>
      <c r="B82" s="574"/>
      <c r="C82" s="571"/>
      <c r="D82" s="419"/>
      <c r="E82" s="572" t="s">
        <v>631</v>
      </c>
      <c r="F82" s="841">
        <v>1.012869049633456</v>
      </c>
      <c r="G82" s="610">
        <f>'WKSHT4 - Monthly Tx System Peak'!C61</f>
        <v>746</v>
      </c>
      <c r="H82" s="625">
        <f>+F82*G82*1000</f>
        <v>755600.31102655816</v>
      </c>
      <c r="I82" s="1346">
        <f t="shared" si="6"/>
        <v>-69606.42055727783</v>
      </c>
      <c r="J82" s="625">
        <f t="shared" si="7"/>
        <v>825206.73158383602</v>
      </c>
      <c r="K82" s="419"/>
      <c r="L82" s="572"/>
      <c r="M82" s="610"/>
      <c r="N82" s="610"/>
      <c r="O82" s="572"/>
      <c r="P82" s="572"/>
      <c r="Q82" s="572"/>
      <c r="R82" s="572"/>
      <c r="S82" s="572"/>
    </row>
    <row r="83" spans="1:19" ht="13.5">
      <c r="A83" s="574"/>
      <c r="B83" s="574"/>
      <c r="C83" s="571"/>
      <c r="D83" s="419"/>
      <c r="E83" s="572" t="s">
        <v>626</v>
      </c>
      <c r="F83" s="841">
        <v>1.012869049633456</v>
      </c>
      <c r="G83" s="610">
        <f>'WKSHT4 - Monthly Tx System Peak'!C62</f>
        <v>746</v>
      </c>
      <c r="H83" s="625">
        <f>+F83*G83*1000</f>
        <v>755600.31102655816</v>
      </c>
      <c r="I83" s="1346">
        <f t="shared" si="6"/>
        <v>-69606.42055727783</v>
      </c>
      <c r="J83" s="625">
        <f t="shared" si="7"/>
        <v>825206.73158383602</v>
      </c>
      <c r="K83" s="419"/>
      <c r="L83" s="572"/>
      <c r="M83" s="610"/>
      <c r="N83" s="610"/>
      <c r="O83" s="572"/>
      <c r="P83" s="572"/>
      <c r="Q83" s="572"/>
      <c r="R83" s="572"/>
      <c r="S83" s="572"/>
    </row>
    <row r="84" spans="1:19" ht="15.75">
      <c r="A84" s="574"/>
      <c r="B84" s="574"/>
      <c r="C84" s="571"/>
      <c r="D84" s="419"/>
      <c r="E84" s="572" t="s">
        <v>632</v>
      </c>
      <c r="F84" s="841">
        <v>9.9565823168575693E-2</v>
      </c>
      <c r="G84" s="610">
        <f>'WKSHT4 - Monthly Tx System Peak'!C63</f>
        <v>746</v>
      </c>
      <c r="H84" s="846">
        <f t="shared" si="5"/>
        <v>74276.104083757455</v>
      </c>
      <c r="I84" s="1346">
        <v>-427576.05347899074</v>
      </c>
      <c r="J84" s="625">
        <f t="shared" si="7"/>
        <v>501852.15756274818</v>
      </c>
      <c r="K84" s="419"/>
      <c r="L84" s="572"/>
      <c r="M84" s="1756">
        <f>SUM(M79:M83)</f>
        <v>0</v>
      </c>
      <c r="N84" s="576" t="s">
        <v>1099</v>
      </c>
      <c r="O84" s="572"/>
      <c r="P84" s="572"/>
      <c r="Q84" s="572"/>
      <c r="R84" s="572"/>
      <c r="S84" s="572"/>
    </row>
    <row r="85" spans="1:19" ht="13.5">
      <c r="A85" s="574"/>
      <c r="B85" s="574"/>
      <c r="C85" s="571"/>
      <c r="D85" s="419"/>
      <c r="E85" s="572" t="s">
        <v>633</v>
      </c>
      <c r="F85" s="841">
        <v>9.9565823168575693E-2</v>
      </c>
      <c r="G85" s="610">
        <f>'WKSHT4 - Monthly Tx System Peak'!C65</f>
        <v>746</v>
      </c>
      <c r="H85" s="625">
        <f t="shared" si="5"/>
        <v>74276.104083757455</v>
      </c>
      <c r="I85" s="1346">
        <v>-427576.05347899074</v>
      </c>
      <c r="J85" s="625">
        <f t="shared" si="7"/>
        <v>501852.15756274818</v>
      </c>
      <c r="K85" s="419"/>
      <c r="L85" s="572"/>
      <c r="M85" s="572"/>
      <c r="N85" s="572"/>
      <c r="O85" s="572"/>
      <c r="P85" s="572"/>
      <c r="Q85" s="572"/>
      <c r="R85" s="572"/>
      <c r="S85" s="572"/>
    </row>
    <row r="86" spans="1:19" ht="13.5">
      <c r="A86" s="574"/>
      <c r="B86" s="574"/>
      <c r="C86" s="571"/>
      <c r="D86" s="419"/>
      <c r="E86" s="572" t="s">
        <v>634</v>
      </c>
      <c r="F86" s="841">
        <v>9.9565823168575693E-2</v>
      </c>
      <c r="G86" s="610">
        <f>'WKSHT4 - Monthly Tx System Peak'!C66</f>
        <v>746</v>
      </c>
      <c r="H86" s="625">
        <f t="shared" si="5"/>
        <v>74276.104083757455</v>
      </c>
      <c r="I86" s="1346">
        <v>-427576.05347899074</v>
      </c>
      <c r="J86" s="625">
        <f t="shared" si="7"/>
        <v>501852.15756274818</v>
      </c>
      <c r="K86" s="419"/>
      <c r="L86" s="572"/>
      <c r="M86" s="572"/>
      <c r="N86" s="572"/>
      <c r="O86" s="572"/>
      <c r="P86" s="572"/>
      <c r="Q86" s="572"/>
      <c r="R86" s="572"/>
      <c r="S86" s="572"/>
    </row>
    <row r="87" spans="1:19" ht="13.5">
      <c r="A87" s="574"/>
      <c r="B87" s="574"/>
      <c r="C87" s="571"/>
      <c r="D87" s="419"/>
      <c r="E87" s="572" t="s">
        <v>635</v>
      </c>
      <c r="F87" s="841">
        <v>9.9565823168575693E-2</v>
      </c>
      <c r="G87" s="610">
        <f>'WKSHT4 - Monthly Tx System Peak'!C67</f>
        <v>746</v>
      </c>
      <c r="H87" s="625">
        <f t="shared" si="5"/>
        <v>74276.104083757455</v>
      </c>
      <c r="I87" s="1346">
        <v>-427576.05347899074</v>
      </c>
      <c r="J87" s="625">
        <f t="shared" si="7"/>
        <v>501852.15756274818</v>
      </c>
      <c r="K87" s="419"/>
      <c r="L87" s="572"/>
      <c r="M87" s="572"/>
      <c r="N87" s="572"/>
      <c r="O87" s="572"/>
      <c r="P87" s="572"/>
      <c r="Q87" s="572"/>
      <c r="R87" s="572"/>
      <c r="S87" s="572"/>
    </row>
    <row r="88" spans="1:19" ht="13.5">
      <c r="A88" s="574"/>
      <c r="B88" s="574"/>
      <c r="C88" s="571"/>
      <c r="D88" s="419"/>
      <c r="E88" s="572" t="s">
        <v>636</v>
      </c>
      <c r="F88" s="841">
        <v>9.9565823168575693E-2</v>
      </c>
      <c r="G88" s="610">
        <f>'WKSHT4 - Monthly Tx System Peak'!C69</f>
        <v>746</v>
      </c>
      <c r="H88" s="625">
        <f t="shared" si="5"/>
        <v>74276.104083757455</v>
      </c>
      <c r="I88" s="1346">
        <v>-427576.05347899074</v>
      </c>
      <c r="J88" s="625">
        <f t="shared" si="7"/>
        <v>501852.15756274818</v>
      </c>
      <c r="K88" s="419"/>
      <c r="L88" s="572"/>
      <c r="M88" s="572"/>
      <c r="N88" s="572"/>
      <c r="O88" s="572"/>
      <c r="P88" s="572"/>
      <c r="Q88" s="572"/>
      <c r="R88" s="572"/>
      <c r="S88" s="572"/>
    </row>
    <row r="89" spans="1:19" ht="13.5">
      <c r="A89" s="574"/>
      <c r="B89" s="574"/>
      <c r="C89" s="571"/>
      <c r="D89" s="419"/>
      <c r="E89" s="572" t="s">
        <v>637</v>
      </c>
      <c r="F89" s="841">
        <v>9.9565823168575693E-2</v>
      </c>
      <c r="G89" s="610">
        <f>'WKSHT4 - Monthly Tx System Peak'!C70</f>
        <v>746</v>
      </c>
      <c r="H89" s="625">
        <f t="shared" si="5"/>
        <v>74276.104083757455</v>
      </c>
      <c r="I89" s="1346">
        <v>-427576.05347899074</v>
      </c>
      <c r="J89" s="625">
        <f t="shared" si="7"/>
        <v>501852.15756274818</v>
      </c>
      <c r="K89" s="419"/>
      <c r="L89" s="572"/>
      <c r="M89" s="572"/>
      <c r="N89" s="572"/>
      <c r="O89" s="572"/>
      <c r="P89" s="572"/>
      <c r="Q89" s="572"/>
      <c r="R89" s="572"/>
      <c r="S89" s="572"/>
    </row>
    <row r="90" spans="1:19" ht="13.5">
      <c r="A90" s="574"/>
      <c r="B90" s="574"/>
      <c r="C90" s="571"/>
      <c r="D90" s="419"/>
      <c r="E90" s="572" t="s">
        <v>638</v>
      </c>
      <c r="F90" s="841">
        <v>9.9565823168575693E-2</v>
      </c>
      <c r="G90" s="610">
        <f>'WKSHT4 - Monthly Tx System Peak'!C71</f>
        <v>746</v>
      </c>
      <c r="H90" s="625">
        <f t="shared" si="5"/>
        <v>74276.104083757455</v>
      </c>
      <c r="I90" s="1346">
        <v>-427576.05347899074</v>
      </c>
      <c r="J90" s="625">
        <f t="shared" si="7"/>
        <v>501852.15756274818</v>
      </c>
      <c r="K90" s="419"/>
      <c r="L90" s="572"/>
      <c r="M90" s="572"/>
      <c r="N90" s="572"/>
      <c r="O90" s="572"/>
      <c r="P90" s="572"/>
      <c r="Q90" s="572"/>
      <c r="R90" s="572"/>
      <c r="S90" s="572"/>
    </row>
    <row r="91" spans="1:19" ht="13.5">
      <c r="A91" s="574"/>
      <c r="B91" s="574"/>
      <c r="C91" s="571"/>
      <c r="D91" s="572"/>
      <c r="E91" s="572" t="s">
        <v>1006</v>
      </c>
      <c r="F91" s="611"/>
      <c r="G91" s="611"/>
      <c r="H91" s="611"/>
      <c r="I91" s="611"/>
      <c r="J91" s="625">
        <f>SUM(J79:J90)</f>
        <v>7638998.7608584194</v>
      </c>
      <c r="K91" s="419"/>
      <c r="L91" s="572"/>
      <c r="M91" s="572"/>
      <c r="N91" s="572"/>
      <c r="O91" s="572"/>
      <c r="P91" s="572"/>
      <c r="Q91" s="572"/>
      <c r="R91" s="572"/>
      <c r="S91" s="572"/>
    </row>
    <row r="92" spans="1:19" ht="13.5">
      <c r="A92" s="574"/>
      <c r="B92" s="574"/>
      <c r="C92" s="571"/>
      <c r="D92" s="572"/>
      <c r="E92" s="611"/>
      <c r="F92" s="611"/>
      <c r="G92" s="611"/>
      <c r="H92" s="611"/>
      <c r="I92" s="611"/>
      <c r="J92" s="419"/>
      <c r="K92" s="419"/>
      <c r="L92" s="572"/>
      <c r="M92" s="572"/>
      <c r="N92" s="572"/>
      <c r="O92" s="572"/>
      <c r="P92" s="572"/>
      <c r="Q92" s="572"/>
      <c r="R92" s="572"/>
      <c r="S92" s="572"/>
    </row>
    <row r="93" spans="1:19" ht="13.5">
      <c r="A93" s="574"/>
      <c r="B93" s="574"/>
      <c r="C93" s="571"/>
      <c r="D93" s="572"/>
      <c r="E93" s="611"/>
      <c r="F93" s="611"/>
      <c r="G93" s="611"/>
      <c r="H93" s="611"/>
      <c r="I93" s="611"/>
      <c r="J93" s="419"/>
      <c r="K93" s="419"/>
      <c r="L93" s="572"/>
      <c r="M93" s="572"/>
      <c r="N93" s="572"/>
      <c r="O93" s="572"/>
      <c r="P93" s="572"/>
      <c r="Q93" s="572"/>
      <c r="R93" s="572"/>
      <c r="S93" s="572"/>
    </row>
    <row r="94" spans="1:19" ht="13.5">
      <c r="A94" s="574"/>
      <c r="B94" s="574"/>
      <c r="C94" s="571"/>
      <c r="D94" s="578"/>
      <c r="E94" s="572"/>
      <c r="F94" s="419"/>
      <c r="G94" s="572"/>
      <c r="H94" s="572"/>
      <c r="I94" s="572"/>
      <c r="J94" s="572"/>
      <c r="K94" s="572"/>
      <c r="L94" s="572"/>
      <c r="M94" s="572"/>
      <c r="N94" s="572"/>
      <c r="O94" s="572"/>
      <c r="P94" s="572"/>
      <c r="Q94" s="572"/>
      <c r="R94" s="572"/>
      <c r="S94" s="572"/>
    </row>
    <row r="95" spans="1:19" ht="31.5">
      <c r="A95" s="574"/>
      <c r="B95" s="574"/>
      <c r="C95" s="571"/>
      <c r="D95" s="573" t="s">
        <v>1007</v>
      </c>
      <c r="E95" s="1758"/>
      <c r="F95" s="1758" t="s">
        <v>982</v>
      </c>
      <c r="G95" s="572"/>
      <c r="H95" s="1759" t="s">
        <v>1100</v>
      </c>
      <c r="I95" s="572"/>
      <c r="J95" s="1760" t="s">
        <v>1101</v>
      </c>
      <c r="K95" s="185"/>
      <c r="L95" s="1761" t="s">
        <v>1102</v>
      </c>
      <c r="M95" s="572"/>
      <c r="N95" s="572"/>
      <c r="O95" s="572"/>
      <c r="P95" s="572"/>
      <c r="Q95" s="572"/>
      <c r="R95" s="572"/>
      <c r="S95" s="572"/>
    </row>
    <row r="96" spans="1:19" ht="15.75">
      <c r="A96" s="574"/>
      <c r="B96" s="574"/>
      <c r="C96" s="578" t="s">
        <v>1008</v>
      </c>
      <c r="D96" s="608">
        <f>D68</f>
        <v>6231334</v>
      </c>
      <c r="E96" s="571" t="s">
        <v>422</v>
      </c>
      <c r="F96" s="608">
        <f>J91</f>
        <v>7638998.7608584194</v>
      </c>
      <c r="G96" s="571" t="s">
        <v>423</v>
      </c>
      <c r="H96" s="587">
        <f>D96-F96</f>
        <v>-1407664.7608584194</v>
      </c>
      <c r="I96" s="571" t="s">
        <v>422</v>
      </c>
      <c r="J96" s="1776">
        <f>M84</f>
        <v>0</v>
      </c>
      <c r="K96" s="1754" t="s">
        <v>423</v>
      </c>
      <c r="L96" s="1737">
        <f>H96-J96</f>
        <v>-1407664.7608584194</v>
      </c>
      <c r="M96" s="183"/>
      <c r="N96" s="572"/>
      <c r="O96" s="572"/>
      <c r="P96" s="572"/>
      <c r="Q96" s="572"/>
      <c r="R96" s="572"/>
      <c r="S96" s="572"/>
    </row>
    <row r="97" spans="1:19" ht="15.75">
      <c r="A97" s="571"/>
      <c r="B97" s="571"/>
      <c r="C97" s="571"/>
      <c r="D97" s="612"/>
      <c r="E97" s="571"/>
      <c r="F97" s="587"/>
      <c r="G97" s="571"/>
      <c r="H97" s="587"/>
      <c r="I97" s="572"/>
      <c r="J97" s="176"/>
      <c r="K97" s="12"/>
      <c r="L97" s="12"/>
      <c r="M97" s="183"/>
      <c r="N97" s="572"/>
      <c r="O97" s="572"/>
      <c r="P97" s="572"/>
      <c r="Q97" s="572"/>
      <c r="R97" s="572"/>
      <c r="S97" s="572"/>
    </row>
    <row r="98" spans="1:19" ht="15.75">
      <c r="A98" s="571"/>
      <c r="B98" s="571"/>
      <c r="C98" s="571"/>
      <c r="D98" s="612"/>
      <c r="E98" s="571"/>
      <c r="F98" s="587"/>
      <c r="G98" s="571"/>
      <c r="H98" s="587"/>
      <c r="I98" s="572"/>
      <c r="J98" s="176"/>
      <c r="K98" s="12"/>
      <c r="L98" s="12"/>
      <c r="M98" s="183"/>
      <c r="N98" s="572"/>
      <c r="O98" s="572"/>
      <c r="P98" s="572"/>
      <c r="Q98" s="572"/>
      <c r="R98" s="572"/>
      <c r="S98" s="572"/>
    </row>
    <row r="99" spans="1:19" ht="15.75">
      <c r="A99" s="571"/>
      <c r="B99" s="571"/>
      <c r="C99" s="571"/>
      <c r="D99" s="1319" t="s">
        <v>639</v>
      </c>
      <c r="E99" s="574"/>
      <c r="F99" s="608"/>
      <c r="G99" s="571"/>
      <c r="H99" s="587"/>
      <c r="I99" s="572"/>
      <c r="J99" s="176"/>
      <c r="K99" s="12"/>
      <c r="L99" s="12"/>
      <c r="M99" s="183"/>
      <c r="N99" s="572"/>
      <c r="O99" s="572"/>
      <c r="P99" s="572"/>
      <c r="Q99" s="572"/>
      <c r="R99" s="572"/>
      <c r="S99" s="572"/>
    </row>
    <row r="100" spans="1:19" ht="15.75">
      <c r="A100" s="571"/>
      <c r="B100" s="571"/>
      <c r="C100" s="571"/>
      <c r="D100" s="2016" t="s">
        <v>1009</v>
      </c>
      <c r="E100" s="2016"/>
      <c r="F100" s="176">
        <f>'6 - Est and True up'!F119</f>
        <v>6.3E-3</v>
      </c>
      <c r="G100" s="574"/>
      <c r="H100" s="608"/>
      <c r="I100" s="572"/>
      <c r="J100" s="176"/>
      <c r="K100" s="12"/>
      <c r="L100" s="12"/>
      <c r="M100" s="183"/>
      <c r="N100" s="572"/>
      <c r="O100" s="572"/>
      <c r="P100" s="572"/>
      <c r="Q100" s="572"/>
      <c r="R100" s="572"/>
      <c r="S100" s="572"/>
    </row>
    <row r="101" spans="1:19" ht="13.5">
      <c r="A101" s="571"/>
      <c r="B101" s="571"/>
      <c r="C101" s="571"/>
      <c r="D101" s="605" t="s">
        <v>621</v>
      </c>
      <c r="E101" s="571" t="s">
        <v>640</v>
      </c>
      <c r="F101" s="574" t="s">
        <v>1010</v>
      </c>
      <c r="G101" s="1734" t="s">
        <v>1011</v>
      </c>
      <c r="H101" s="574"/>
      <c r="I101" s="605" t="s">
        <v>641</v>
      </c>
      <c r="J101" s="575" t="s">
        <v>1012</v>
      </c>
      <c r="K101" s="572"/>
      <c r="L101" s="572"/>
      <c r="M101" s="572"/>
      <c r="N101" s="572"/>
      <c r="O101" s="572"/>
      <c r="P101" s="572"/>
      <c r="Q101" s="572"/>
      <c r="R101" s="572"/>
      <c r="S101" s="572"/>
    </row>
    <row r="102" spans="1:19" ht="13.5">
      <c r="A102" s="571"/>
      <c r="B102" s="571"/>
      <c r="C102" s="571"/>
      <c r="D102" s="571"/>
      <c r="E102" s="571"/>
      <c r="F102" s="574" t="s">
        <v>1013</v>
      </c>
      <c r="G102" s="574" t="s">
        <v>1014</v>
      </c>
      <c r="H102" s="574" t="s">
        <v>642</v>
      </c>
      <c r="I102" s="571"/>
      <c r="J102" s="571"/>
      <c r="K102" s="572" t="s">
        <v>1015</v>
      </c>
      <c r="L102" s="572"/>
      <c r="M102" s="572"/>
      <c r="N102" s="572"/>
      <c r="O102" s="572"/>
      <c r="P102" s="572"/>
      <c r="Q102" s="572"/>
      <c r="R102" s="572"/>
      <c r="S102" s="572"/>
    </row>
    <row r="103" spans="1:19" ht="13.5">
      <c r="A103" s="571"/>
      <c r="B103" s="571"/>
      <c r="C103" s="571"/>
      <c r="D103" s="572" t="s">
        <v>628</v>
      </c>
      <c r="E103" s="572" t="s">
        <v>367</v>
      </c>
      <c r="F103" s="608">
        <f>L96/12</f>
        <v>-117305.39673820161</v>
      </c>
      <c r="G103" s="1730">
        <f>+F100</f>
        <v>6.3E-3</v>
      </c>
      <c r="H103" s="576">
        <v>12</v>
      </c>
      <c r="I103" s="582">
        <f>+F103*G103*H103</f>
        <v>-8868.2879934080429</v>
      </c>
      <c r="J103" s="582">
        <f>+F103+I103</f>
        <v>-126173.68473160965</v>
      </c>
      <c r="K103" s="572" t="s">
        <v>1016</v>
      </c>
      <c r="L103" s="572"/>
      <c r="M103" s="572"/>
      <c r="N103" s="572"/>
      <c r="O103" s="572"/>
      <c r="P103" s="572"/>
      <c r="Q103" s="572"/>
      <c r="R103" s="572"/>
      <c r="S103" s="572"/>
    </row>
    <row r="104" spans="1:19" ht="13.5">
      <c r="A104" s="571"/>
      <c r="B104" s="571"/>
      <c r="C104" s="571"/>
      <c r="D104" s="572" t="s">
        <v>629</v>
      </c>
      <c r="E104" s="572" t="s">
        <v>367</v>
      </c>
      <c r="F104" s="608">
        <f t="shared" ref="F104:G114" si="8">+F103</f>
        <v>-117305.39673820161</v>
      </c>
      <c r="G104" s="1731">
        <f>+G103</f>
        <v>6.3E-3</v>
      </c>
      <c r="H104" s="576">
        <v>11</v>
      </c>
      <c r="I104" s="582">
        <f t="shared" ref="I104:I114" si="9">+F104*G104*H104</f>
        <v>-8129.2639939573719</v>
      </c>
      <c r="J104" s="582">
        <f t="shared" ref="J104:J114" si="10">+F104+I104</f>
        <v>-125434.66073215898</v>
      </c>
      <c r="K104" s="572" t="s">
        <v>1017</v>
      </c>
      <c r="L104" s="572"/>
      <c r="M104" s="572"/>
      <c r="N104" s="572"/>
      <c r="O104" s="572"/>
      <c r="P104" s="572"/>
      <c r="Q104" s="572"/>
      <c r="R104" s="572"/>
      <c r="S104" s="572"/>
    </row>
    <row r="105" spans="1:19" ht="13.5">
      <c r="A105" s="571"/>
      <c r="B105" s="571"/>
      <c r="C105" s="571"/>
      <c r="D105" s="572" t="s">
        <v>630</v>
      </c>
      <c r="E105" s="572" t="s">
        <v>367</v>
      </c>
      <c r="F105" s="608">
        <f t="shared" si="8"/>
        <v>-117305.39673820161</v>
      </c>
      <c r="G105" s="1731">
        <f t="shared" si="8"/>
        <v>6.3E-3</v>
      </c>
      <c r="H105" s="576">
        <v>10</v>
      </c>
      <c r="I105" s="582">
        <f t="shared" si="9"/>
        <v>-7390.2399945067018</v>
      </c>
      <c r="J105" s="582">
        <f t="shared" si="10"/>
        <v>-124695.63673270831</v>
      </c>
      <c r="K105" s="572"/>
      <c r="L105" s="572"/>
      <c r="M105" s="572"/>
      <c r="N105" s="572"/>
      <c r="O105" s="572"/>
      <c r="P105" s="572"/>
      <c r="Q105" s="572"/>
      <c r="R105" s="572"/>
      <c r="S105" s="572"/>
    </row>
    <row r="106" spans="1:19" ht="13.5">
      <c r="A106" s="571"/>
      <c r="B106" s="571"/>
      <c r="C106" s="571"/>
      <c r="D106" s="572" t="s">
        <v>631</v>
      </c>
      <c r="E106" s="572" t="s">
        <v>367</v>
      </c>
      <c r="F106" s="608">
        <f t="shared" si="8"/>
        <v>-117305.39673820161</v>
      </c>
      <c r="G106" s="1731">
        <f t="shared" si="8"/>
        <v>6.3E-3</v>
      </c>
      <c r="H106" s="576">
        <v>9</v>
      </c>
      <c r="I106" s="582">
        <f t="shared" si="9"/>
        <v>-6651.2159950560317</v>
      </c>
      <c r="J106" s="582">
        <f t="shared" si="10"/>
        <v>-123956.61273325764</v>
      </c>
      <c r="K106" s="572"/>
      <c r="L106" s="572"/>
      <c r="M106" s="572"/>
      <c r="N106" s="572"/>
      <c r="O106" s="572"/>
      <c r="P106" s="572"/>
      <c r="Q106" s="572"/>
      <c r="R106" s="572"/>
      <c r="S106" s="572"/>
    </row>
    <row r="107" spans="1:19" ht="13.5">
      <c r="A107" s="571"/>
      <c r="B107" s="571"/>
      <c r="C107" s="571"/>
      <c r="D107" s="572" t="s">
        <v>626</v>
      </c>
      <c r="E107" s="572" t="s">
        <v>367</v>
      </c>
      <c r="F107" s="608">
        <f t="shared" si="8"/>
        <v>-117305.39673820161</v>
      </c>
      <c r="G107" s="1731">
        <f t="shared" si="8"/>
        <v>6.3E-3</v>
      </c>
      <c r="H107" s="576">
        <v>8</v>
      </c>
      <c r="I107" s="582">
        <f t="shared" si="9"/>
        <v>-5912.1919956053616</v>
      </c>
      <c r="J107" s="582">
        <f t="shared" si="10"/>
        <v>-123217.58873380697</v>
      </c>
      <c r="K107" s="572"/>
      <c r="L107" s="572"/>
      <c r="M107" s="572"/>
      <c r="N107" s="572"/>
      <c r="O107" s="572"/>
      <c r="P107" s="572"/>
      <c r="Q107" s="572"/>
      <c r="R107" s="572"/>
      <c r="S107" s="572"/>
    </row>
    <row r="108" spans="1:19" ht="13.5">
      <c r="A108" s="571"/>
      <c r="B108" s="571"/>
      <c r="C108" s="571"/>
      <c r="D108" s="572" t="s">
        <v>632</v>
      </c>
      <c r="E108" s="572" t="s">
        <v>367</v>
      </c>
      <c r="F108" s="608">
        <f t="shared" si="8"/>
        <v>-117305.39673820161</v>
      </c>
      <c r="G108" s="1731">
        <f t="shared" si="8"/>
        <v>6.3E-3</v>
      </c>
      <c r="H108" s="576">
        <v>7</v>
      </c>
      <c r="I108" s="582">
        <f t="shared" si="9"/>
        <v>-5173.1679961546915</v>
      </c>
      <c r="J108" s="582">
        <f t="shared" si="10"/>
        <v>-122478.5647343563</v>
      </c>
      <c r="K108" s="572"/>
      <c r="L108" s="572"/>
      <c r="M108" s="572"/>
      <c r="N108" s="572"/>
      <c r="O108" s="572"/>
      <c r="P108" s="572"/>
      <c r="Q108" s="572"/>
      <c r="R108" s="572"/>
      <c r="S108" s="572"/>
    </row>
    <row r="109" spans="1:19" ht="13.5">
      <c r="A109" s="571"/>
      <c r="B109" s="571"/>
      <c r="C109" s="571"/>
      <c r="D109" s="572" t="s">
        <v>633</v>
      </c>
      <c r="E109" s="572" t="s">
        <v>367</v>
      </c>
      <c r="F109" s="608">
        <f t="shared" si="8"/>
        <v>-117305.39673820161</v>
      </c>
      <c r="G109" s="1731">
        <f t="shared" si="8"/>
        <v>6.3E-3</v>
      </c>
      <c r="H109" s="576">
        <v>6</v>
      </c>
      <c r="I109" s="582">
        <f t="shared" si="9"/>
        <v>-4434.1439967040214</v>
      </c>
      <c r="J109" s="582">
        <f t="shared" si="10"/>
        <v>-121739.54073490563</v>
      </c>
      <c r="K109" s="572"/>
      <c r="L109" s="572"/>
      <c r="M109" s="572"/>
      <c r="N109" s="572"/>
      <c r="O109" s="572"/>
      <c r="P109" s="572"/>
      <c r="Q109" s="572"/>
      <c r="R109" s="572"/>
      <c r="S109" s="572"/>
    </row>
    <row r="110" spans="1:19" ht="13.5">
      <c r="A110" s="571"/>
      <c r="B110" s="571"/>
      <c r="C110" s="571"/>
      <c r="D110" s="572" t="s">
        <v>634</v>
      </c>
      <c r="E110" s="572" t="s">
        <v>600</v>
      </c>
      <c r="F110" s="608">
        <f t="shared" si="8"/>
        <v>-117305.39673820161</v>
      </c>
      <c r="G110" s="1731">
        <f t="shared" si="8"/>
        <v>6.3E-3</v>
      </c>
      <c r="H110" s="576">
        <v>5</v>
      </c>
      <c r="I110" s="582">
        <f t="shared" si="9"/>
        <v>-3695.1199972533509</v>
      </c>
      <c r="J110" s="582">
        <f t="shared" si="10"/>
        <v>-121000.51673545496</v>
      </c>
      <c r="K110" s="572"/>
      <c r="L110" s="572"/>
      <c r="M110" s="572"/>
      <c r="N110" s="572"/>
      <c r="O110" s="572"/>
      <c r="P110" s="572"/>
      <c r="Q110" s="572"/>
      <c r="R110" s="572"/>
      <c r="S110" s="572"/>
    </row>
    <row r="111" spans="1:19" ht="13.5">
      <c r="A111" s="571"/>
      <c r="B111" s="571"/>
      <c r="C111" s="571"/>
      <c r="D111" s="572" t="s">
        <v>635</v>
      </c>
      <c r="E111" s="572" t="s">
        <v>600</v>
      </c>
      <c r="F111" s="608">
        <f t="shared" si="8"/>
        <v>-117305.39673820161</v>
      </c>
      <c r="G111" s="1731">
        <f t="shared" si="8"/>
        <v>6.3E-3</v>
      </c>
      <c r="H111" s="576">
        <v>4</v>
      </c>
      <c r="I111" s="582">
        <f t="shared" si="9"/>
        <v>-2956.0959978026808</v>
      </c>
      <c r="J111" s="582">
        <f t="shared" si="10"/>
        <v>-120261.49273600429</v>
      </c>
      <c r="K111" s="572"/>
      <c r="L111" s="572"/>
      <c r="M111" s="572"/>
      <c r="N111" s="572"/>
      <c r="O111" s="572"/>
      <c r="P111" s="572"/>
      <c r="Q111" s="572"/>
      <c r="R111" s="572"/>
      <c r="S111" s="572"/>
    </row>
    <row r="112" spans="1:19" ht="13.5">
      <c r="A112" s="571"/>
      <c r="B112" s="571"/>
      <c r="C112" s="571"/>
      <c r="D112" s="572" t="s">
        <v>636</v>
      </c>
      <c r="E112" s="572" t="s">
        <v>600</v>
      </c>
      <c r="F112" s="608">
        <f t="shared" si="8"/>
        <v>-117305.39673820161</v>
      </c>
      <c r="G112" s="1731">
        <f t="shared" si="8"/>
        <v>6.3E-3</v>
      </c>
      <c r="H112" s="576">
        <v>3</v>
      </c>
      <c r="I112" s="582">
        <f t="shared" si="9"/>
        <v>-2217.0719983520107</v>
      </c>
      <c r="J112" s="582">
        <f t="shared" si="10"/>
        <v>-119522.46873655362</v>
      </c>
      <c r="K112" s="572"/>
      <c r="L112" s="572"/>
      <c r="M112" s="572"/>
      <c r="N112" s="572"/>
      <c r="O112" s="572"/>
      <c r="P112" s="572"/>
      <c r="Q112" s="572"/>
      <c r="R112" s="572"/>
      <c r="S112" s="572"/>
    </row>
    <row r="113" spans="1:19" ht="13.5">
      <c r="A113" s="571"/>
      <c r="B113" s="571"/>
      <c r="C113" s="571"/>
      <c r="D113" s="572" t="s">
        <v>637</v>
      </c>
      <c r="E113" s="572" t="s">
        <v>600</v>
      </c>
      <c r="F113" s="608">
        <f t="shared" si="8"/>
        <v>-117305.39673820161</v>
      </c>
      <c r="G113" s="1731">
        <f t="shared" si="8"/>
        <v>6.3E-3</v>
      </c>
      <c r="H113" s="576">
        <v>2</v>
      </c>
      <c r="I113" s="582">
        <f t="shared" si="9"/>
        <v>-1478.0479989013404</v>
      </c>
      <c r="J113" s="582">
        <f t="shared" si="10"/>
        <v>-118783.44473710295</v>
      </c>
      <c r="K113" s="572"/>
      <c r="L113" s="572"/>
      <c r="M113" s="572"/>
      <c r="N113" s="572"/>
      <c r="O113" s="572"/>
      <c r="P113" s="572"/>
      <c r="Q113" s="572"/>
      <c r="R113" s="572"/>
      <c r="S113" s="572"/>
    </row>
    <row r="114" spans="1:19" ht="13.5">
      <c r="A114" s="571"/>
      <c r="B114" s="571"/>
      <c r="C114" s="571"/>
      <c r="D114" s="572" t="s">
        <v>638</v>
      </c>
      <c r="E114" s="572" t="s">
        <v>600</v>
      </c>
      <c r="F114" s="608">
        <f t="shared" si="8"/>
        <v>-117305.39673820161</v>
      </c>
      <c r="G114" s="1731">
        <f t="shared" si="8"/>
        <v>6.3E-3</v>
      </c>
      <c r="H114" s="576">
        <v>1</v>
      </c>
      <c r="I114" s="582">
        <f t="shared" si="9"/>
        <v>-739.0239994506702</v>
      </c>
      <c r="J114" s="582">
        <f t="shared" si="10"/>
        <v>-118044.42073765228</v>
      </c>
      <c r="K114" s="572"/>
      <c r="L114" s="572"/>
      <c r="M114" s="572"/>
      <c r="N114" s="572"/>
      <c r="O114" s="572"/>
      <c r="P114" s="572"/>
      <c r="Q114" s="572"/>
      <c r="R114" s="572"/>
      <c r="S114" s="572"/>
    </row>
    <row r="115" spans="1:19" ht="13.5">
      <c r="A115" s="571"/>
      <c r="B115" s="571"/>
      <c r="C115" s="571"/>
      <c r="D115" s="572" t="s">
        <v>850</v>
      </c>
      <c r="E115" s="572"/>
      <c r="F115" s="608">
        <v>0</v>
      </c>
      <c r="G115" s="576"/>
      <c r="H115" s="576"/>
      <c r="I115" s="572"/>
      <c r="J115" s="582">
        <f>SUM(J103:J114)</f>
        <v>-1465308.6328155717</v>
      </c>
      <c r="K115" s="572"/>
      <c r="L115" s="572"/>
      <c r="M115" s="572"/>
      <c r="N115" s="572"/>
      <c r="O115" s="572"/>
      <c r="P115" s="572"/>
      <c r="Q115" s="572"/>
      <c r="R115" s="572"/>
      <c r="S115" s="572"/>
    </row>
    <row r="116" spans="1:19" ht="27">
      <c r="A116" s="571"/>
      <c r="B116" s="571"/>
      <c r="C116" s="571"/>
      <c r="D116" s="572"/>
      <c r="E116" s="572"/>
      <c r="F116" s="1734" t="s">
        <v>643</v>
      </c>
      <c r="G116" s="1732" t="s">
        <v>1018</v>
      </c>
      <c r="H116" s="1732" t="s">
        <v>1019</v>
      </c>
      <c r="I116" s="605" t="s">
        <v>641</v>
      </c>
      <c r="J116" s="582" t="str">
        <f>+J101</f>
        <v>Surcharge (Refund) Owed</v>
      </c>
      <c r="K116" s="572"/>
      <c r="L116" s="572"/>
      <c r="M116" s="572"/>
      <c r="N116" s="572"/>
      <c r="O116" s="572"/>
      <c r="P116" s="572"/>
      <c r="Q116" s="572"/>
      <c r="R116" s="572"/>
      <c r="S116" s="572"/>
    </row>
    <row r="117" spans="1:19" ht="13.5">
      <c r="A117" s="571"/>
      <c r="B117" s="571"/>
      <c r="C117" s="571"/>
      <c r="D117" s="572" t="s">
        <v>628</v>
      </c>
      <c r="E117" s="572" t="s">
        <v>600</v>
      </c>
      <c r="F117" s="608">
        <f>+J115</f>
        <v>-1465308.6328155717</v>
      </c>
      <c r="G117" s="1731">
        <f>+G114</f>
        <v>6.3E-3</v>
      </c>
      <c r="H117" s="589">
        <v>0</v>
      </c>
      <c r="I117" s="582">
        <f t="shared" ref="I117:I133" si="11">+F117*G117</f>
        <v>-9231.4443867381015</v>
      </c>
      <c r="J117" s="582">
        <f>+F117+I117-H117</f>
        <v>-1474540.0772023099</v>
      </c>
      <c r="K117" s="572"/>
      <c r="L117" s="572"/>
      <c r="M117" s="572"/>
      <c r="N117" s="572"/>
      <c r="O117" s="572"/>
      <c r="P117" s="572"/>
      <c r="Q117" s="572"/>
      <c r="R117" s="572"/>
      <c r="S117" s="572"/>
    </row>
    <row r="118" spans="1:19" ht="13.5">
      <c r="A118" s="571"/>
      <c r="B118" s="571"/>
      <c r="C118" s="571"/>
      <c r="D118" s="572" t="s">
        <v>629</v>
      </c>
      <c r="E118" s="572" t="s">
        <v>600</v>
      </c>
      <c r="F118" s="608">
        <f>+J117</f>
        <v>-1474540.0772023099</v>
      </c>
      <c r="G118" s="1731">
        <f>+G117</f>
        <v>6.3E-3</v>
      </c>
      <c r="H118" s="589">
        <f>H117</f>
        <v>0</v>
      </c>
      <c r="I118" s="582">
        <f t="shared" si="11"/>
        <v>-9289.6024863745515</v>
      </c>
      <c r="J118" s="582">
        <f t="shared" ref="J118:J133" si="12">+F118+I118-H118</f>
        <v>-1483829.6796886844</v>
      </c>
      <c r="K118" s="572"/>
      <c r="L118" s="572"/>
      <c r="M118" s="572"/>
      <c r="N118" s="572"/>
      <c r="O118" s="572"/>
      <c r="P118" s="572"/>
      <c r="Q118" s="572"/>
      <c r="R118" s="572"/>
      <c r="S118" s="572"/>
    </row>
    <row r="119" spans="1:19" ht="13.5">
      <c r="A119" s="571"/>
      <c r="B119" s="571"/>
      <c r="C119" s="571"/>
      <c r="D119" s="572" t="s">
        <v>630</v>
      </c>
      <c r="E119" s="572" t="s">
        <v>600</v>
      </c>
      <c r="F119" s="608">
        <f t="shared" ref="F119:F133" si="13">+J118</f>
        <v>-1483829.6796886844</v>
      </c>
      <c r="G119" s="1731">
        <f t="shared" ref="G119:G133" si="14">+G118</f>
        <v>6.3E-3</v>
      </c>
      <c r="H119" s="589">
        <f t="shared" ref="H119:H133" si="15">H118</f>
        <v>0</v>
      </c>
      <c r="I119" s="582">
        <f t="shared" si="11"/>
        <v>-9348.1269820387115</v>
      </c>
      <c r="J119" s="582">
        <f t="shared" si="12"/>
        <v>-1493177.806670723</v>
      </c>
      <c r="K119" s="572"/>
      <c r="L119" s="572"/>
      <c r="M119" s="572"/>
      <c r="N119" s="572"/>
      <c r="O119" s="572"/>
      <c r="P119" s="572"/>
      <c r="Q119" s="572"/>
      <c r="R119" s="572"/>
      <c r="S119" s="572"/>
    </row>
    <row r="120" spans="1:19" ht="13.5">
      <c r="A120" s="571"/>
      <c r="B120" s="571"/>
      <c r="C120" s="571"/>
      <c r="D120" s="572" t="s">
        <v>631</v>
      </c>
      <c r="E120" s="572" t="s">
        <v>600</v>
      </c>
      <c r="F120" s="608">
        <f t="shared" si="13"/>
        <v>-1493177.806670723</v>
      </c>
      <c r="G120" s="1731">
        <f t="shared" si="14"/>
        <v>6.3E-3</v>
      </c>
      <c r="H120" s="589">
        <f t="shared" si="15"/>
        <v>0</v>
      </c>
      <c r="I120" s="582">
        <f t="shared" si="11"/>
        <v>-9407.0201820255552</v>
      </c>
      <c r="J120" s="582">
        <f t="shared" si="12"/>
        <v>-1502584.8268527486</v>
      </c>
      <c r="K120" s="615"/>
      <c r="L120" s="572"/>
      <c r="M120" s="572"/>
      <c r="N120" s="572"/>
      <c r="O120" s="572"/>
      <c r="P120" s="572"/>
      <c r="Q120" s="572"/>
      <c r="R120" s="572"/>
      <c r="S120" s="572"/>
    </row>
    <row r="121" spans="1:19" ht="13.5">
      <c r="A121" s="571"/>
      <c r="B121" s="571"/>
      <c r="C121" s="571"/>
      <c r="D121" s="572" t="s">
        <v>626</v>
      </c>
      <c r="E121" s="572" t="s">
        <v>600</v>
      </c>
      <c r="F121" s="608">
        <f t="shared" si="13"/>
        <v>-1502584.8268527486</v>
      </c>
      <c r="G121" s="1731">
        <f t="shared" si="14"/>
        <v>6.3E-3</v>
      </c>
      <c r="H121" s="589">
        <f t="shared" si="15"/>
        <v>0</v>
      </c>
      <c r="I121" s="582">
        <f t="shared" si="11"/>
        <v>-9466.2844091723164</v>
      </c>
      <c r="J121" s="582">
        <f t="shared" si="12"/>
        <v>-1512051.111261921</v>
      </c>
      <c r="K121" s="614"/>
      <c r="L121" s="572"/>
      <c r="M121" s="572"/>
      <c r="N121" s="572"/>
      <c r="O121" s="572"/>
      <c r="P121" s="572"/>
      <c r="Q121" s="572"/>
      <c r="R121" s="572"/>
      <c r="S121" s="572"/>
    </row>
    <row r="122" spans="1:19" ht="13.5">
      <c r="A122" s="571"/>
      <c r="B122" s="571"/>
      <c r="C122" s="571"/>
      <c r="D122" s="572" t="s">
        <v>632</v>
      </c>
      <c r="E122" s="572" t="s">
        <v>600</v>
      </c>
      <c r="F122" s="608">
        <f t="shared" si="13"/>
        <v>-1512051.111261921</v>
      </c>
      <c r="G122" s="1731">
        <f t="shared" si="14"/>
        <v>6.3E-3</v>
      </c>
      <c r="H122" s="589">
        <f>-PMT(G122,12,J121)</f>
        <v>-131223.53763218987</v>
      </c>
      <c r="I122" s="582">
        <f t="shared" si="11"/>
        <v>-9525.9220009501023</v>
      </c>
      <c r="J122" s="582">
        <f t="shared" si="12"/>
        <v>-1390353.4956306813</v>
      </c>
      <c r="K122" s="572"/>
      <c r="L122" s="572"/>
      <c r="M122" s="572"/>
      <c r="N122" s="572"/>
      <c r="O122" s="572"/>
      <c r="P122" s="572"/>
      <c r="Q122" s="572"/>
      <c r="R122" s="572"/>
      <c r="S122" s="572"/>
    </row>
    <row r="123" spans="1:19" ht="13.5">
      <c r="A123" s="571"/>
      <c r="B123" s="571"/>
      <c r="C123" s="571"/>
      <c r="D123" s="572" t="s">
        <v>633</v>
      </c>
      <c r="E123" s="572" t="s">
        <v>600</v>
      </c>
      <c r="F123" s="608">
        <f t="shared" si="13"/>
        <v>-1390353.4956306813</v>
      </c>
      <c r="G123" s="1731">
        <f t="shared" si="14"/>
        <v>6.3E-3</v>
      </c>
      <c r="H123" s="589">
        <f t="shared" si="15"/>
        <v>-131223.53763218987</v>
      </c>
      <c r="I123" s="582">
        <f t="shared" si="11"/>
        <v>-8759.2270224732929</v>
      </c>
      <c r="J123" s="582">
        <f t="shared" si="12"/>
        <v>-1267889.1850209646</v>
      </c>
      <c r="K123" s="572"/>
      <c r="L123" s="572"/>
      <c r="M123" s="572"/>
      <c r="N123" s="572"/>
      <c r="O123" s="572"/>
      <c r="P123" s="572"/>
      <c r="Q123" s="572"/>
      <c r="R123" s="572"/>
      <c r="S123" s="572"/>
    </row>
    <row r="124" spans="1:19" ht="13.5">
      <c r="A124" s="571"/>
      <c r="B124" s="571"/>
      <c r="C124" s="571"/>
      <c r="D124" s="572" t="s">
        <v>634</v>
      </c>
      <c r="E124" s="572" t="s">
        <v>600</v>
      </c>
      <c r="F124" s="608">
        <f t="shared" si="13"/>
        <v>-1267889.1850209646</v>
      </c>
      <c r="G124" s="1731">
        <f t="shared" si="14"/>
        <v>6.3E-3</v>
      </c>
      <c r="H124" s="589">
        <f t="shared" si="15"/>
        <v>-131223.53763218987</v>
      </c>
      <c r="I124" s="582">
        <f t="shared" si="11"/>
        <v>-7987.701865632077</v>
      </c>
      <c r="J124" s="582">
        <f t="shared" si="12"/>
        <v>-1144653.3492544068</v>
      </c>
      <c r="K124" s="572"/>
      <c r="L124" s="572"/>
      <c r="M124" s="572"/>
      <c r="N124" s="572"/>
      <c r="O124" s="572"/>
      <c r="P124" s="572"/>
      <c r="Q124" s="572"/>
      <c r="R124" s="572"/>
      <c r="S124" s="572"/>
    </row>
    <row r="125" spans="1:19" ht="13.5">
      <c r="A125" s="571"/>
      <c r="B125" s="571"/>
      <c r="C125" s="571"/>
      <c r="D125" s="572" t="s">
        <v>635</v>
      </c>
      <c r="E125" s="572" t="s">
        <v>600</v>
      </c>
      <c r="F125" s="608">
        <f t="shared" si="13"/>
        <v>-1144653.3492544068</v>
      </c>
      <c r="G125" s="1731">
        <f t="shared" si="14"/>
        <v>6.3E-3</v>
      </c>
      <c r="H125" s="589">
        <f t="shared" si="15"/>
        <v>-131223.53763218987</v>
      </c>
      <c r="I125" s="582">
        <f t="shared" si="11"/>
        <v>-7211.3161003027626</v>
      </c>
      <c r="J125" s="582">
        <f t="shared" si="12"/>
        <v>-1020641.1277225197</v>
      </c>
      <c r="K125" s="572"/>
      <c r="L125" s="572"/>
      <c r="M125" s="572"/>
      <c r="N125" s="572"/>
      <c r="O125" s="572"/>
      <c r="P125" s="572"/>
      <c r="Q125" s="572"/>
      <c r="R125" s="572"/>
      <c r="S125" s="572"/>
    </row>
    <row r="126" spans="1:19" ht="13.5">
      <c r="A126" s="571"/>
      <c r="B126" s="571"/>
      <c r="C126" s="571"/>
      <c r="D126" s="572" t="s">
        <v>636</v>
      </c>
      <c r="E126" s="572" t="s">
        <v>600</v>
      </c>
      <c r="F126" s="608">
        <f t="shared" si="13"/>
        <v>-1020641.1277225197</v>
      </c>
      <c r="G126" s="1731">
        <f t="shared" si="14"/>
        <v>6.3E-3</v>
      </c>
      <c r="H126" s="589">
        <f t="shared" si="15"/>
        <v>-131223.53763218987</v>
      </c>
      <c r="I126" s="582">
        <f t="shared" si="11"/>
        <v>-6430.0391046518744</v>
      </c>
      <c r="J126" s="582">
        <f t="shared" si="12"/>
        <v>-895847.62919498165</v>
      </c>
      <c r="K126" s="572"/>
      <c r="L126" s="572"/>
      <c r="M126" s="572"/>
      <c r="N126" s="572"/>
      <c r="O126" s="572"/>
      <c r="P126" s="572"/>
      <c r="Q126" s="572"/>
      <c r="R126" s="572"/>
      <c r="S126" s="572"/>
    </row>
    <row r="127" spans="1:19" ht="13.5">
      <c r="A127" s="571"/>
      <c r="B127" s="571"/>
      <c r="C127" s="571"/>
      <c r="D127" s="572" t="s">
        <v>637</v>
      </c>
      <c r="E127" s="572" t="s">
        <v>600</v>
      </c>
      <c r="F127" s="608">
        <f t="shared" si="13"/>
        <v>-895847.62919498165</v>
      </c>
      <c r="G127" s="1731">
        <f t="shared" si="14"/>
        <v>6.3E-3</v>
      </c>
      <c r="H127" s="589">
        <f t="shared" si="15"/>
        <v>-131223.53763218987</v>
      </c>
      <c r="I127" s="582">
        <f t="shared" si="11"/>
        <v>-5643.8400639283846</v>
      </c>
      <c r="J127" s="582">
        <f t="shared" si="12"/>
        <v>-770267.93162672012</v>
      </c>
      <c r="K127" s="572"/>
      <c r="L127" s="572"/>
      <c r="M127" s="572"/>
      <c r="N127" s="572"/>
      <c r="O127" s="572"/>
      <c r="P127" s="572"/>
      <c r="Q127" s="572"/>
      <c r="R127" s="572"/>
      <c r="S127" s="572"/>
    </row>
    <row r="128" spans="1:19" ht="13.5">
      <c r="A128" s="571"/>
      <c r="B128" s="571"/>
      <c r="C128" s="571"/>
      <c r="D128" s="572" t="s">
        <v>638</v>
      </c>
      <c r="E128" s="572" t="s">
        <v>600</v>
      </c>
      <c r="F128" s="608">
        <f t="shared" si="13"/>
        <v>-770267.93162672012</v>
      </c>
      <c r="G128" s="1731">
        <f t="shared" si="14"/>
        <v>6.3E-3</v>
      </c>
      <c r="H128" s="589">
        <f t="shared" si="15"/>
        <v>-131223.53763218987</v>
      </c>
      <c r="I128" s="582">
        <f t="shared" si="11"/>
        <v>-4852.6879692483371</v>
      </c>
      <c r="J128" s="582">
        <f t="shared" si="12"/>
        <v>-643897.08196377871</v>
      </c>
      <c r="K128" s="572"/>
      <c r="L128" s="572"/>
      <c r="M128" s="572"/>
      <c r="N128" s="572"/>
      <c r="O128" s="572"/>
      <c r="P128" s="572"/>
      <c r="Q128" s="572"/>
      <c r="R128" s="572"/>
      <c r="S128" s="572"/>
    </row>
    <row r="129" spans="1:19" ht="13.5">
      <c r="A129" s="571"/>
      <c r="B129" s="571"/>
      <c r="C129" s="571"/>
      <c r="D129" s="572" t="s">
        <v>628</v>
      </c>
      <c r="E129" s="572" t="s">
        <v>601</v>
      </c>
      <c r="F129" s="608">
        <f t="shared" si="13"/>
        <v>-643897.08196377871</v>
      </c>
      <c r="G129" s="1731">
        <f t="shared" si="14"/>
        <v>6.3E-3</v>
      </c>
      <c r="H129" s="589">
        <f t="shared" si="15"/>
        <v>-131223.53763218987</v>
      </c>
      <c r="I129" s="582">
        <f t="shared" si="11"/>
        <v>-4056.5516163718057</v>
      </c>
      <c r="J129" s="582">
        <f t="shared" si="12"/>
        <v>-516730.09594796068</v>
      </c>
      <c r="K129" s="572"/>
      <c r="L129" s="572"/>
      <c r="M129" s="572"/>
      <c r="N129" s="572"/>
      <c r="O129" s="572"/>
      <c r="P129" s="572"/>
      <c r="Q129" s="572"/>
      <c r="R129" s="572"/>
      <c r="S129" s="572"/>
    </row>
    <row r="130" spans="1:19" ht="13.5">
      <c r="A130" s="571"/>
      <c r="B130" s="571"/>
      <c r="C130" s="571"/>
      <c r="D130" s="572" t="s">
        <v>629</v>
      </c>
      <c r="E130" s="572" t="s">
        <v>601</v>
      </c>
      <c r="F130" s="608">
        <f t="shared" si="13"/>
        <v>-516730.09594796068</v>
      </c>
      <c r="G130" s="1731">
        <f t="shared" si="14"/>
        <v>6.3E-3</v>
      </c>
      <c r="H130" s="589">
        <f t="shared" si="15"/>
        <v>-131223.53763218987</v>
      </c>
      <c r="I130" s="582">
        <f t="shared" si="11"/>
        <v>-3255.3996044721525</v>
      </c>
      <c r="J130" s="582">
        <f t="shared" si="12"/>
        <v>-388761.95792024297</v>
      </c>
      <c r="K130" s="572"/>
      <c r="L130" s="572"/>
      <c r="M130" s="572"/>
      <c r="N130" s="572"/>
      <c r="O130" s="572"/>
      <c r="P130" s="572"/>
      <c r="Q130" s="572"/>
      <c r="R130" s="572"/>
      <c r="S130" s="572"/>
    </row>
    <row r="131" spans="1:19" ht="13.5">
      <c r="A131" s="571"/>
      <c r="B131" s="571"/>
      <c r="C131" s="571"/>
      <c r="D131" s="572" t="s">
        <v>630</v>
      </c>
      <c r="E131" s="572" t="s">
        <v>601</v>
      </c>
      <c r="F131" s="608">
        <f t="shared" si="13"/>
        <v>-388761.95792024297</v>
      </c>
      <c r="G131" s="1731">
        <f t="shared" si="14"/>
        <v>6.3E-3</v>
      </c>
      <c r="H131" s="589">
        <f t="shared" si="15"/>
        <v>-131223.53763218987</v>
      </c>
      <c r="I131" s="582">
        <f t="shared" si="11"/>
        <v>-2449.2003348975309</v>
      </c>
      <c r="J131" s="582">
        <f t="shared" si="12"/>
        <v>-259987.62062295066</v>
      </c>
      <c r="K131" s="572"/>
      <c r="L131" s="572"/>
      <c r="M131" s="572"/>
      <c r="N131" s="572"/>
      <c r="O131" s="572"/>
      <c r="P131" s="572"/>
      <c r="Q131" s="572"/>
      <c r="R131" s="572"/>
      <c r="S131" s="572"/>
    </row>
    <row r="132" spans="1:19" ht="13.5">
      <c r="A132" s="571"/>
      <c r="B132" s="571"/>
      <c r="C132" s="571"/>
      <c r="D132" s="572" t="s">
        <v>631</v>
      </c>
      <c r="E132" s="572" t="s">
        <v>601</v>
      </c>
      <c r="F132" s="608">
        <f t="shared" si="13"/>
        <v>-259987.62062295066</v>
      </c>
      <c r="G132" s="1731">
        <f t="shared" si="14"/>
        <v>6.3E-3</v>
      </c>
      <c r="H132" s="589">
        <f t="shared" si="15"/>
        <v>-131223.53763218987</v>
      </c>
      <c r="I132" s="582">
        <f t="shared" si="11"/>
        <v>-1637.9220099245892</v>
      </c>
      <c r="J132" s="582">
        <f t="shared" si="12"/>
        <v>-130402.0050006854</v>
      </c>
      <c r="K132" s="572"/>
      <c r="L132" s="572"/>
      <c r="M132" s="572"/>
      <c r="N132" s="572"/>
      <c r="O132" s="572"/>
      <c r="P132" s="572"/>
      <c r="Q132" s="572"/>
      <c r="R132" s="572"/>
      <c r="S132" s="572"/>
    </row>
    <row r="133" spans="1:19" ht="13.5">
      <c r="A133" s="571"/>
      <c r="B133" s="571"/>
      <c r="C133" s="571"/>
      <c r="D133" s="572" t="s">
        <v>626</v>
      </c>
      <c r="E133" s="572" t="s">
        <v>601</v>
      </c>
      <c r="F133" s="608">
        <f t="shared" si="13"/>
        <v>-130402.0050006854</v>
      </c>
      <c r="G133" s="1731">
        <f t="shared" si="14"/>
        <v>6.3E-3</v>
      </c>
      <c r="H133" s="589">
        <f t="shared" si="15"/>
        <v>-131223.53763218987</v>
      </c>
      <c r="I133" s="582">
        <f t="shared" si="11"/>
        <v>-821.53263150431803</v>
      </c>
      <c r="J133" s="582">
        <f t="shared" si="12"/>
        <v>0</v>
      </c>
      <c r="K133" s="572"/>
      <c r="L133" s="572"/>
      <c r="M133" s="572"/>
      <c r="N133" s="572"/>
      <c r="O133" s="572"/>
      <c r="P133" s="572"/>
      <c r="Q133" s="572"/>
      <c r="R133" s="572"/>
      <c r="S133" s="572"/>
    </row>
    <row r="134" spans="1:19" ht="13.5">
      <c r="A134" s="571"/>
      <c r="B134" s="571"/>
      <c r="C134" s="571"/>
      <c r="D134" s="572" t="s">
        <v>657</v>
      </c>
      <c r="E134" s="572"/>
      <c r="F134" s="572"/>
      <c r="G134" s="572"/>
      <c r="H134" s="587">
        <f>SUM(H117:H133)</f>
        <v>-1574682.4515862789</v>
      </c>
      <c r="I134" s="572"/>
      <c r="J134" s="572"/>
      <c r="K134" s="572"/>
      <c r="L134" s="572"/>
      <c r="M134" s="572"/>
      <c r="N134" s="572"/>
      <c r="O134" s="572"/>
      <c r="P134" s="572"/>
      <c r="Q134" s="572"/>
      <c r="R134" s="572"/>
      <c r="S134" s="572"/>
    </row>
    <row r="135" spans="1:19" ht="13.5">
      <c r="A135" s="571"/>
      <c r="B135" s="571"/>
      <c r="C135" s="571"/>
      <c r="D135" s="572"/>
      <c r="E135" s="572"/>
      <c r="F135" s="572"/>
      <c r="G135" s="572"/>
      <c r="H135" s="572"/>
      <c r="I135" s="572"/>
      <c r="J135" s="572"/>
      <c r="K135" s="572"/>
      <c r="L135" s="572"/>
      <c r="M135" s="572"/>
      <c r="N135" s="572"/>
      <c r="O135" s="572"/>
      <c r="P135" s="572"/>
      <c r="Q135" s="572"/>
      <c r="R135" s="572"/>
      <c r="S135" s="572"/>
    </row>
    <row r="136" spans="1:19" ht="13.5">
      <c r="A136" s="420"/>
      <c r="B136" s="571"/>
      <c r="C136" s="571"/>
      <c r="D136" s="613" t="str">
        <f>+D134</f>
        <v>Total with interest</v>
      </c>
      <c r="E136" s="571"/>
      <c r="F136" s="419"/>
      <c r="G136" s="571"/>
      <c r="H136" s="587">
        <f>+H134</f>
        <v>-1574682.4515862789</v>
      </c>
      <c r="I136" s="571"/>
      <c r="J136" s="587"/>
      <c r="K136" s="572"/>
      <c r="L136" s="572"/>
      <c r="M136" s="572"/>
      <c r="N136" s="572"/>
      <c r="O136" s="572"/>
      <c r="P136" s="572"/>
      <c r="Q136" s="572"/>
      <c r="R136" s="572"/>
      <c r="S136" s="572"/>
    </row>
    <row r="137" spans="1:19" ht="13.5">
      <c r="A137" s="420"/>
      <c r="B137" s="571"/>
      <c r="C137" s="571"/>
      <c r="D137" s="613" t="s">
        <v>66</v>
      </c>
      <c r="E137" s="571"/>
      <c r="F137" s="419"/>
      <c r="G137" s="571"/>
      <c r="H137" s="616">
        <f>'ATT H-1 '!K286</f>
        <v>6232507.7851348016</v>
      </c>
      <c r="I137" s="584"/>
      <c r="J137" s="608"/>
      <c r="K137" s="572"/>
      <c r="L137" s="572"/>
      <c r="M137" s="572"/>
      <c r="N137" s="572"/>
      <c r="O137" s="572"/>
      <c r="P137" s="572"/>
      <c r="Q137" s="572"/>
      <c r="R137" s="572"/>
      <c r="S137" s="572"/>
    </row>
    <row r="138" spans="1:19" ht="13.5">
      <c r="A138" s="420"/>
      <c r="B138" s="571"/>
      <c r="C138" s="571"/>
      <c r="D138" s="613" t="s">
        <v>67</v>
      </c>
      <c r="E138" s="571"/>
      <c r="F138" s="419"/>
      <c r="G138" s="571"/>
      <c r="H138" s="587">
        <f>+H136+H137</f>
        <v>4657825.3335485226</v>
      </c>
      <c r="I138" s="575"/>
      <c r="J138" s="608"/>
      <c r="K138" s="572"/>
      <c r="L138" s="572"/>
      <c r="M138" s="572"/>
      <c r="N138" s="572"/>
      <c r="O138" s="572"/>
      <c r="P138" s="572"/>
      <c r="Q138" s="572"/>
      <c r="R138" s="572"/>
      <c r="S138" s="572"/>
    </row>
    <row r="139" spans="1:19" ht="13.5">
      <c r="A139" s="571"/>
      <c r="B139" s="571"/>
      <c r="C139" s="571"/>
      <c r="D139" s="604"/>
      <c r="E139" s="572"/>
      <c r="F139" s="572"/>
      <c r="G139" s="576"/>
      <c r="H139" s="608"/>
      <c r="I139" s="576"/>
      <c r="J139" s="572"/>
      <c r="K139" s="572"/>
      <c r="L139" s="572"/>
      <c r="M139" s="572"/>
      <c r="N139" s="572"/>
      <c r="O139" s="572"/>
      <c r="P139" s="572"/>
      <c r="Q139" s="572"/>
      <c r="R139" s="572"/>
      <c r="S139" s="572"/>
    </row>
    <row r="140" spans="1:19" ht="13.5">
      <c r="A140" s="571">
        <v>9</v>
      </c>
      <c r="B140" s="571" t="s">
        <v>625</v>
      </c>
      <c r="C140" s="571" t="s">
        <v>601</v>
      </c>
      <c r="D140" s="578" t="s">
        <v>1106</v>
      </c>
      <c r="E140" s="572"/>
      <c r="F140" s="572"/>
      <c r="G140" s="572"/>
      <c r="H140" s="572"/>
      <c r="I140" s="572"/>
      <c r="J140" s="419"/>
      <c r="K140" s="572"/>
      <c r="L140" s="572"/>
      <c r="M140" s="572"/>
      <c r="N140" s="572"/>
      <c r="O140" s="572"/>
      <c r="P140" s="572"/>
      <c r="Q140" s="572"/>
      <c r="R140" s="572"/>
      <c r="S140" s="572"/>
    </row>
    <row r="141" spans="1:19" ht="13.5">
      <c r="A141" s="571"/>
      <c r="B141" s="571"/>
      <c r="C141" s="571"/>
      <c r="D141" s="578"/>
      <c r="E141" s="572"/>
      <c r="F141" s="572"/>
      <c r="G141" s="572"/>
      <c r="H141" s="572"/>
      <c r="I141" s="572"/>
      <c r="J141" s="419"/>
      <c r="K141" s="572"/>
      <c r="L141" s="572"/>
      <c r="M141" s="572"/>
      <c r="N141" s="572"/>
      <c r="O141" s="572"/>
      <c r="P141" s="572"/>
      <c r="Q141" s="572"/>
      <c r="R141" s="572"/>
      <c r="S141" s="572"/>
    </row>
    <row r="142" spans="1:19" ht="13.5">
      <c r="A142" s="571"/>
      <c r="B142" s="419"/>
      <c r="C142" s="478" t="s">
        <v>263</v>
      </c>
      <c r="D142" s="478" t="s">
        <v>264</v>
      </c>
      <c r="E142" s="478" t="s">
        <v>356</v>
      </c>
      <c r="F142" s="478" t="s">
        <v>265</v>
      </c>
      <c r="G142" s="478" t="s">
        <v>266</v>
      </c>
      <c r="H142" s="478" t="s">
        <v>262</v>
      </c>
      <c r="I142" s="478"/>
      <c r="J142" s="478" t="s">
        <v>569</v>
      </c>
      <c r="K142" s="478" t="s">
        <v>570</v>
      </c>
      <c r="L142" s="478" t="s">
        <v>962</v>
      </c>
      <c r="M142" s="574" t="s">
        <v>963</v>
      </c>
      <c r="N142" s="571" t="s">
        <v>964</v>
      </c>
      <c r="O142" s="571" t="s">
        <v>965</v>
      </c>
      <c r="P142" s="571"/>
      <c r="Q142" s="571"/>
      <c r="R142" s="571"/>
      <c r="S142" s="571"/>
    </row>
    <row r="143" spans="1:19" ht="13.5">
      <c r="A143" s="571"/>
      <c r="B143" s="419"/>
      <c r="C143" s="571" t="s">
        <v>219</v>
      </c>
      <c r="D143" s="571" t="s">
        <v>219</v>
      </c>
      <c r="E143" s="571" t="s">
        <v>219</v>
      </c>
      <c r="F143" s="571" t="s">
        <v>219</v>
      </c>
      <c r="G143" s="571" t="s">
        <v>219</v>
      </c>
      <c r="H143" s="571" t="s">
        <v>219</v>
      </c>
      <c r="I143" s="571"/>
      <c r="J143" s="571" t="s">
        <v>72</v>
      </c>
      <c r="K143" s="571" t="s">
        <v>72</v>
      </c>
      <c r="L143" s="571" t="s">
        <v>72</v>
      </c>
      <c r="M143" s="571" t="s">
        <v>72</v>
      </c>
      <c r="N143" s="571" t="s">
        <v>72</v>
      </c>
      <c r="O143" s="571" t="s">
        <v>72</v>
      </c>
      <c r="P143" s="571"/>
      <c r="Q143" s="571"/>
      <c r="R143" s="571"/>
      <c r="S143" s="571"/>
    </row>
    <row r="144" spans="1:19" ht="13.5">
      <c r="A144" s="571"/>
      <c r="B144" s="572"/>
      <c r="C144" s="571" t="s">
        <v>68</v>
      </c>
      <c r="D144" s="571" t="s">
        <v>68</v>
      </c>
      <c r="E144" s="571" t="s">
        <v>68</v>
      </c>
      <c r="F144" s="622"/>
      <c r="G144" s="622"/>
      <c r="H144" s="622"/>
      <c r="I144" s="571"/>
      <c r="J144" s="571" t="s">
        <v>73</v>
      </c>
      <c r="K144" s="571" t="s">
        <v>74</v>
      </c>
      <c r="L144" s="571" t="s">
        <v>75</v>
      </c>
      <c r="M144" s="571" t="s">
        <v>76</v>
      </c>
      <c r="N144" s="571" t="s">
        <v>77</v>
      </c>
      <c r="O144" s="571" t="s">
        <v>78</v>
      </c>
      <c r="P144" s="571"/>
      <c r="Q144" s="571"/>
      <c r="R144" s="571"/>
      <c r="S144" s="571"/>
    </row>
    <row r="145" spans="1:19" ht="13.5">
      <c r="A145" s="571"/>
      <c r="B145" s="572"/>
      <c r="C145" s="571"/>
      <c r="D145" s="571"/>
      <c r="E145" s="571"/>
      <c r="F145" s="571" t="s">
        <v>69</v>
      </c>
      <c r="G145" s="571" t="s">
        <v>70</v>
      </c>
      <c r="H145" s="571" t="s">
        <v>71</v>
      </c>
      <c r="I145" s="571"/>
      <c r="J145" s="571"/>
      <c r="K145" s="571"/>
      <c r="L145" s="571"/>
      <c r="M145" s="571"/>
      <c r="N145" s="571"/>
      <c r="O145" s="571"/>
      <c r="P145" s="571"/>
      <c r="Q145" s="571"/>
      <c r="R145" s="571"/>
      <c r="S145" s="571"/>
    </row>
    <row r="146" spans="1:19" ht="13.5">
      <c r="A146" s="571"/>
      <c r="B146" s="572"/>
      <c r="C146" s="571"/>
      <c r="D146" s="586"/>
      <c r="E146" s="586"/>
      <c r="F146" s="586"/>
      <c r="G146" s="571"/>
      <c r="H146" s="571"/>
      <c r="I146" s="621"/>
      <c r="J146" s="571"/>
      <c r="K146" s="571"/>
      <c r="L146" s="587"/>
      <c r="M146" s="571"/>
      <c r="N146" s="571"/>
      <c r="O146" s="582"/>
      <c r="P146" s="571"/>
      <c r="Q146" s="605"/>
      <c r="R146" s="587"/>
      <c r="S146" s="571"/>
    </row>
    <row r="147" spans="1:19" ht="13.5">
      <c r="A147" s="571"/>
      <c r="B147" s="572" t="s">
        <v>628</v>
      </c>
      <c r="C147" s="588"/>
      <c r="D147" s="588"/>
      <c r="E147" s="588"/>
      <c r="F147" s="588"/>
      <c r="G147" s="588"/>
      <c r="H147" s="588"/>
      <c r="I147" s="621"/>
      <c r="J147" s="587">
        <f t="shared" ref="J147:O147" si="16">C147</f>
        <v>0</v>
      </c>
      <c r="K147" s="587">
        <f t="shared" si="16"/>
        <v>0</v>
      </c>
      <c r="L147" s="587">
        <f t="shared" si="16"/>
        <v>0</v>
      </c>
      <c r="M147" s="587">
        <f t="shared" si="16"/>
        <v>0</v>
      </c>
      <c r="N147" s="587">
        <f t="shared" si="16"/>
        <v>0</v>
      </c>
      <c r="O147" s="587">
        <f t="shared" si="16"/>
        <v>0</v>
      </c>
      <c r="P147" s="587"/>
      <c r="Q147" s="587"/>
      <c r="R147" s="587"/>
      <c r="S147" s="582"/>
    </row>
    <row r="148" spans="1:19" ht="13.5">
      <c r="A148" s="571"/>
      <c r="B148" s="572" t="s">
        <v>629</v>
      </c>
      <c r="C148" s="588"/>
      <c r="D148" s="588"/>
      <c r="E148" s="588"/>
      <c r="F148" s="588"/>
      <c r="G148" s="588"/>
      <c r="H148" s="588"/>
      <c r="I148" s="621"/>
      <c r="J148" s="587">
        <f>J147+C148</f>
        <v>0</v>
      </c>
      <c r="K148" s="587">
        <f t="shared" ref="K148:K158" si="17">K147+D148</f>
        <v>0</v>
      </c>
      <c r="L148" s="587">
        <f t="shared" ref="L148:L158" si="18">L147+E148</f>
        <v>0</v>
      </c>
      <c r="M148" s="587">
        <f t="shared" ref="M148:M158" si="19">M147+F148</f>
        <v>0</v>
      </c>
      <c r="N148" s="587">
        <f t="shared" ref="N148:N158" si="20">N147+G148</f>
        <v>0</v>
      </c>
      <c r="O148" s="587">
        <f t="shared" ref="O148:O158" si="21">O147+H148</f>
        <v>0</v>
      </c>
      <c r="P148" s="587"/>
      <c r="Q148" s="587"/>
      <c r="R148" s="587"/>
      <c r="S148" s="582"/>
    </row>
    <row r="149" spans="1:19" ht="13.5">
      <c r="A149" s="571"/>
      <c r="B149" s="572" t="s">
        <v>630</v>
      </c>
      <c r="C149" s="588"/>
      <c r="D149" s="588"/>
      <c r="E149" s="588"/>
      <c r="F149" s="588"/>
      <c r="G149" s="588"/>
      <c r="H149" s="588"/>
      <c r="I149" s="621"/>
      <c r="J149" s="587">
        <f t="shared" ref="J149:J158" si="22">J148+C149</f>
        <v>0</v>
      </c>
      <c r="K149" s="587">
        <f t="shared" si="17"/>
        <v>0</v>
      </c>
      <c r="L149" s="587">
        <f t="shared" si="18"/>
        <v>0</v>
      </c>
      <c r="M149" s="587">
        <f t="shared" si="19"/>
        <v>0</v>
      </c>
      <c r="N149" s="587">
        <f t="shared" si="20"/>
        <v>0</v>
      </c>
      <c r="O149" s="587">
        <f t="shared" si="21"/>
        <v>0</v>
      </c>
      <c r="P149" s="587"/>
      <c r="Q149" s="587"/>
      <c r="R149" s="587"/>
      <c r="S149" s="582"/>
    </row>
    <row r="150" spans="1:19" ht="13.5">
      <c r="A150" s="571"/>
      <c r="B150" s="572" t="s">
        <v>631</v>
      </c>
      <c r="C150" s="588"/>
      <c r="D150" s="588"/>
      <c r="E150" s="588"/>
      <c r="F150" s="588"/>
      <c r="G150" s="588"/>
      <c r="H150" s="588"/>
      <c r="I150" s="621"/>
      <c r="J150" s="587">
        <f t="shared" si="22"/>
        <v>0</v>
      </c>
      <c r="K150" s="587">
        <f t="shared" si="17"/>
        <v>0</v>
      </c>
      <c r="L150" s="587">
        <f t="shared" si="18"/>
        <v>0</v>
      </c>
      <c r="M150" s="587">
        <f t="shared" si="19"/>
        <v>0</v>
      </c>
      <c r="N150" s="587">
        <f t="shared" si="20"/>
        <v>0</v>
      </c>
      <c r="O150" s="587">
        <f t="shared" si="21"/>
        <v>0</v>
      </c>
      <c r="P150" s="587"/>
      <c r="Q150" s="587"/>
      <c r="R150" s="587"/>
      <c r="S150" s="582"/>
    </row>
    <row r="151" spans="1:19" ht="13.5">
      <c r="A151" s="571"/>
      <c r="B151" s="572" t="s">
        <v>626</v>
      </c>
      <c r="C151" s="588"/>
      <c r="D151" s="588"/>
      <c r="E151" s="588"/>
      <c r="F151" s="588"/>
      <c r="G151" s="588"/>
      <c r="H151" s="588"/>
      <c r="I151" s="621"/>
      <c r="J151" s="587">
        <f t="shared" si="22"/>
        <v>0</v>
      </c>
      <c r="K151" s="587">
        <f t="shared" si="17"/>
        <v>0</v>
      </c>
      <c r="L151" s="587">
        <f t="shared" si="18"/>
        <v>0</v>
      </c>
      <c r="M151" s="587">
        <f t="shared" si="19"/>
        <v>0</v>
      </c>
      <c r="N151" s="587">
        <f t="shared" si="20"/>
        <v>0</v>
      </c>
      <c r="O151" s="587">
        <f t="shared" si="21"/>
        <v>0</v>
      </c>
      <c r="P151" s="587"/>
      <c r="Q151" s="587"/>
      <c r="R151" s="587"/>
      <c r="S151" s="582"/>
    </row>
    <row r="152" spans="1:19" ht="13.5">
      <c r="A152" s="571"/>
      <c r="B152" s="572" t="s">
        <v>632</v>
      </c>
      <c r="C152" s="588"/>
      <c r="D152" s="588"/>
      <c r="E152" s="588"/>
      <c r="F152" s="588"/>
      <c r="G152" s="588"/>
      <c r="H152" s="588"/>
      <c r="I152" s="621"/>
      <c r="J152" s="587">
        <f t="shared" si="22"/>
        <v>0</v>
      </c>
      <c r="K152" s="587">
        <f t="shared" si="17"/>
        <v>0</v>
      </c>
      <c r="L152" s="587">
        <f t="shared" si="18"/>
        <v>0</v>
      </c>
      <c r="M152" s="587">
        <f t="shared" si="19"/>
        <v>0</v>
      </c>
      <c r="N152" s="587">
        <f t="shared" si="20"/>
        <v>0</v>
      </c>
      <c r="O152" s="587">
        <f t="shared" si="21"/>
        <v>0</v>
      </c>
      <c r="P152" s="587"/>
      <c r="Q152" s="587"/>
      <c r="R152" s="587"/>
      <c r="S152" s="582"/>
    </row>
    <row r="153" spans="1:19" ht="13.5">
      <c r="A153" s="571"/>
      <c r="B153" s="572" t="s">
        <v>633</v>
      </c>
      <c r="C153" s="588"/>
      <c r="D153" s="588"/>
      <c r="E153" s="588"/>
      <c r="F153" s="588"/>
      <c r="G153" s="588"/>
      <c r="H153" s="588"/>
      <c r="I153" s="621"/>
      <c r="J153" s="587">
        <f t="shared" si="22"/>
        <v>0</v>
      </c>
      <c r="K153" s="587">
        <f t="shared" si="17"/>
        <v>0</v>
      </c>
      <c r="L153" s="587">
        <f t="shared" si="18"/>
        <v>0</v>
      </c>
      <c r="M153" s="587">
        <f t="shared" si="19"/>
        <v>0</v>
      </c>
      <c r="N153" s="587">
        <f t="shared" si="20"/>
        <v>0</v>
      </c>
      <c r="O153" s="587">
        <f t="shared" si="21"/>
        <v>0</v>
      </c>
      <c r="P153" s="587"/>
      <c r="Q153" s="587"/>
      <c r="R153" s="587"/>
      <c r="S153" s="582"/>
    </row>
    <row r="154" spans="1:19" ht="13.5">
      <c r="A154" s="571"/>
      <c r="B154" s="572" t="s">
        <v>634</v>
      </c>
      <c r="C154" s="588"/>
      <c r="D154" s="588"/>
      <c r="E154" s="588"/>
      <c r="F154" s="588"/>
      <c r="G154" s="588"/>
      <c r="H154" s="588"/>
      <c r="I154" s="621"/>
      <c r="J154" s="587">
        <f t="shared" si="22"/>
        <v>0</v>
      </c>
      <c r="K154" s="587">
        <f t="shared" si="17"/>
        <v>0</v>
      </c>
      <c r="L154" s="587">
        <f t="shared" si="18"/>
        <v>0</v>
      </c>
      <c r="M154" s="587">
        <f t="shared" si="19"/>
        <v>0</v>
      </c>
      <c r="N154" s="587">
        <f t="shared" si="20"/>
        <v>0</v>
      </c>
      <c r="O154" s="587">
        <f t="shared" si="21"/>
        <v>0</v>
      </c>
      <c r="P154" s="587"/>
      <c r="Q154" s="587"/>
      <c r="R154" s="587"/>
      <c r="S154" s="582"/>
    </row>
    <row r="155" spans="1:19" ht="13.5">
      <c r="A155" s="571"/>
      <c r="B155" s="572" t="s">
        <v>635</v>
      </c>
      <c r="C155" s="588"/>
      <c r="D155" s="588"/>
      <c r="E155" s="588"/>
      <c r="F155" s="588"/>
      <c r="G155" s="588"/>
      <c r="H155" s="588"/>
      <c r="I155" s="621"/>
      <c r="J155" s="587">
        <f t="shared" si="22"/>
        <v>0</v>
      </c>
      <c r="K155" s="587">
        <f t="shared" si="17"/>
        <v>0</v>
      </c>
      <c r="L155" s="587">
        <f t="shared" si="18"/>
        <v>0</v>
      </c>
      <c r="M155" s="587">
        <f t="shared" si="19"/>
        <v>0</v>
      </c>
      <c r="N155" s="587">
        <f t="shared" si="20"/>
        <v>0</v>
      </c>
      <c r="O155" s="587">
        <f t="shared" si="21"/>
        <v>0</v>
      </c>
      <c r="P155" s="587"/>
      <c r="Q155" s="587"/>
      <c r="R155" s="587"/>
      <c r="S155" s="582"/>
    </row>
    <row r="156" spans="1:19" ht="13.5">
      <c r="A156" s="571"/>
      <c r="B156" s="572" t="s">
        <v>636</v>
      </c>
      <c r="C156" s="588"/>
      <c r="D156" s="588"/>
      <c r="E156" s="588"/>
      <c r="F156" s="588"/>
      <c r="G156" s="588"/>
      <c r="H156" s="588"/>
      <c r="I156" s="621"/>
      <c r="J156" s="587">
        <f t="shared" si="22"/>
        <v>0</v>
      </c>
      <c r="K156" s="587">
        <f t="shared" si="17"/>
        <v>0</v>
      </c>
      <c r="L156" s="587">
        <f t="shared" si="18"/>
        <v>0</v>
      </c>
      <c r="M156" s="587">
        <f t="shared" si="19"/>
        <v>0</v>
      </c>
      <c r="N156" s="587">
        <f t="shared" si="20"/>
        <v>0</v>
      </c>
      <c r="O156" s="587">
        <f t="shared" si="21"/>
        <v>0</v>
      </c>
      <c r="P156" s="587"/>
      <c r="Q156" s="587"/>
      <c r="R156" s="587"/>
      <c r="S156" s="582"/>
    </row>
    <row r="157" spans="1:19" ht="13.5">
      <c r="A157" s="571"/>
      <c r="B157" s="572" t="s">
        <v>637</v>
      </c>
      <c r="C157" s="588"/>
      <c r="D157" s="588"/>
      <c r="E157" s="588"/>
      <c r="F157" s="588"/>
      <c r="G157" s="588"/>
      <c r="H157" s="588"/>
      <c r="I157" s="621"/>
      <c r="J157" s="587">
        <f t="shared" si="22"/>
        <v>0</v>
      </c>
      <c r="K157" s="587">
        <f t="shared" si="17"/>
        <v>0</v>
      </c>
      <c r="L157" s="587">
        <f t="shared" si="18"/>
        <v>0</v>
      </c>
      <c r="M157" s="587">
        <f t="shared" si="19"/>
        <v>0</v>
      </c>
      <c r="N157" s="587">
        <f t="shared" si="20"/>
        <v>0</v>
      </c>
      <c r="O157" s="587">
        <f t="shared" si="21"/>
        <v>0</v>
      </c>
      <c r="P157" s="587"/>
      <c r="Q157" s="587"/>
      <c r="R157" s="587"/>
      <c r="S157" s="582"/>
    </row>
    <row r="158" spans="1:19" ht="13.5">
      <c r="A158" s="571"/>
      <c r="B158" s="572" t="s">
        <v>638</v>
      </c>
      <c r="C158" s="588"/>
      <c r="D158" s="588"/>
      <c r="E158" s="588"/>
      <c r="F158" s="588"/>
      <c r="G158" s="588"/>
      <c r="H158" s="588"/>
      <c r="I158" s="621"/>
      <c r="J158" s="587">
        <f t="shared" si="22"/>
        <v>0</v>
      </c>
      <c r="K158" s="587">
        <f t="shared" si="17"/>
        <v>0</v>
      </c>
      <c r="L158" s="587">
        <f t="shared" si="18"/>
        <v>0</v>
      </c>
      <c r="M158" s="587">
        <f t="shared" si="19"/>
        <v>0</v>
      </c>
      <c r="N158" s="587">
        <f t="shared" si="20"/>
        <v>0</v>
      </c>
      <c r="O158" s="587">
        <f t="shared" si="21"/>
        <v>0</v>
      </c>
      <c r="P158" s="587"/>
      <c r="Q158" s="587"/>
      <c r="R158" s="587"/>
      <c r="S158" s="582"/>
    </row>
    <row r="159" spans="1:19" ht="13.5">
      <c r="A159" s="571"/>
      <c r="B159" s="572" t="s">
        <v>850</v>
      </c>
      <c r="C159" s="587">
        <f t="shared" ref="C159:H159" si="23">SUM(C147:C158)</f>
        <v>0</v>
      </c>
      <c r="D159" s="587">
        <f t="shared" si="23"/>
        <v>0</v>
      </c>
      <c r="E159" s="587">
        <f t="shared" si="23"/>
        <v>0</v>
      </c>
      <c r="F159" s="587">
        <f t="shared" si="23"/>
        <v>0</v>
      </c>
      <c r="G159" s="587">
        <f t="shared" si="23"/>
        <v>0</v>
      </c>
      <c r="H159" s="587">
        <f t="shared" si="23"/>
        <v>0</v>
      </c>
      <c r="I159" s="587" t="s">
        <v>79</v>
      </c>
      <c r="J159" s="587">
        <f t="shared" ref="J159:O159" si="24">AVERAGE(J147:J158)</f>
        <v>0</v>
      </c>
      <c r="K159" s="587">
        <f t="shared" si="24"/>
        <v>0</v>
      </c>
      <c r="L159" s="587">
        <f t="shared" si="24"/>
        <v>0</v>
      </c>
      <c r="M159" s="587">
        <f t="shared" si="24"/>
        <v>0</v>
      </c>
      <c r="N159" s="587">
        <f t="shared" si="24"/>
        <v>0</v>
      </c>
      <c r="O159" s="587">
        <f t="shared" si="24"/>
        <v>0</v>
      </c>
      <c r="P159" s="587"/>
      <c r="Q159" s="587"/>
      <c r="R159" s="587"/>
      <c r="S159" s="587"/>
    </row>
    <row r="160" spans="1:19" ht="13.5">
      <c r="A160" s="571"/>
      <c r="C160" s="572"/>
      <c r="D160" s="419"/>
      <c r="E160" s="419"/>
      <c r="F160" s="419"/>
      <c r="G160" s="419"/>
      <c r="H160" s="419"/>
      <c r="I160" s="419"/>
      <c r="J160" s="419"/>
      <c r="K160" s="419"/>
      <c r="L160" s="589"/>
      <c r="M160" s="572"/>
      <c r="N160" s="572"/>
      <c r="O160" s="572"/>
      <c r="P160" s="419"/>
      <c r="Q160" s="589"/>
      <c r="R160" s="572"/>
      <c r="S160" s="572"/>
    </row>
    <row r="161" spans="1:19" ht="15.75">
      <c r="A161" s="571" t="s">
        <v>759</v>
      </c>
      <c r="B161" s="572" t="s">
        <v>81</v>
      </c>
      <c r="C161" s="572"/>
      <c r="D161" s="419"/>
      <c r="E161" s="419"/>
      <c r="F161" s="419"/>
      <c r="G161" s="419"/>
      <c r="H161" s="419"/>
      <c r="I161" s="419"/>
      <c r="J161" s="572"/>
      <c r="K161" s="623" t="s">
        <v>80</v>
      </c>
      <c r="L161" s="419"/>
      <c r="M161" s="587">
        <f>SUM(J159:O159)</f>
        <v>0</v>
      </c>
      <c r="N161" s="587"/>
      <c r="O161" s="1767" t="s">
        <v>1107</v>
      </c>
      <c r="P161" s="572"/>
      <c r="Q161" s="589"/>
      <c r="R161" s="587"/>
      <c r="S161" s="587"/>
    </row>
    <row r="162" spans="1:19" ht="13.5">
      <c r="A162" s="571"/>
      <c r="B162" s="572"/>
      <c r="C162" s="572"/>
      <c r="D162" s="419"/>
      <c r="E162" s="419"/>
      <c r="F162" s="419"/>
      <c r="G162" s="419"/>
      <c r="H162" s="419"/>
      <c r="I162" s="419"/>
      <c r="J162" s="572"/>
      <c r="K162" s="572"/>
      <c r="L162" s="587"/>
      <c r="M162" s="572"/>
      <c r="N162" s="419"/>
      <c r="O162" s="572"/>
      <c r="P162" s="572"/>
      <c r="Q162" s="572"/>
      <c r="R162" s="572"/>
      <c r="S162" s="572"/>
    </row>
    <row r="163" spans="1:19" ht="13.5">
      <c r="A163" s="571"/>
      <c r="B163" s="571"/>
      <c r="C163" s="571"/>
      <c r="D163" s="593"/>
      <c r="E163" s="571"/>
      <c r="F163" s="587"/>
      <c r="G163" s="571"/>
      <c r="H163" s="587"/>
      <c r="I163" s="575"/>
      <c r="J163" s="608"/>
      <c r="K163" s="572"/>
      <c r="L163" s="572"/>
      <c r="M163" s="572"/>
      <c r="N163" s="572"/>
      <c r="O163" s="572"/>
      <c r="P163" s="572"/>
      <c r="Q163" s="572"/>
      <c r="R163" s="572"/>
      <c r="S163" s="572"/>
    </row>
    <row r="164" spans="1:19" ht="13.5">
      <c r="A164" s="571">
        <v>10</v>
      </c>
      <c r="B164" s="571" t="s">
        <v>626</v>
      </c>
      <c r="C164" s="571" t="s">
        <v>601</v>
      </c>
      <c r="D164" s="578" t="s">
        <v>460</v>
      </c>
      <c r="E164" s="572"/>
      <c r="F164" s="572"/>
      <c r="G164" s="572"/>
      <c r="H164" s="572"/>
      <c r="I164" s="575"/>
      <c r="J164" s="576"/>
      <c r="K164" s="572"/>
      <c r="L164" s="572"/>
      <c r="M164" s="572"/>
      <c r="N164" s="572"/>
      <c r="O164" s="572"/>
      <c r="P164" s="572"/>
      <c r="Q164" s="576"/>
      <c r="R164" s="617"/>
      <c r="S164" s="617"/>
    </row>
    <row r="165" spans="1:19" ht="13.5">
      <c r="A165" s="571"/>
      <c r="B165" s="571"/>
      <c r="C165" s="571"/>
      <c r="D165" s="594"/>
      <c r="E165" s="572" t="s">
        <v>961</v>
      </c>
      <c r="F165" s="572"/>
      <c r="G165" s="572"/>
      <c r="H165" s="572"/>
      <c r="I165" s="576"/>
      <c r="J165" s="576"/>
      <c r="K165" s="572"/>
      <c r="L165" s="572"/>
      <c r="M165" s="572"/>
      <c r="N165" s="572"/>
      <c r="O165" s="572"/>
      <c r="P165" s="572"/>
      <c r="Q165" s="572"/>
      <c r="R165" s="572"/>
      <c r="S165" s="572"/>
    </row>
    <row r="166" spans="1:19" ht="13.5">
      <c r="A166" s="571"/>
      <c r="B166" s="571"/>
      <c r="C166" s="571"/>
      <c r="D166" s="600"/>
      <c r="E166" s="593"/>
      <c r="F166" s="572"/>
      <c r="G166" s="572"/>
      <c r="H166" s="572"/>
      <c r="I166" s="576"/>
      <c r="J166" s="576"/>
      <c r="K166" s="572"/>
      <c r="L166" s="572"/>
      <c r="M166" s="572"/>
      <c r="N166" s="572"/>
      <c r="O166" s="572"/>
      <c r="P166" s="572"/>
      <c r="Q166" s="572"/>
      <c r="R166" s="572"/>
      <c r="S166" s="572"/>
    </row>
    <row r="167" spans="1:19" ht="13.5">
      <c r="A167" s="571"/>
      <c r="B167" s="571"/>
      <c r="C167" s="571"/>
      <c r="D167" s="594"/>
      <c r="E167" s="572"/>
      <c r="F167" s="572"/>
      <c r="G167" s="572"/>
      <c r="H167" s="572"/>
      <c r="I167" s="576"/>
      <c r="J167" s="576"/>
      <c r="K167" s="572"/>
      <c r="L167" s="572"/>
      <c r="M167" s="572"/>
      <c r="N167" s="572"/>
      <c r="O167" s="572"/>
      <c r="P167" s="572"/>
      <c r="Q167" s="572"/>
      <c r="R167" s="572"/>
      <c r="S167" s="572"/>
    </row>
    <row r="168" spans="1:19" ht="13.5">
      <c r="A168" s="571">
        <v>11</v>
      </c>
      <c r="B168" s="571" t="s">
        <v>627</v>
      </c>
      <c r="C168" s="571" t="s">
        <v>601</v>
      </c>
      <c r="D168" s="601" t="s">
        <v>1096</v>
      </c>
      <c r="E168" s="572"/>
      <c r="F168" s="572"/>
      <c r="G168" s="572"/>
      <c r="H168" s="572"/>
      <c r="I168" s="572"/>
      <c r="J168" s="572"/>
      <c r="K168" s="572"/>
      <c r="L168" s="572"/>
      <c r="M168" s="572"/>
      <c r="N168" s="572"/>
      <c r="O168" s="572"/>
      <c r="P168" s="572"/>
      <c r="Q168" s="572"/>
      <c r="R168" s="572"/>
      <c r="S168" s="572"/>
    </row>
    <row r="169" spans="1:19" ht="13.5">
      <c r="A169" s="571"/>
      <c r="B169" s="571"/>
      <c r="C169" s="571"/>
      <c r="D169" s="618">
        <v>0</v>
      </c>
      <c r="E169" s="572"/>
      <c r="F169" s="572"/>
      <c r="G169" s="572"/>
      <c r="H169" s="572"/>
      <c r="I169" s="572"/>
      <c r="J169" s="572"/>
      <c r="K169" s="572"/>
      <c r="L169" s="572"/>
      <c r="M169" s="572"/>
      <c r="N169" s="572"/>
      <c r="O169" s="572"/>
      <c r="P169" s="572"/>
      <c r="Q169" s="572"/>
      <c r="R169" s="572"/>
      <c r="S169" s="572"/>
    </row>
    <row r="170" spans="1:19" ht="13.5">
      <c r="A170" s="571"/>
      <c r="B170" s="571"/>
      <c r="C170" s="571"/>
      <c r="D170" s="572"/>
      <c r="E170" s="572"/>
      <c r="F170" s="572"/>
      <c r="G170" s="572"/>
      <c r="H170" s="572"/>
      <c r="I170" s="572"/>
      <c r="J170" s="572"/>
      <c r="K170" s="572"/>
      <c r="L170" s="572"/>
      <c r="M170" s="572"/>
      <c r="N170" s="572"/>
      <c r="O170" s="572"/>
      <c r="P170" s="572"/>
      <c r="Q170" s="572"/>
      <c r="R170" s="572"/>
      <c r="S170" s="572"/>
    </row>
    <row r="171" spans="1:19" ht="13.5">
      <c r="A171" s="571"/>
      <c r="B171" s="572"/>
      <c r="C171" s="571"/>
      <c r="D171" s="593"/>
      <c r="E171" s="572"/>
      <c r="F171" s="572"/>
      <c r="G171" s="572"/>
      <c r="H171" s="572"/>
      <c r="I171" s="572"/>
      <c r="J171" s="572"/>
      <c r="K171" s="572"/>
      <c r="L171" s="572"/>
      <c r="M171" s="572"/>
      <c r="N171" s="572"/>
      <c r="O171" s="572"/>
      <c r="P171" s="572"/>
      <c r="Q171" s="572"/>
      <c r="R171" s="572"/>
      <c r="S171" s="572"/>
    </row>
    <row r="172" spans="1:19" ht="13.5">
      <c r="A172" s="571"/>
      <c r="B172" s="571"/>
      <c r="C172" s="571"/>
      <c r="D172" s="572"/>
      <c r="E172" s="572"/>
      <c r="F172" s="572"/>
      <c r="G172" s="572"/>
      <c r="H172" s="572"/>
      <c r="I172" s="572"/>
      <c r="J172" s="572"/>
      <c r="K172" s="572"/>
      <c r="L172" s="572"/>
      <c r="M172" s="572"/>
      <c r="N172" s="572"/>
      <c r="O172" s="572"/>
      <c r="P172" s="572"/>
      <c r="Q172" s="572"/>
      <c r="R172" s="572"/>
      <c r="S172" s="572"/>
    </row>
    <row r="173" spans="1:19" ht="13.5">
      <c r="A173" s="571"/>
      <c r="B173" s="571"/>
      <c r="C173" s="571"/>
      <c r="D173" s="572"/>
      <c r="E173" s="572"/>
      <c r="F173" s="572"/>
      <c r="G173" s="572"/>
      <c r="H173" s="572"/>
      <c r="I173" s="572"/>
      <c r="J173" s="572"/>
      <c r="K173" s="572"/>
      <c r="L173" s="572"/>
      <c r="M173" s="572"/>
      <c r="N173" s="572"/>
      <c r="O173" s="572"/>
      <c r="P173" s="572"/>
      <c r="Q173" s="572"/>
      <c r="R173" s="572"/>
      <c r="S173" s="572"/>
    </row>
    <row r="174" spans="1:19" ht="13.5">
      <c r="A174" s="571"/>
      <c r="B174" s="571"/>
      <c r="C174" s="571"/>
      <c r="D174" s="572"/>
      <c r="E174" s="572"/>
      <c r="F174" s="572"/>
      <c r="G174" s="572"/>
      <c r="H174" s="572"/>
      <c r="I174" s="572"/>
      <c r="J174" s="572"/>
      <c r="K174" s="572"/>
      <c r="L174" s="572"/>
      <c r="M174" s="572"/>
      <c r="N174" s="572"/>
      <c r="O174" s="572"/>
      <c r="P174" s="572"/>
      <c r="Q174" s="572"/>
      <c r="R174" s="572"/>
      <c r="S174" s="572"/>
    </row>
    <row r="175" spans="1:19" ht="13.5">
      <c r="A175" s="571"/>
      <c r="B175" s="571"/>
      <c r="C175" s="571"/>
      <c r="D175" s="572"/>
      <c r="E175" s="572"/>
      <c r="F175" s="572"/>
      <c r="G175" s="572"/>
      <c r="H175" s="572"/>
      <c r="I175" s="572"/>
      <c r="J175" s="572"/>
      <c r="K175" s="572"/>
      <c r="L175" s="572"/>
      <c r="M175" s="572"/>
      <c r="N175" s="572"/>
      <c r="O175" s="572"/>
      <c r="P175" s="572"/>
      <c r="Q175" s="572"/>
      <c r="R175" s="572"/>
      <c r="S175" s="572"/>
    </row>
    <row r="176" spans="1:19" ht="13.5">
      <c r="A176" s="571"/>
      <c r="B176" s="571"/>
      <c r="C176" s="571"/>
      <c r="D176" s="572"/>
      <c r="E176" s="572"/>
      <c r="F176" s="572"/>
      <c r="G176" s="572"/>
      <c r="H176" s="572"/>
      <c r="I176" s="572"/>
      <c r="J176" s="572"/>
      <c r="K176" s="572"/>
      <c r="L176" s="572"/>
      <c r="M176" s="572"/>
      <c r="N176" s="572"/>
      <c r="O176" s="572"/>
      <c r="P176" s="572"/>
      <c r="Q176" s="572"/>
      <c r="R176" s="572"/>
      <c r="S176" s="572"/>
    </row>
    <row r="177" spans="1:19" ht="13.5">
      <c r="A177" s="571"/>
      <c r="B177" s="571"/>
      <c r="C177" s="571"/>
      <c r="D177" s="572"/>
      <c r="E177" s="572"/>
      <c r="F177" s="572"/>
      <c r="G177" s="572"/>
      <c r="H177" s="572"/>
      <c r="I177" s="572"/>
      <c r="J177" s="572"/>
      <c r="K177" s="572"/>
      <c r="L177" s="572"/>
      <c r="M177" s="572"/>
      <c r="N177" s="572"/>
      <c r="O177" s="572"/>
      <c r="P177" s="572"/>
      <c r="Q177" s="572"/>
      <c r="R177" s="572"/>
      <c r="S177" s="572"/>
    </row>
    <row r="178" spans="1:19" ht="13.5">
      <c r="A178" s="571"/>
      <c r="B178" s="571"/>
      <c r="C178" s="571"/>
      <c r="D178" s="572"/>
      <c r="E178" s="572"/>
      <c r="F178" s="572"/>
      <c r="G178" s="572"/>
      <c r="H178" s="572"/>
      <c r="I178" s="572"/>
      <c r="J178" s="572"/>
      <c r="K178" s="572"/>
      <c r="L178" s="572"/>
      <c r="M178" s="572"/>
      <c r="N178" s="572"/>
      <c r="O178" s="572"/>
      <c r="P178" s="572"/>
      <c r="Q178" s="572"/>
      <c r="R178" s="572"/>
      <c r="S178" s="572"/>
    </row>
    <row r="179" spans="1:19" ht="13.5">
      <c r="A179" s="571"/>
      <c r="B179" s="571"/>
      <c r="C179" s="571"/>
      <c r="D179" s="572"/>
      <c r="E179" s="572"/>
      <c r="F179" s="572"/>
      <c r="G179" s="572"/>
      <c r="H179" s="572"/>
      <c r="I179" s="572"/>
      <c r="J179" s="572"/>
      <c r="K179" s="572"/>
      <c r="L179" s="572"/>
      <c r="M179" s="572"/>
      <c r="N179" s="572"/>
      <c r="O179" s="572"/>
      <c r="P179" s="572"/>
      <c r="Q179" s="572"/>
      <c r="R179" s="572"/>
      <c r="S179" s="572"/>
    </row>
    <row r="180" spans="1:19" ht="13.5">
      <c r="A180" s="571"/>
      <c r="B180" s="571"/>
      <c r="C180" s="571"/>
      <c r="D180" s="572"/>
      <c r="E180" s="572"/>
      <c r="F180" s="572"/>
      <c r="G180" s="572"/>
      <c r="H180" s="572"/>
      <c r="I180" s="572"/>
      <c r="J180" s="572"/>
      <c r="K180" s="572"/>
      <c r="L180" s="572"/>
      <c r="M180" s="572"/>
      <c r="N180" s="572"/>
      <c r="O180" s="572"/>
      <c r="P180" s="572"/>
      <c r="Q180" s="572"/>
      <c r="R180" s="572"/>
      <c r="S180" s="572"/>
    </row>
    <row r="181" spans="1:19" ht="13.5">
      <c r="A181" s="571"/>
      <c r="B181" s="571"/>
      <c r="C181" s="571"/>
      <c r="D181" s="572"/>
      <c r="E181" s="572"/>
      <c r="F181" s="572"/>
      <c r="G181" s="572"/>
      <c r="H181" s="572"/>
      <c r="I181" s="572"/>
      <c r="J181" s="572"/>
      <c r="K181" s="572"/>
      <c r="L181" s="572"/>
      <c r="M181" s="572"/>
      <c r="N181" s="572"/>
      <c r="O181" s="572"/>
      <c r="P181" s="572"/>
      <c r="Q181" s="572"/>
      <c r="R181" s="572"/>
      <c r="S181" s="572"/>
    </row>
    <row r="182" spans="1:19" ht="13.5">
      <c r="A182" s="571"/>
      <c r="B182" s="571"/>
      <c r="C182" s="571"/>
      <c r="D182" s="572"/>
      <c r="E182" s="572"/>
      <c r="F182" s="572"/>
      <c r="G182" s="572"/>
      <c r="H182" s="572"/>
      <c r="I182" s="572"/>
      <c r="J182" s="572"/>
      <c r="K182" s="572"/>
      <c r="L182" s="572"/>
      <c r="M182" s="572"/>
      <c r="N182" s="572"/>
      <c r="O182" s="572"/>
      <c r="P182" s="572"/>
      <c r="Q182" s="572"/>
      <c r="R182" s="572"/>
      <c r="S182" s="572"/>
    </row>
    <row r="183" spans="1:19" ht="13.5">
      <c r="A183" s="571"/>
      <c r="B183" s="571"/>
      <c r="C183" s="571"/>
      <c r="D183" s="572"/>
      <c r="E183" s="572"/>
      <c r="F183" s="572"/>
      <c r="G183" s="572"/>
      <c r="H183" s="572"/>
      <c r="I183" s="572"/>
      <c r="J183" s="572"/>
      <c r="K183" s="572"/>
      <c r="L183" s="572"/>
      <c r="M183" s="572"/>
      <c r="N183" s="572"/>
      <c r="O183" s="572"/>
      <c r="P183" s="572"/>
      <c r="Q183" s="572"/>
      <c r="R183" s="572"/>
      <c r="S183" s="572"/>
    </row>
    <row r="184" spans="1:19" ht="13.5">
      <c r="A184" s="571"/>
      <c r="B184" s="571"/>
      <c r="C184" s="571"/>
      <c r="D184" s="572"/>
      <c r="E184" s="572"/>
      <c r="F184" s="572"/>
      <c r="G184" s="572"/>
      <c r="H184" s="572"/>
      <c r="I184" s="572"/>
      <c r="J184" s="572"/>
      <c r="K184" s="572"/>
      <c r="L184" s="572"/>
      <c r="M184" s="572"/>
      <c r="N184" s="572"/>
      <c r="O184" s="572"/>
      <c r="P184" s="572"/>
      <c r="Q184" s="572"/>
      <c r="R184" s="572"/>
      <c r="S184" s="572"/>
    </row>
    <row r="185" spans="1:19" ht="13.5">
      <c r="A185" s="571"/>
      <c r="B185" s="571"/>
      <c r="C185" s="571"/>
      <c r="D185" s="572"/>
      <c r="E185" s="572"/>
      <c r="F185" s="572"/>
      <c r="G185" s="572"/>
      <c r="H185" s="572"/>
      <c r="I185" s="572"/>
      <c r="J185" s="572"/>
      <c r="K185" s="572"/>
      <c r="L185" s="572"/>
      <c r="M185" s="572"/>
      <c r="N185" s="572"/>
      <c r="O185" s="572"/>
      <c r="P185" s="572"/>
      <c r="Q185" s="572"/>
      <c r="R185" s="572"/>
      <c r="S185" s="572"/>
    </row>
    <row r="186" spans="1:19" ht="13.5">
      <c r="A186" s="571"/>
      <c r="B186" s="571"/>
      <c r="C186" s="571"/>
      <c r="D186" s="572"/>
      <c r="E186" s="572"/>
      <c r="F186" s="572"/>
      <c r="G186" s="572"/>
      <c r="H186" s="572"/>
      <c r="I186" s="572"/>
      <c r="J186" s="572"/>
      <c r="K186" s="572"/>
      <c r="L186" s="572"/>
      <c r="M186" s="572"/>
      <c r="N186" s="572"/>
      <c r="O186" s="572"/>
      <c r="P186" s="572"/>
      <c r="Q186" s="572"/>
      <c r="R186" s="572"/>
      <c r="S186" s="572"/>
    </row>
    <row r="187" spans="1:19" ht="15.75">
      <c r="A187" s="619"/>
      <c r="B187" s="571"/>
      <c r="C187" s="571"/>
      <c r="D187" s="572"/>
      <c r="E187" s="572"/>
      <c r="F187" s="572"/>
      <c r="G187" s="572"/>
      <c r="H187" s="572"/>
      <c r="I187" s="572"/>
      <c r="J187" s="572"/>
      <c r="K187" s="572"/>
      <c r="L187" s="572"/>
      <c r="M187" s="572"/>
      <c r="N187" s="572"/>
      <c r="O187" s="572"/>
      <c r="P187" s="572"/>
      <c r="Q187" s="572"/>
      <c r="R187" s="572"/>
      <c r="S187" s="572"/>
    </row>
    <row r="188" spans="1:19" ht="15.75">
      <c r="A188" s="619"/>
      <c r="B188" s="571"/>
      <c r="C188" s="571"/>
      <c r="D188" s="572"/>
      <c r="E188" s="572"/>
      <c r="F188" s="572"/>
      <c r="G188" s="572"/>
      <c r="H188" s="572"/>
      <c r="I188" s="572"/>
      <c r="J188" s="572"/>
      <c r="K188" s="572"/>
      <c r="L188" s="572"/>
      <c r="M188" s="572"/>
      <c r="N188" s="572"/>
      <c r="O188" s="572"/>
      <c r="P188" s="572"/>
      <c r="Q188" s="572"/>
      <c r="R188" s="572"/>
      <c r="S188" s="572"/>
    </row>
    <row r="189" spans="1:19" ht="15.75">
      <c r="A189" s="619"/>
      <c r="B189" s="619"/>
      <c r="C189" s="619"/>
      <c r="D189" s="620"/>
      <c r="E189" s="620"/>
      <c r="F189" s="620"/>
      <c r="G189" s="620"/>
      <c r="H189" s="620"/>
      <c r="I189" s="620"/>
      <c r="J189" s="620"/>
      <c r="K189" s="620"/>
      <c r="L189" s="620"/>
      <c r="M189" s="620"/>
      <c r="N189" s="620"/>
      <c r="O189" s="620"/>
      <c r="P189" s="620"/>
      <c r="Q189" s="620"/>
      <c r="R189" s="620"/>
      <c r="S189" s="620"/>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2025-05-07T18:07:28Z</cp:lastPrinted>
  <dcterms:created xsi:type="dcterms:W3CDTF">2004-01-21T20:42:01Z</dcterms:created>
  <dcterms:modified xsi:type="dcterms:W3CDTF">2025-05-21T16:24:20Z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y fmtid="{D5CDD505-2E9C-101B-9397-08002B2CF9AE}" pid="8" name="_ReviewingToolsShownOnce">
    <vt:lpwstr/>
  </property>
</Properties>
</file>