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ederal &amp; Regional Policy\PSE Transmission Rates\OATT Formula Rates\Formula Rate Annual Updates\2025 Annual Update\"/>
    </mc:Choice>
  </mc:AlternateContent>
  <bookViews>
    <workbookView xWindow="0" yWindow="0" windowWidth="19155" windowHeight="6270" activeTab="2"/>
  </bookViews>
  <sheets>
    <sheet name="WA" sheetId="1" r:id="rId1"/>
    <sheet name="Colstrip" sheetId="2" r:id="rId2"/>
    <sheet name="Southern Intertie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7" i="3" l="1"/>
  <c r="J237" i="3"/>
  <c r="K147" i="1"/>
  <c r="J234" i="3" l="1"/>
  <c r="K234" i="3"/>
  <c r="K295" i="3"/>
  <c r="J295" i="3"/>
  <c r="K294" i="3"/>
  <c r="J294" i="3"/>
  <c r="K293" i="3"/>
  <c r="J293" i="3"/>
  <c r="K290" i="3"/>
  <c r="J290" i="3"/>
  <c r="K287" i="3"/>
  <c r="J287" i="3"/>
  <c r="K286" i="3"/>
  <c r="J286" i="3"/>
  <c r="K284" i="3"/>
  <c r="J284" i="3"/>
  <c r="K283" i="3"/>
  <c r="J283" i="3"/>
  <c r="K282" i="3"/>
  <c r="J282" i="3"/>
  <c r="K281" i="3"/>
  <c r="J281" i="3"/>
  <c r="K280" i="3"/>
  <c r="J280" i="3"/>
  <c r="K279" i="3"/>
  <c r="J279" i="3"/>
  <c r="K276" i="3"/>
  <c r="J276" i="3"/>
  <c r="K275" i="3"/>
  <c r="J275" i="3"/>
  <c r="K274" i="3"/>
  <c r="J274" i="3"/>
  <c r="K273" i="3"/>
  <c r="J273" i="3"/>
  <c r="K272" i="3"/>
  <c r="J272" i="3"/>
  <c r="K269" i="3"/>
  <c r="J269" i="3"/>
  <c r="K266" i="3"/>
  <c r="J266" i="3"/>
  <c r="K263" i="3"/>
  <c r="J263" i="3"/>
  <c r="K262" i="3"/>
  <c r="J262" i="3"/>
  <c r="K261" i="3"/>
  <c r="J261" i="3"/>
  <c r="K260" i="3"/>
  <c r="J260" i="3"/>
  <c r="J259" i="3"/>
  <c r="K259" i="3" s="1"/>
  <c r="K258" i="3"/>
  <c r="J258" i="3"/>
  <c r="K255" i="3"/>
  <c r="J255" i="3"/>
  <c r="K253" i="3"/>
  <c r="J253" i="3"/>
  <c r="K252" i="3"/>
  <c r="J252" i="3"/>
  <c r="K251" i="3"/>
  <c r="J251" i="3"/>
  <c r="K250" i="3"/>
  <c r="J250" i="3"/>
  <c r="K249" i="3"/>
  <c r="J249" i="3"/>
  <c r="K247" i="3"/>
  <c r="J247" i="3"/>
  <c r="J246" i="3"/>
  <c r="K246" i="3" s="1"/>
  <c r="K245" i="3"/>
  <c r="J245" i="3"/>
  <c r="K240" i="3"/>
  <c r="J240" i="3"/>
  <c r="K235" i="3"/>
  <c r="J235" i="3"/>
  <c r="K217" i="3"/>
  <c r="J217" i="3"/>
  <c r="K215" i="3"/>
  <c r="J215" i="3"/>
  <c r="K214" i="3"/>
  <c r="J214" i="3"/>
  <c r="J213" i="3"/>
  <c r="K212" i="3"/>
  <c r="J212" i="3"/>
  <c r="K210" i="3"/>
  <c r="J210" i="3"/>
  <c r="J209" i="3"/>
  <c r="K208" i="3"/>
  <c r="J208" i="3"/>
  <c r="K205" i="3"/>
  <c r="J205" i="3"/>
  <c r="K203" i="3"/>
  <c r="J203" i="3"/>
  <c r="K201" i="3"/>
  <c r="J201" i="3"/>
  <c r="K200" i="3"/>
  <c r="J200" i="3"/>
  <c r="K199" i="3"/>
  <c r="J199" i="3"/>
  <c r="K197" i="3"/>
  <c r="J197" i="3"/>
  <c r="K183" i="3"/>
  <c r="J183" i="3"/>
  <c r="K179" i="3"/>
  <c r="J179" i="3"/>
  <c r="K178" i="3"/>
  <c r="J178" i="3"/>
  <c r="K177" i="3"/>
  <c r="J177" i="3"/>
  <c r="K174" i="3"/>
  <c r="J174" i="3"/>
  <c r="K171" i="3"/>
  <c r="J171" i="3"/>
  <c r="K170" i="3"/>
  <c r="J170" i="3"/>
  <c r="K169" i="3"/>
  <c r="J169" i="3"/>
  <c r="K167" i="3"/>
  <c r="J167" i="3"/>
  <c r="K163" i="3"/>
  <c r="J163" i="3"/>
  <c r="K158" i="3"/>
  <c r="J158" i="3"/>
  <c r="K156" i="3"/>
  <c r="J156" i="3"/>
  <c r="K152" i="3"/>
  <c r="J152" i="3"/>
  <c r="J150" i="3"/>
  <c r="K150" i="3" s="1"/>
  <c r="J149" i="3"/>
  <c r="K149" i="3" s="1"/>
  <c r="K148" i="3"/>
  <c r="J148" i="3"/>
  <c r="K141" i="3"/>
  <c r="J141" i="3"/>
  <c r="K140" i="3"/>
  <c r="J140" i="3"/>
  <c r="K135" i="3"/>
  <c r="J135" i="3"/>
  <c r="J133" i="3"/>
  <c r="J131" i="3"/>
  <c r="J129" i="3"/>
  <c r="K127" i="3"/>
  <c r="J127" i="3"/>
  <c r="K125" i="3"/>
  <c r="J125" i="3"/>
  <c r="J122" i="3"/>
  <c r="K122" i="3" s="1"/>
  <c r="J121" i="3"/>
  <c r="K121" i="3" s="1"/>
  <c r="K120" i="3"/>
  <c r="J120" i="3"/>
  <c r="J118" i="3"/>
  <c r="J117" i="3"/>
  <c r="J116" i="3"/>
  <c r="J115" i="3"/>
  <c r="J114" i="3"/>
  <c r="K111" i="3"/>
  <c r="J111" i="3"/>
  <c r="J110" i="3"/>
  <c r="K110" i="3" s="1"/>
  <c r="K107" i="3"/>
  <c r="J107" i="3"/>
  <c r="K103" i="3"/>
  <c r="J103" i="3"/>
  <c r="K102" i="3"/>
  <c r="J102" i="3"/>
  <c r="J100" i="3"/>
  <c r="J91" i="3"/>
  <c r="J88" i="3"/>
  <c r="J87" i="3"/>
  <c r="J86" i="3"/>
  <c r="J85" i="3"/>
  <c r="K85" i="3" s="1"/>
  <c r="J84" i="3"/>
  <c r="J78" i="3"/>
  <c r="J76" i="3"/>
  <c r="J75" i="3"/>
  <c r="J72" i="3"/>
  <c r="J67" i="3"/>
  <c r="J66" i="3"/>
  <c r="K61" i="3"/>
  <c r="J61" i="3"/>
  <c r="K59" i="3"/>
  <c r="J59" i="3"/>
  <c r="J57" i="3"/>
  <c r="J56" i="3"/>
  <c r="K55" i="3"/>
  <c r="J55" i="3"/>
  <c r="K54" i="3"/>
  <c r="J54" i="3"/>
  <c r="K53" i="3"/>
  <c r="J53" i="3"/>
  <c r="J52" i="3"/>
  <c r="J51" i="3"/>
  <c r="J50" i="3"/>
  <c r="K48" i="3"/>
  <c r="J48" i="3"/>
  <c r="K47" i="3"/>
  <c r="J47" i="3"/>
  <c r="K43" i="3"/>
  <c r="J43" i="3"/>
  <c r="J41" i="3"/>
  <c r="J40" i="3"/>
  <c r="K39" i="3"/>
  <c r="J39" i="3"/>
  <c r="K38" i="3"/>
  <c r="J38" i="3"/>
  <c r="J37" i="3"/>
  <c r="K35" i="3"/>
  <c r="J35" i="3"/>
  <c r="K33" i="3"/>
  <c r="J33" i="3"/>
  <c r="K31" i="3"/>
  <c r="J31" i="3"/>
  <c r="K26" i="3"/>
  <c r="J26" i="3"/>
  <c r="K25" i="3"/>
  <c r="J25" i="3"/>
  <c r="K23" i="3"/>
  <c r="J23" i="3"/>
  <c r="K22" i="3"/>
  <c r="J22" i="3"/>
  <c r="K20" i="3"/>
  <c r="J20" i="3"/>
  <c r="K19" i="3"/>
  <c r="J19" i="3"/>
  <c r="K18" i="3"/>
  <c r="J18" i="3"/>
  <c r="K17" i="3"/>
  <c r="J17" i="3"/>
  <c r="K16" i="3"/>
  <c r="J16" i="3"/>
  <c r="K12" i="3"/>
  <c r="J12" i="3"/>
  <c r="K11" i="3"/>
  <c r="J11" i="3"/>
  <c r="J10" i="3"/>
  <c r="J9" i="3"/>
  <c r="J295" i="2"/>
  <c r="I295" i="2"/>
  <c r="J294" i="2"/>
  <c r="I294" i="2"/>
  <c r="J293" i="2"/>
  <c r="I293" i="2"/>
  <c r="J290" i="2"/>
  <c r="I290" i="2"/>
  <c r="J287" i="2"/>
  <c r="I287" i="2"/>
  <c r="J286" i="2"/>
  <c r="I286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6" i="2"/>
  <c r="I276" i="2"/>
  <c r="J275" i="2"/>
  <c r="I275" i="2"/>
  <c r="J274" i="2"/>
  <c r="I274" i="2"/>
  <c r="J273" i="2"/>
  <c r="I273" i="2"/>
  <c r="J272" i="2"/>
  <c r="I272" i="2"/>
  <c r="J269" i="2"/>
  <c r="I269" i="2"/>
  <c r="J266" i="2"/>
  <c r="I266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5" i="2"/>
  <c r="I255" i="2"/>
  <c r="J253" i="2"/>
  <c r="I253" i="2"/>
  <c r="J252" i="2"/>
  <c r="I252" i="2"/>
  <c r="J251" i="2"/>
  <c r="I251" i="2"/>
  <c r="J250" i="2"/>
  <c r="I250" i="2"/>
  <c r="J249" i="2"/>
  <c r="I249" i="2"/>
  <c r="J247" i="2"/>
  <c r="I247" i="2"/>
  <c r="I246" i="2"/>
  <c r="J246" i="2" s="1"/>
  <c r="J245" i="2"/>
  <c r="I245" i="2"/>
  <c r="J240" i="2"/>
  <c r="I240" i="2"/>
  <c r="J238" i="2"/>
  <c r="I238" i="2"/>
  <c r="J236" i="2"/>
  <c r="I236" i="2"/>
  <c r="J235" i="2"/>
  <c r="I235" i="2"/>
  <c r="J217" i="2"/>
  <c r="I217" i="2"/>
  <c r="J215" i="2"/>
  <c r="I215" i="2"/>
  <c r="J214" i="2"/>
  <c r="I214" i="2"/>
  <c r="I213" i="2"/>
  <c r="J212" i="2"/>
  <c r="I212" i="2"/>
  <c r="J210" i="2"/>
  <c r="I210" i="2"/>
  <c r="I209" i="2"/>
  <c r="J208" i="2"/>
  <c r="I208" i="2"/>
  <c r="J205" i="2"/>
  <c r="I205" i="2"/>
  <c r="J203" i="2"/>
  <c r="I203" i="2"/>
  <c r="J201" i="2"/>
  <c r="I201" i="2"/>
  <c r="J200" i="2"/>
  <c r="I200" i="2"/>
  <c r="J199" i="2"/>
  <c r="I199" i="2"/>
  <c r="J197" i="2"/>
  <c r="I197" i="2"/>
  <c r="J183" i="2"/>
  <c r="I183" i="2"/>
  <c r="J179" i="2"/>
  <c r="I179" i="2"/>
  <c r="J178" i="2"/>
  <c r="I178" i="2"/>
  <c r="J177" i="2"/>
  <c r="I177" i="2"/>
  <c r="J174" i="2"/>
  <c r="I174" i="2"/>
  <c r="J171" i="2"/>
  <c r="I171" i="2"/>
  <c r="J170" i="2"/>
  <c r="I170" i="2"/>
  <c r="J169" i="2"/>
  <c r="I169" i="2"/>
  <c r="J167" i="2"/>
  <c r="I167" i="2"/>
  <c r="J163" i="2"/>
  <c r="I163" i="2"/>
  <c r="J158" i="2"/>
  <c r="I158" i="2"/>
  <c r="J156" i="2"/>
  <c r="I156" i="2"/>
  <c r="J152" i="2"/>
  <c r="I152" i="2"/>
  <c r="I150" i="2"/>
  <c r="J150" i="2" s="1"/>
  <c r="I149" i="2"/>
  <c r="J149" i="2" s="1"/>
  <c r="J148" i="2"/>
  <c r="I148" i="2"/>
  <c r="J141" i="2"/>
  <c r="I141" i="2"/>
  <c r="J140" i="2"/>
  <c r="I140" i="2"/>
  <c r="J135" i="2"/>
  <c r="I135" i="2"/>
  <c r="I133" i="2"/>
  <c r="I131" i="2"/>
  <c r="I129" i="2"/>
  <c r="J127" i="2"/>
  <c r="I127" i="2"/>
  <c r="J125" i="2"/>
  <c r="I125" i="2"/>
  <c r="I122" i="2"/>
  <c r="J122" i="2" s="1"/>
  <c r="I121" i="2"/>
  <c r="J121" i="2" s="1"/>
  <c r="J120" i="2"/>
  <c r="I120" i="2"/>
  <c r="I118" i="2"/>
  <c r="I117" i="2"/>
  <c r="I116" i="2"/>
  <c r="I115" i="2"/>
  <c r="I114" i="2"/>
  <c r="J111" i="2"/>
  <c r="I111" i="2"/>
  <c r="J110" i="2"/>
  <c r="I110" i="2"/>
  <c r="J107" i="2"/>
  <c r="I107" i="2"/>
  <c r="J103" i="2"/>
  <c r="I103" i="2"/>
  <c r="J102" i="2"/>
  <c r="I102" i="2"/>
  <c r="I100" i="2"/>
  <c r="I91" i="2"/>
  <c r="I88" i="2"/>
  <c r="I87" i="2"/>
  <c r="I86" i="2"/>
  <c r="I85" i="2"/>
  <c r="J85" i="2" s="1"/>
  <c r="I84" i="2"/>
  <c r="I78" i="2"/>
  <c r="I76" i="2"/>
  <c r="I75" i="2"/>
  <c r="I72" i="2"/>
  <c r="I67" i="2"/>
  <c r="I66" i="2"/>
  <c r="J61" i="2"/>
  <c r="I61" i="2"/>
  <c r="J59" i="2"/>
  <c r="I59" i="2"/>
  <c r="I57" i="2"/>
  <c r="I56" i="2"/>
  <c r="J55" i="2"/>
  <c r="I55" i="2"/>
  <c r="J54" i="2"/>
  <c r="I54" i="2"/>
  <c r="J53" i="2"/>
  <c r="I53" i="2"/>
  <c r="I52" i="2"/>
  <c r="I51" i="2"/>
  <c r="I50" i="2"/>
  <c r="J48" i="2"/>
  <c r="I48" i="2"/>
  <c r="J47" i="2"/>
  <c r="I47" i="2"/>
  <c r="J43" i="2"/>
  <c r="I43" i="2"/>
  <c r="I41" i="2"/>
  <c r="I40" i="2"/>
  <c r="J39" i="2"/>
  <c r="I39" i="2"/>
  <c r="J38" i="2"/>
  <c r="I38" i="2"/>
  <c r="I37" i="2"/>
  <c r="J35" i="2"/>
  <c r="I35" i="2"/>
  <c r="J33" i="2"/>
  <c r="I33" i="2"/>
  <c r="J31" i="2"/>
  <c r="I31" i="2"/>
  <c r="J26" i="2"/>
  <c r="I26" i="2"/>
  <c r="J25" i="2"/>
  <c r="I25" i="2"/>
  <c r="J23" i="2"/>
  <c r="I23" i="2"/>
  <c r="J22" i="2"/>
  <c r="I22" i="2"/>
  <c r="J20" i="2"/>
  <c r="I20" i="2"/>
  <c r="J19" i="2"/>
  <c r="I19" i="2"/>
  <c r="J18" i="2"/>
  <c r="I18" i="2"/>
  <c r="J17" i="2"/>
  <c r="I17" i="2"/>
  <c r="J16" i="2"/>
  <c r="I16" i="2"/>
  <c r="J12" i="2"/>
  <c r="I12" i="2"/>
  <c r="J11" i="2"/>
  <c r="I11" i="2"/>
  <c r="I10" i="2"/>
  <c r="I9" i="2"/>
  <c r="K287" i="1"/>
  <c r="J148" i="1" l="1"/>
  <c r="J147" i="1"/>
  <c r="G293" i="3"/>
  <c r="G287" i="3"/>
  <c r="C282" i="3"/>
  <c r="C272" i="3"/>
  <c r="G267" i="3"/>
  <c r="E267" i="3"/>
  <c r="G259" i="3"/>
  <c r="E259" i="3"/>
  <c r="C258" i="3"/>
  <c r="G229" i="3"/>
  <c r="D229" i="3"/>
  <c r="E228" i="3"/>
  <c r="G225" i="3"/>
  <c r="G226" i="3" s="1"/>
  <c r="E223" i="3"/>
  <c r="E210" i="3"/>
  <c r="G200" i="3"/>
  <c r="G199" i="3"/>
  <c r="G198" i="3"/>
  <c r="G197" i="3"/>
  <c r="G194" i="3"/>
  <c r="G209" i="3" s="1"/>
  <c r="G191" i="3"/>
  <c r="G190" i="3"/>
  <c r="G189" i="3"/>
  <c r="G188" i="3"/>
  <c r="G187" i="3"/>
  <c r="G186" i="3"/>
  <c r="G182" i="3"/>
  <c r="G180" i="3"/>
  <c r="G179" i="3"/>
  <c r="G178" i="3"/>
  <c r="G177" i="3"/>
  <c r="G173" i="3"/>
  <c r="G172" i="3"/>
  <c r="G171" i="3"/>
  <c r="G170" i="3"/>
  <c r="G169" i="3"/>
  <c r="G166" i="3"/>
  <c r="G165" i="3"/>
  <c r="G164" i="3"/>
  <c r="G163" i="3"/>
  <c r="G156" i="3"/>
  <c r="G158" i="3" s="1"/>
  <c r="G251" i="3" s="1"/>
  <c r="F149" i="3"/>
  <c r="G148" i="3"/>
  <c r="E147" i="3"/>
  <c r="G145" i="3"/>
  <c r="G141" i="3"/>
  <c r="B139" i="3"/>
  <c r="G130" i="3"/>
  <c r="G129" i="3"/>
  <c r="E129" i="3"/>
  <c r="G126" i="3"/>
  <c r="E126" i="3"/>
  <c r="E125" i="3"/>
  <c r="F121" i="3"/>
  <c r="E119" i="3"/>
  <c r="E117" i="3"/>
  <c r="G115" i="3"/>
  <c r="G120" i="3" s="1"/>
  <c r="G109" i="3"/>
  <c r="G108" i="3"/>
  <c r="G97" i="3"/>
  <c r="G96" i="3"/>
  <c r="E96" i="3"/>
  <c r="E97" i="3" s="1"/>
  <c r="F85" i="3"/>
  <c r="E84" i="3"/>
  <c r="F78" i="3"/>
  <c r="E78" i="3"/>
  <c r="G69" i="3"/>
  <c r="E69" i="3"/>
  <c r="F56" i="3"/>
  <c r="C56" i="3"/>
  <c r="G54" i="3"/>
  <c r="G53" i="3"/>
  <c r="E47" i="3"/>
  <c r="F40" i="3"/>
  <c r="G38" i="3"/>
  <c r="G35" i="3"/>
  <c r="G37" i="3" s="1"/>
  <c r="G32" i="3"/>
  <c r="E31" i="3"/>
  <c r="B30" i="3"/>
  <c r="E16" i="3"/>
  <c r="A16" i="3"/>
  <c r="A17" i="3" s="1"/>
  <c r="G12" i="3"/>
  <c r="G13" i="3" s="1"/>
  <c r="A10" i="3"/>
  <c r="A11" i="3" s="1"/>
  <c r="F12" i="3" s="1"/>
  <c r="C282" i="2"/>
  <c r="C272" i="2"/>
  <c r="E267" i="2"/>
  <c r="E259" i="2"/>
  <c r="C258" i="2"/>
  <c r="D229" i="2"/>
  <c r="E228" i="2"/>
  <c r="E223" i="2"/>
  <c r="E210" i="2"/>
  <c r="F149" i="2"/>
  <c r="E147" i="2"/>
  <c r="B139" i="2"/>
  <c r="E129" i="2"/>
  <c r="E126" i="2"/>
  <c r="E125" i="2"/>
  <c r="F121" i="2"/>
  <c r="E119" i="2"/>
  <c r="E117" i="2"/>
  <c r="E96" i="2"/>
  <c r="E97" i="2" s="1"/>
  <c r="F85" i="2"/>
  <c r="E84" i="2"/>
  <c r="F78" i="2"/>
  <c r="E78" i="2"/>
  <c r="E69" i="2"/>
  <c r="F56" i="2"/>
  <c r="C56" i="2"/>
  <c r="E47" i="2"/>
  <c r="F40" i="2"/>
  <c r="E31" i="2"/>
  <c r="E16" i="2"/>
  <c r="A16" i="2"/>
  <c r="A17" i="2" s="1"/>
  <c r="A18" i="2" s="1"/>
  <c r="F19" i="2" s="1"/>
  <c r="A10" i="2"/>
  <c r="A11" i="2" s="1"/>
  <c r="A12" i="2" s="1"/>
  <c r="F13" i="2" s="1"/>
  <c r="J103" i="1"/>
  <c r="K295" i="1"/>
  <c r="J295" i="1"/>
  <c r="K294" i="1"/>
  <c r="J294" i="1"/>
  <c r="K293" i="1"/>
  <c r="J293" i="1"/>
  <c r="K290" i="1"/>
  <c r="J290" i="1"/>
  <c r="J287" i="1"/>
  <c r="K286" i="1"/>
  <c r="J286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6" i="1"/>
  <c r="J276" i="1"/>
  <c r="K275" i="1"/>
  <c r="J275" i="1"/>
  <c r="K274" i="1"/>
  <c r="J274" i="1"/>
  <c r="K273" i="1"/>
  <c r="J273" i="1"/>
  <c r="K272" i="1"/>
  <c r="J272" i="1"/>
  <c r="K269" i="1"/>
  <c r="J269" i="1"/>
  <c r="K266" i="1"/>
  <c r="J266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5" i="1"/>
  <c r="J255" i="1"/>
  <c r="K253" i="1"/>
  <c r="J253" i="1"/>
  <c r="K252" i="1"/>
  <c r="J252" i="1"/>
  <c r="K251" i="1"/>
  <c r="J251" i="1"/>
  <c r="K250" i="1"/>
  <c r="J250" i="1"/>
  <c r="K249" i="1"/>
  <c r="J249" i="1"/>
  <c r="K247" i="1"/>
  <c r="J247" i="1"/>
  <c r="K246" i="1"/>
  <c r="J246" i="1"/>
  <c r="K245" i="1"/>
  <c r="J245" i="1"/>
  <c r="K240" i="1"/>
  <c r="J240" i="1"/>
  <c r="K238" i="1"/>
  <c r="J238" i="1"/>
  <c r="K236" i="1"/>
  <c r="J236" i="1"/>
  <c r="K235" i="1"/>
  <c r="J235" i="1"/>
  <c r="K217" i="1"/>
  <c r="J217" i="1"/>
  <c r="K215" i="1"/>
  <c r="J215" i="1"/>
  <c r="K214" i="1"/>
  <c r="J214" i="1"/>
  <c r="J213" i="1"/>
  <c r="K212" i="1"/>
  <c r="J212" i="1"/>
  <c r="K210" i="1"/>
  <c r="J210" i="1"/>
  <c r="J209" i="1"/>
  <c r="K208" i="1"/>
  <c r="J208" i="1"/>
  <c r="K205" i="1"/>
  <c r="J205" i="1"/>
  <c r="K203" i="1"/>
  <c r="J203" i="1"/>
  <c r="K201" i="1"/>
  <c r="J201" i="1"/>
  <c r="K200" i="1"/>
  <c r="J200" i="1"/>
  <c r="K199" i="1"/>
  <c r="J199" i="1"/>
  <c r="K197" i="1"/>
  <c r="J197" i="1"/>
  <c r="K183" i="1"/>
  <c r="J183" i="1"/>
  <c r="K179" i="1"/>
  <c r="J179" i="1"/>
  <c r="K178" i="1"/>
  <c r="J178" i="1"/>
  <c r="K177" i="1"/>
  <c r="J177" i="1"/>
  <c r="K174" i="1"/>
  <c r="J174" i="1"/>
  <c r="K171" i="1"/>
  <c r="J171" i="1"/>
  <c r="K170" i="1"/>
  <c r="J170" i="1"/>
  <c r="K169" i="1"/>
  <c r="J169" i="1"/>
  <c r="K167" i="1"/>
  <c r="J167" i="1"/>
  <c r="K163" i="1"/>
  <c r="J163" i="1"/>
  <c r="K158" i="1"/>
  <c r="J158" i="1"/>
  <c r="K156" i="1"/>
  <c r="J156" i="1"/>
  <c r="K152" i="1"/>
  <c r="J152" i="1"/>
  <c r="K150" i="1"/>
  <c r="J150" i="1"/>
  <c r="K149" i="1"/>
  <c r="J149" i="1"/>
  <c r="K148" i="1"/>
  <c r="K146" i="1"/>
  <c r="J146" i="1"/>
  <c r="K145" i="1"/>
  <c r="J145" i="1"/>
  <c r="K144" i="1"/>
  <c r="J144" i="1"/>
  <c r="K143" i="1"/>
  <c r="J143" i="1"/>
  <c r="K141" i="1"/>
  <c r="J141" i="1"/>
  <c r="K140" i="1"/>
  <c r="J140" i="1"/>
  <c r="K135" i="1"/>
  <c r="J135" i="1"/>
  <c r="K133" i="1"/>
  <c r="J133" i="1"/>
  <c r="K132" i="1"/>
  <c r="J132" i="1"/>
  <c r="K131" i="1"/>
  <c r="J131" i="1"/>
  <c r="K129" i="1"/>
  <c r="J129" i="1"/>
  <c r="K127" i="1"/>
  <c r="J127" i="1"/>
  <c r="K125" i="1"/>
  <c r="J125" i="1"/>
  <c r="K122" i="1"/>
  <c r="J122" i="1"/>
  <c r="K121" i="1"/>
  <c r="J121" i="1"/>
  <c r="K120" i="1"/>
  <c r="J120" i="1"/>
  <c r="K118" i="1"/>
  <c r="J118" i="1"/>
  <c r="K117" i="1"/>
  <c r="J117" i="1"/>
  <c r="K116" i="1"/>
  <c r="J116" i="1"/>
  <c r="K115" i="1"/>
  <c r="J115" i="1"/>
  <c r="K114" i="1"/>
  <c r="J114" i="1"/>
  <c r="K111" i="1"/>
  <c r="J111" i="1"/>
  <c r="K110" i="1"/>
  <c r="J110" i="1"/>
  <c r="K109" i="1"/>
  <c r="J109" i="1"/>
  <c r="K107" i="1"/>
  <c r="J107" i="1"/>
  <c r="K103" i="1"/>
  <c r="K102" i="1"/>
  <c r="J102" i="1"/>
  <c r="K100" i="1"/>
  <c r="J100" i="1"/>
  <c r="K91" i="1"/>
  <c r="J91" i="1"/>
  <c r="K88" i="1"/>
  <c r="J88" i="1"/>
  <c r="K87" i="1"/>
  <c r="J87" i="1"/>
  <c r="K86" i="1"/>
  <c r="J86" i="1"/>
  <c r="K85" i="1"/>
  <c r="J85" i="1"/>
  <c r="K84" i="1"/>
  <c r="J84" i="1"/>
  <c r="K78" i="1"/>
  <c r="J78" i="1"/>
  <c r="K76" i="1"/>
  <c r="J76" i="1"/>
  <c r="K75" i="1"/>
  <c r="J75" i="1"/>
  <c r="K72" i="1"/>
  <c r="J72" i="1"/>
  <c r="K67" i="1"/>
  <c r="J67" i="1"/>
  <c r="K66" i="1"/>
  <c r="J66" i="1"/>
  <c r="K61" i="1"/>
  <c r="J61" i="1"/>
  <c r="K59" i="1"/>
  <c r="J59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8" i="1"/>
  <c r="J48" i="1"/>
  <c r="K47" i="1"/>
  <c r="J47" i="1"/>
  <c r="K43" i="1"/>
  <c r="J43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3" i="1"/>
  <c r="J33" i="1"/>
  <c r="K32" i="1"/>
  <c r="J32" i="1"/>
  <c r="K31" i="1"/>
  <c r="J31" i="1"/>
  <c r="K26" i="1"/>
  <c r="J26" i="1"/>
  <c r="K25" i="1"/>
  <c r="J25" i="1"/>
  <c r="K23" i="1"/>
  <c r="J23" i="1"/>
  <c r="K22" i="1"/>
  <c r="J22" i="1"/>
  <c r="K20" i="1"/>
  <c r="J20" i="1"/>
  <c r="K19" i="1"/>
  <c r="J19" i="1"/>
  <c r="K18" i="1"/>
  <c r="J18" i="1"/>
  <c r="K17" i="1"/>
  <c r="J17" i="1"/>
  <c r="K16" i="1"/>
  <c r="J16" i="1"/>
  <c r="K12" i="1"/>
  <c r="J12" i="1"/>
  <c r="K11" i="1"/>
  <c r="J11" i="1"/>
  <c r="K10" i="1"/>
  <c r="J10" i="1"/>
  <c r="K9" i="1"/>
  <c r="J9" i="1"/>
  <c r="G98" i="3" l="1"/>
  <c r="G131" i="3"/>
  <c r="G55" i="3"/>
  <c r="G230" i="3"/>
  <c r="G201" i="3"/>
  <c r="G183" i="3"/>
  <c r="F12" i="2"/>
  <c r="F17" i="2"/>
  <c r="A18" i="3"/>
  <c r="G149" i="3"/>
  <c r="G150" i="3" s="1"/>
  <c r="G152" i="3" s="1"/>
  <c r="G250" i="3" s="1"/>
  <c r="G85" i="3"/>
  <c r="G56" i="3"/>
  <c r="F17" i="3"/>
  <c r="A12" i="3"/>
  <c r="F13" i="3" s="1"/>
  <c r="G40" i="3"/>
  <c r="G39" i="3"/>
  <c r="G121" i="3"/>
  <c r="G122" i="3" s="1"/>
  <c r="G192" i="3"/>
  <c r="G167" i="3"/>
  <c r="G174" i="3" s="1"/>
  <c r="A19" i="2"/>
  <c r="A20" i="2" s="1"/>
  <c r="A22" i="2" s="1"/>
  <c r="G208" i="3" l="1"/>
  <c r="G57" i="3"/>
  <c r="G41" i="3"/>
  <c r="F20" i="2"/>
  <c r="A19" i="3"/>
  <c r="F19" i="3"/>
  <c r="G205" i="3"/>
  <c r="G214" i="3" s="1"/>
  <c r="G204" i="3"/>
  <c r="F23" i="2"/>
  <c r="A23" i="2"/>
  <c r="A25" i="2" s="1"/>
  <c r="G213" i="3" l="1"/>
  <c r="G203" i="3"/>
  <c r="G212" i="3" s="1"/>
  <c r="A20" i="3"/>
  <c r="A22" i="3" s="1"/>
  <c r="F20" i="3"/>
  <c r="A26" i="2"/>
  <c r="F26" i="2"/>
  <c r="F23" i="3" l="1"/>
  <c r="A23" i="3"/>
  <c r="A25" i="3" s="1"/>
  <c r="G215" i="3"/>
  <c r="F231" i="2"/>
  <c r="F132" i="2"/>
  <c r="A31" i="2"/>
  <c r="A26" i="3" l="1"/>
  <c r="F26" i="3"/>
  <c r="A32" i="2"/>
  <c r="A33" i="2" s="1"/>
  <c r="F231" i="3" l="1"/>
  <c r="A31" i="3"/>
  <c r="F132" i="3"/>
  <c r="F258" i="2"/>
  <c r="A35" i="2"/>
  <c r="A36" i="2" s="1"/>
  <c r="A37" i="2" s="1"/>
  <c r="A38" i="2" s="1"/>
  <c r="F33" i="2"/>
  <c r="A32" i="3" l="1"/>
  <c r="A33" i="3" s="1"/>
  <c r="F33" i="3"/>
  <c r="F39" i="2"/>
  <c r="A39" i="2"/>
  <c r="F258" i="3" l="1"/>
  <c r="A35" i="3"/>
  <c r="A36" i="3" s="1"/>
  <c r="A37" i="3" s="1"/>
  <c r="A38" i="3" s="1"/>
  <c r="A40" i="2"/>
  <c r="A41" i="2" s="1"/>
  <c r="F41" i="2"/>
  <c r="A39" i="3" l="1"/>
  <c r="F39" i="3"/>
  <c r="A43" i="2"/>
  <c r="F43" i="2"/>
  <c r="A40" i="3" l="1"/>
  <c r="A41" i="3" s="1"/>
  <c r="F22" i="2"/>
  <c r="A47" i="2"/>
  <c r="F41" i="3" l="1"/>
  <c r="A43" i="3"/>
  <c r="F43" i="3"/>
  <c r="F48" i="2"/>
  <c r="A48" i="2"/>
  <c r="F282" i="2"/>
  <c r="F273" i="2"/>
  <c r="A47" i="3" l="1"/>
  <c r="F22" i="3"/>
  <c r="A50" i="2"/>
  <c r="A51" i="2" s="1"/>
  <c r="A52" i="2" s="1"/>
  <c r="A53" i="2" s="1"/>
  <c r="F48" i="3" l="1"/>
  <c r="A48" i="3"/>
  <c r="F282" i="3"/>
  <c r="F273" i="3"/>
  <c r="A54" i="2"/>
  <c r="A55" i="2" s="1"/>
  <c r="F55" i="2"/>
  <c r="A50" i="3" l="1"/>
  <c r="A51" i="3" s="1"/>
  <c r="A52" i="3" s="1"/>
  <c r="A53" i="3" s="1"/>
  <c r="A56" i="2"/>
  <c r="A57" i="2" s="1"/>
  <c r="A54" i="3" l="1"/>
  <c r="A55" i="3" s="1"/>
  <c r="F55" i="3"/>
  <c r="A59" i="2"/>
  <c r="F59" i="2"/>
  <c r="F57" i="2"/>
  <c r="A56" i="3" l="1"/>
  <c r="A57" i="3" s="1"/>
  <c r="A61" i="2"/>
  <c r="F61" i="2"/>
  <c r="F57" i="3" l="1"/>
  <c r="A59" i="3"/>
  <c r="F59" i="3"/>
  <c r="F245" i="2"/>
  <c r="A66" i="2"/>
  <c r="F25" i="2"/>
  <c r="A61" i="3" l="1"/>
  <c r="F61" i="3"/>
  <c r="A67" i="2"/>
  <c r="F67" i="2"/>
  <c r="F245" i="3" l="1"/>
  <c r="F25" i="3"/>
  <c r="A66" i="3"/>
  <c r="A69" i="2"/>
  <c r="A72" i="2" s="1"/>
  <c r="A75" i="2" s="1"/>
  <c r="F67" i="3" l="1"/>
  <c r="A67" i="3"/>
  <c r="A76" i="2"/>
  <c r="A78" i="2" s="1"/>
  <c r="A80" i="2" s="1"/>
  <c r="A81" i="2" s="1"/>
  <c r="A84" i="2" s="1"/>
  <c r="F76" i="2"/>
  <c r="A69" i="3" l="1"/>
  <c r="A72" i="3" s="1"/>
  <c r="A75" i="3" s="1"/>
  <c r="A85" i="2"/>
  <c r="A86" i="2" s="1"/>
  <c r="F76" i="3" l="1"/>
  <c r="A76" i="3"/>
  <c r="A78" i="3" s="1"/>
  <c r="A80" i="3" s="1"/>
  <c r="A81" i="3" s="1"/>
  <c r="A84" i="3" s="1"/>
  <c r="A87" i="2"/>
  <c r="A88" i="2" s="1"/>
  <c r="F86" i="2"/>
  <c r="A85" i="3" l="1"/>
  <c r="A86" i="3" s="1"/>
  <c r="A91" i="2"/>
  <c r="F88" i="2"/>
  <c r="A87" i="3" l="1"/>
  <c r="A88" i="3" s="1"/>
  <c r="F86" i="3"/>
  <c r="A92" i="2"/>
  <c r="A93" i="2" s="1"/>
  <c r="A91" i="3" l="1"/>
  <c r="F88" i="3"/>
  <c r="A96" i="2"/>
  <c r="F93" i="2"/>
  <c r="A92" i="3" l="1"/>
  <c r="A93" i="3" s="1"/>
  <c r="A97" i="2"/>
  <c r="A98" i="2" s="1"/>
  <c r="F98" i="2"/>
  <c r="A96" i="3" l="1"/>
  <c r="F93" i="3"/>
  <c r="A100" i="2"/>
  <c r="F100" i="2"/>
  <c r="A97" i="3" l="1"/>
  <c r="A98" i="3" s="1"/>
  <c r="F246" i="2"/>
  <c r="A102" i="2"/>
  <c r="F102" i="2"/>
  <c r="A100" i="3" l="1"/>
  <c r="F100" i="3"/>
  <c r="F98" i="3"/>
  <c r="F247" i="2"/>
  <c r="A107" i="2"/>
  <c r="F246" i="3" l="1"/>
  <c r="A102" i="3"/>
  <c r="F102" i="3"/>
  <c r="A108" i="2"/>
  <c r="A109" i="2" s="1"/>
  <c r="A110" i="2" s="1"/>
  <c r="A111" i="2" s="1"/>
  <c r="A107" i="3" l="1"/>
  <c r="F247" i="3"/>
  <c r="A114" i="2"/>
  <c r="F111" i="2"/>
  <c r="A108" i="3" l="1"/>
  <c r="A109" i="3" s="1"/>
  <c r="A110" i="3" s="1"/>
  <c r="A111" i="3" s="1"/>
  <c r="A115" i="2"/>
  <c r="A116" i="2" s="1"/>
  <c r="A114" i="3" l="1"/>
  <c r="F111" i="3"/>
  <c r="F129" i="2"/>
  <c r="A117" i="2"/>
  <c r="A118" i="2" s="1"/>
  <c r="A119" i="2" s="1"/>
  <c r="A115" i="3" l="1"/>
  <c r="A116" i="3" s="1"/>
  <c r="A120" i="2"/>
  <c r="F120" i="2"/>
  <c r="A117" i="3" l="1"/>
  <c r="A118" i="3" s="1"/>
  <c r="A119" i="3" s="1"/>
  <c r="A120" i="3" s="1"/>
  <c r="F129" i="3"/>
  <c r="F120" i="3"/>
  <c r="A121" i="2"/>
  <c r="A122" i="2" s="1"/>
  <c r="F122" i="2" l="1"/>
  <c r="A121" i="3"/>
  <c r="A122" i="3" s="1"/>
  <c r="F122" i="3"/>
  <c r="A125" i="2"/>
  <c r="A125" i="3" l="1"/>
  <c r="A126" i="2"/>
  <c r="A127" i="2" s="1"/>
  <c r="A126" i="3" l="1"/>
  <c r="A127" i="3" s="1"/>
  <c r="A129" i="2"/>
  <c r="F127" i="2"/>
  <c r="A129" i="3" l="1"/>
  <c r="F127" i="3"/>
  <c r="A130" i="2"/>
  <c r="A131" i="2" s="1"/>
  <c r="F131" i="2" l="1"/>
  <c r="A130" i="3"/>
  <c r="A131" i="3" s="1"/>
  <c r="A132" i="2"/>
  <c r="A133" i="2" s="1"/>
  <c r="A132" i="3" l="1"/>
  <c r="A133" i="3" s="1"/>
  <c r="F131" i="3"/>
  <c r="A135" i="2"/>
  <c r="F135" i="2"/>
  <c r="F133" i="2"/>
  <c r="A135" i="3" l="1"/>
  <c r="F135" i="3"/>
  <c r="F133" i="3"/>
  <c r="A140" i="2"/>
  <c r="F91" i="2"/>
  <c r="F249" i="2"/>
  <c r="A140" i="3" l="1"/>
  <c r="F249" i="3"/>
  <c r="F91" i="3"/>
  <c r="A143" i="2"/>
  <c r="A144" i="2" s="1"/>
  <c r="A145" i="2" s="1"/>
  <c r="A146" i="2" s="1"/>
  <c r="F141" i="2"/>
  <c r="A141" i="2"/>
  <c r="A143" i="3" l="1"/>
  <c r="A144" i="3" s="1"/>
  <c r="A145" i="3" s="1"/>
  <c r="A146" i="3" s="1"/>
  <c r="F141" i="3"/>
  <c r="A141" i="3"/>
  <c r="A147" i="2"/>
  <c r="A148" i="2" s="1"/>
  <c r="A147" i="3" l="1"/>
  <c r="A148" i="3" s="1"/>
  <c r="A149" i="2"/>
  <c r="A150" i="2" s="1"/>
  <c r="F150" i="2"/>
  <c r="F148" i="2"/>
  <c r="A149" i="3" l="1"/>
  <c r="A150" i="3" s="1"/>
  <c r="F148" i="3"/>
  <c r="A152" i="2"/>
  <c r="F152" i="2"/>
  <c r="A152" i="3" l="1"/>
  <c r="F152" i="3"/>
  <c r="F150" i="3"/>
  <c r="F250" i="2"/>
  <c r="A156" i="2"/>
  <c r="F250" i="3" l="1"/>
  <c r="A156" i="3"/>
  <c r="F158" i="2"/>
  <c r="A158" i="2"/>
  <c r="A158" i="3" l="1"/>
  <c r="F158" i="3"/>
  <c r="A163" i="2"/>
  <c r="F251" i="2"/>
  <c r="A163" i="3" l="1"/>
  <c r="F251" i="3"/>
  <c r="A164" i="2"/>
  <c r="A165" i="2" s="1"/>
  <c r="A166" i="2" s="1"/>
  <c r="A167" i="2" s="1"/>
  <c r="A169" i="2" s="1"/>
  <c r="D167" i="2" l="1"/>
  <c r="A164" i="3"/>
  <c r="A165" i="3" s="1"/>
  <c r="A166" i="3" s="1"/>
  <c r="A167" i="3" s="1"/>
  <c r="A169" i="3" s="1"/>
  <c r="D167" i="3"/>
  <c r="A170" i="2"/>
  <c r="A171" i="2" s="1"/>
  <c r="A172" i="2" s="1"/>
  <c r="A173" i="2" s="1"/>
  <c r="A174" i="2" s="1"/>
  <c r="A177" i="2" s="1"/>
  <c r="A170" i="3" l="1"/>
  <c r="A171" i="3" s="1"/>
  <c r="A172" i="3" s="1"/>
  <c r="A173" i="3" s="1"/>
  <c r="A174" i="3" s="1"/>
  <c r="A177" i="3" s="1"/>
  <c r="A178" i="2"/>
  <c r="A179" i="2" s="1"/>
  <c r="A180" i="2" s="1"/>
  <c r="A181" i="2" s="1"/>
  <c r="A182" i="2" s="1"/>
  <c r="A183" i="2" s="1"/>
  <c r="D183" i="2" s="1"/>
  <c r="D174" i="2"/>
  <c r="A178" i="3" l="1"/>
  <c r="A179" i="3" s="1"/>
  <c r="A180" i="3" s="1"/>
  <c r="A181" i="3" s="1"/>
  <c r="A182" i="3" s="1"/>
  <c r="A183" i="3" s="1"/>
  <c r="D183" i="3" s="1"/>
  <c r="D174" i="3"/>
  <c r="F208" i="2"/>
  <c r="A186" i="2"/>
  <c r="F208" i="3" l="1"/>
  <c r="A186" i="3"/>
  <c r="A187" i="2"/>
  <c r="A188" i="2" s="1"/>
  <c r="A189" i="2" s="1"/>
  <c r="A190" i="2" s="1"/>
  <c r="A191" i="2" s="1"/>
  <c r="A192" i="2" s="1"/>
  <c r="D192" i="2"/>
  <c r="A187" i="3" l="1"/>
  <c r="A188" i="3" s="1"/>
  <c r="A189" i="3" s="1"/>
  <c r="A190" i="3" s="1"/>
  <c r="A191" i="3" s="1"/>
  <c r="A192" i="3" s="1"/>
  <c r="D192" i="3"/>
  <c r="A194" i="2"/>
  <c r="A194" i="3" l="1"/>
  <c r="A197" i="2"/>
  <c r="F209" i="2"/>
  <c r="F209" i="3" l="1"/>
  <c r="A197" i="3"/>
  <c r="A198" i="2"/>
  <c r="A199" i="2" s="1"/>
  <c r="A200" i="2" s="1"/>
  <c r="A201" i="2" s="1"/>
  <c r="D201" i="2" l="1"/>
  <c r="A198" i="3"/>
  <c r="A199" i="3" s="1"/>
  <c r="A200" i="3" s="1"/>
  <c r="A201" i="3" s="1"/>
  <c r="F205" i="2"/>
  <c r="A203" i="2"/>
  <c r="F204" i="2"/>
  <c r="F205" i="3" l="1"/>
  <c r="A203" i="3"/>
  <c r="F204" i="3"/>
  <c r="D201" i="3"/>
  <c r="A204" i="2"/>
  <c r="A204" i="3" l="1"/>
  <c r="A205" i="2"/>
  <c r="A205" i="3" l="1"/>
  <c r="F203" i="3"/>
  <c r="A208" i="2"/>
  <c r="F203" i="2"/>
  <c r="A208" i="3" l="1"/>
  <c r="A209" i="2"/>
  <c r="F212" i="2"/>
  <c r="A209" i="3" l="1"/>
  <c r="F212" i="3"/>
  <c r="A210" i="2"/>
  <c r="F213" i="2"/>
  <c r="A210" i="3" l="1"/>
  <c r="F213" i="3"/>
  <c r="A212" i="2"/>
  <c r="F214" i="2"/>
  <c r="A212" i="3" l="1"/>
  <c r="F214" i="3"/>
  <c r="A213" i="2"/>
  <c r="A214" i="2" s="1"/>
  <c r="A215" i="2" s="1"/>
  <c r="F215" i="2"/>
  <c r="A213" i="3" l="1"/>
  <c r="A214" i="3" s="1"/>
  <c r="A215" i="3" s="1"/>
  <c r="A217" i="2"/>
  <c r="F217" i="2"/>
  <c r="A217" i="3" l="1"/>
  <c r="F217" i="3"/>
  <c r="F215" i="3"/>
  <c r="A222" i="2"/>
  <c r="A223" i="2" s="1"/>
  <c r="A224" i="2" s="1"/>
  <c r="A225" i="2" s="1"/>
  <c r="F252" i="2"/>
  <c r="A222" i="3" l="1"/>
  <c r="A223" i="3" s="1"/>
  <c r="A224" i="3" s="1"/>
  <c r="A225" i="3" s="1"/>
  <c r="F252" i="3"/>
  <c r="F230" i="2"/>
  <c r="A226" i="2"/>
  <c r="A226" i="3" l="1"/>
  <c r="F230" i="3"/>
  <c r="F238" i="2"/>
  <c r="A229" i="2"/>
  <c r="F238" i="3" l="1"/>
  <c r="A229" i="3"/>
  <c r="A230" i="2"/>
  <c r="A231" i="2" s="1"/>
  <c r="A232" i="2" s="1"/>
  <c r="F232" i="2" l="1"/>
  <c r="A230" i="3"/>
  <c r="A231" i="3" s="1"/>
  <c r="A232" i="3" s="1"/>
  <c r="F232" i="3"/>
  <c r="A238" i="2"/>
  <c r="A240" i="2" s="1"/>
  <c r="F240" i="2"/>
  <c r="A238" i="3" l="1"/>
  <c r="A240" i="3" s="1"/>
  <c r="A245" i="2"/>
  <c r="A246" i="2" s="1"/>
  <c r="A247" i="2" s="1"/>
  <c r="A249" i="2" s="1"/>
  <c r="F253" i="2"/>
  <c r="A245" i="3" l="1"/>
  <c r="A246" i="3" s="1"/>
  <c r="A247" i="3" s="1"/>
  <c r="A249" i="3" s="1"/>
  <c r="F253" i="3"/>
  <c r="F240" i="3"/>
  <c r="A250" i="2"/>
  <c r="A251" i="2" s="1"/>
  <c r="A252" i="2" s="1"/>
  <c r="A253" i="2" s="1"/>
  <c r="A255" i="2" s="1"/>
  <c r="A250" i="3" l="1"/>
  <c r="A251" i="3" s="1"/>
  <c r="A252" i="3" s="1"/>
  <c r="A253" i="3" s="1"/>
  <c r="A255" i="3" s="1"/>
  <c r="F262" i="2"/>
  <c r="F272" i="2"/>
  <c r="F279" i="2"/>
  <c r="A258" i="2"/>
  <c r="F255" i="2"/>
  <c r="F262" i="3" l="1"/>
  <c r="F272" i="3"/>
  <c r="F279" i="3"/>
  <c r="A258" i="3"/>
  <c r="F255" i="3"/>
  <c r="A259" i="2"/>
  <c r="A260" i="2" s="1"/>
  <c r="A259" i="3" l="1"/>
  <c r="A260" i="3" s="1"/>
  <c r="F260" i="3"/>
  <c r="A261" i="2"/>
  <c r="F261" i="2"/>
  <c r="F260" i="2"/>
  <c r="A261" i="3" l="1"/>
  <c r="F261" i="3"/>
  <c r="A262" i="2"/>
  <c r="A263" i="2" s="1"/>
  <c r="A262" i="3" l="1"/>
  <c r="A263" i="3" s="1"/>
  <c r="A266" i="2"/>
  <c r="A267" i="2" s="1"/>
  <c r="A269" i="2" s="1"/>
  <c r="F263" i="2"/>
  <c r="A266" i="3" l="1"/>
  <c r="A267" i="3" s="1"/>
  <c r="A269" i="3" s="1"/>
  <c r="F263" i="3"/>
  <c r="F286" i="2"/>
  <c r="A272" i="2"/>
  <c r="A273" i="2" s="1"/>
  <c r="F269" i="2"/>
  <c r="F286" i="3" l="1"/>
  <c r="A272" i="3"/>
  <c r="A273" i="3" s="1"/>
  <c r="F269" i="3"/>
  <c r="A274" i="2"/>
  <c r="A275" i="2" s="1"/>
  <c r="A276" i="2" s="1"/>
  <c r="A279" i="2" s="1"/>
  <c r="F275" i="2"/>
  <c r="F276" i="2"/>
  <c r="F274" i="2"/>
  <c r="A274" i="3" l="1"/>
  <c r="A275" i="3" s="1"/>
  <c r="A276" i="3" s="1"/>
  <c r="A279" i="3" s="1"/>
  <c r="F275" i="3"/>
  <c r="F274" i="3"/>
  <c r="F276" i="3"/>
  <c r="A280" i="2"/>
  <c r="A281" i="2" s="1"/>
  <c r="F281" i="2"/>
  <c r="A280" i="3" l="1"/>
  <c r="A281" i="3" s="1"/>
  <c r="F281" i="3"/>
  <c r="A282" i="2"/>
  <c r="A283" i="2" s="1"/>
  <c r="A284" i="2" s="1"/>
  <c r="A286" i="2" s="1"/>
  <c r="F284" i="2"/>
  <c r="A282" i="3" l="1"/>
  <c r="A283" i="3" s="1"/>
  <c r="A284" i="3" s="1"/>
  <c r="A286" i="3" s="1"/>
  <c r="F284" i="3"/>
  <c r="A287" i="2"/>
  <c r="A288" i="2" s="1"/>
  <c r="A289" i="2" s="1"/>
  <c r="F283" i="2"/>
  <c r="F283" i="3" l="1"/>
  <c r="F290" i="2"/>
  <c r="A287" i="3"/>
  <c r="A288" i="3" s="1"/>
  <c r="A289" i="3" s="1"/>
  <c r="F290" i="3"/>
  <c r="A290" i="2"/>
  <c r="EU289" i="2"/>
  <c r="A290" i="3" l="1"/>
  <c r="ET289" i="3"/>
  <c r="A293" i="2"/>
  <c r="F294" i="2"/>
  <c r="A293" i="3" l="1"/>
  <c r="F294" i="3"/>
  <c r="F295" i="2"/>
  <c r="A294" i="2"/>
  <c r="A295" i="2" s="1"/>
  <c r="F295" i="3" l="1"/>
  <c r="A294" i="3"/>
  <c r="A295" i="3" s="1"/>
  <c r="C282" i="1" l="1"/>
  <c r="C272" i="1"/>
  <c r="E267" i="1"/>
  <c r="E259" i="1"/>
  <c r="C258" i="1"/>
  <c r="D229" i="1"/>
  <c r="E228" i="1"/>
  <c r="E223" i="1"/>
  <c r="E210" i="1"/>
  <c r="F149" i="1"/>
  <c r="E147" i="1"/>
  <c r="E129" i="1"/>
  <c r="E126" i="1"/>
  <c r="E125" i="1"/>
  <c r="F121" i="1"/>
  <c r="E119" i="1"/>
  <c r="E117" i="1"/>
  <c r="E96" i="1"/>
  <c r="E97" i="1" s="1"/>
  <c r="F85" i="1"/>
  <c r="E84" i="1"/>
  <c r="F78" i="1"/>
  <c r="E78" i="1"/>
  <c r="E69" i="1"/>
  <c r="F56" i="1"/>
  <c r="C56" i="1"/>
  <c r="E47" i="1"/>
  <c r="F40" i="1"/>
  <c r="E31" i="1"/>
  <c r="E16" i="1"/>
  <c r="A16" i="1"/>
  <c r="A17" i="1" s="1"/>
  <c r="A10" i="1"/>
  <c r="F17" i="1" l="1"/>
  <c r="A18" i="1"/>
  <c r="A11" i="1"/>
  <c r="A12" i="1" s="1"/>
  <c r="F13" i="1" s="1"/>
  <c r="F12" i="1" l="1"/>
  <c r="F19" i="1"/>
  <c r="A19" i="1"/>
  <c r="A20" i="1" l="1"/>
  <c r="A22" i="1" s="1"/>
  <c r="F20" i="1"/>
  <c r="F23" i="1" l="1"/>
  <c r="A23" i="1"/>
  <c r="A25" i="1" s="1"/>
  <c r="F26" i="1" l="1"/>
  <c r="A26" i="1"/>
  <c r="F132" i="1" l="1"/>
  <c r="A31" i="1"/>
  <c r="F231" i="1"/>
  <c r="A32" i="1" l="1"/>
  <c r="A33" i="1" s="1"/>
  <c r="F33" i="1"/>
  <c r="F258" i="1" l="1"/>
  <c r="A35" i="1"/>
  <c r="A36" i="1" s="1"/>
  <c r="A37" i="1" s="1"/>
  <c r="A38" i="1" s="1"/>
  <c r="F39" i="1" l="1"/>
  <c r="A39" i="1"/>
  <c r="A40" i="1" l="1"/>
  <c r="A41" i="1" s="1"/>
  <c r="A43" i="1" l="1"/>
  <c r="F43" i="1"/>
  <c r="F41" i="1"/>
  <c r="A47" i="1" l="1"/>
  <c r="F22" i="1"/>
  <c r="F48" i="1" l="1"/>
  <c r="A48" i="1"/>
  <c r="F282" i="1"/>
  <c r="F273" i="1"/>
  <c r="A50" i="1" l="1"/>
  <c r="A51" i="1" s="1"/>
  <c r="A52" i="1" s="1"/>
  <c r="A53" i="1" s="1"/>
  <c r="A54" i="1" l="1"/>
  <c r="A55" i="1" s="1"/>
  <c r="F55" i="1"/>
  <c r="A56" i="1" l="1"/>
  <c r="A57" i="1" s="1"/>
  <c r="F57" i="1"/>
  <c r="A59" i="1" l="1"/>
  <c r="F59" i="1"/>
  <c r="A61" i="1" l="1"/>
  <c r="F61" i="1"/>
  <c r="F245" i="1" l="1"/>
  <c r="A66" i="1"/>
  <c r="F25" i="1"/>
  <c r="F67" i="1" l="1"/>
  <c r="A67" i="1"/>
  <c r="A69" i="1" l="1"/>
  <c r="A72" i="1" s="1"/>
  <c r="A75" i="1" s="1"/>
  <c r="A76" i="1" l="1"/>
  <c r="A78" i="1" s="1"/>
  <c r="A80" i="1" s="1"/>
  <c r="A81" i="1" s="1"/>
  <c r="A84" i="1" s="1"/>
  <c r="F76" i="1"/>
  <c r="A85" i="1" l="1"/>
  <c r="A86" i="1" s="1"/>
  <c r="A87" i="1" l="1"/>
  <c r="A88" i="1" s="1"/>
  <c r="F88" i="1"/>
  <c r="F86" i="1"/>
  <c r="A91" i="1" l="1"/>
  <c r="A92" i="1" l="1"/>
  <c r="A93" i="1" s="1"/>
  <c r="A96" i="1" l="1"/>
  <c r="F93" i="1"/>
  <c r="A97" i="1" l="1"/>
  <c r="A98" i="1" s="1"/>
  <c r="F98" i="1" l="1"/>
  <c r="A100" i="1"/>
  <c r="F100" i="1"/>
  <c r="A102" i="1" l="1"/>
  <c r="F246" i="1"/>
  <c r="F102" i="1"/>
  <c r="F247" i="1" l="1"/>
  <c r="A107" i="1"/>
  <c r="A108" i="1" l="1"/>
  <c r="A109" i="1" s="1"/>
  <c r="A110" i="1" s="1"/>
  <c r="A111" i="1" s="1"/>
  <c r="F111" i="1"/>
  <c r="A114" i="1" l="1"/>
  <c r="A115" i="1" l="1"/>
  <c r="A116" i="1" s="1"/>
  <c r="F129" i="1" l="1"/>
  <c r="A117" i="1"/>
  <c r="A118" i="1" s="1"/>
  <c r="A119" i="1" s="1"/>
  <c r="A120" i="1" l="1"/>
  <c r="F120" i="1"/>
  <c r="A121" i="1" l="1"/>
  <c r="A122" i="1" s="1"/>
  <c r="F122" i="1"/>
  <c r="A125" i="1" l="1"/>
  <c r="A126" i="1" l="1"/>
  <c r="A127" i="1" s="1"/>
  <c r="F127" i="1"/>
  <c r="A129" i="1" l="1"/>
  <c r="A130" i="1" l="1"/>
  <c r="A131" i="1" s="1"/>
  <c r="A132" i="1" l="1"/>
  <c r="A133" i="1" s="1"/>
  <c r="F131" i="1"/>
  <c r="A135" i="1" l="1"/>
  <c r="F135" i="1"/>
  <c r="F133" i="1"/>
  <c r="F249" i="1" l="1"/>
  <c r="F91" i="1"/>
  <c r="A140" i="1"/>
  <c r="A141" i="1" l="1"/>
  <c r="A143" i="1"/>
  <c r="A144" i="1" s="1"/>
  <c r="A145" i="1" s="1"/>
  <c r="A146" i="1" s="1"/>
  <c r="F141" i="1"/>
  <c r="A147" i="1" l="1"/>
  <c r="A148" i="1" s="1"/>
  <c r="A149" i="1" l="1"/>
  <c r="A150" i="1" s="1"/>
  <c r="F148" i="1"/>
  <c r="A152" i="1" l="1"/>
  <c r="F152" i="1"/>
  <c r="F150" i="1"/>
  <c r="F250" i="1" l="1"/>
  <c r="A156" i="1"/>
  <c r="A158" i="1" l="1"/>
  <c r="F158" i="1"/>
  <c r="F251" i="1" l="1"/>
  <c r="A163" i="1"/>
  <c r="A164" i="1" l="1"/>
  <c r="A165" i="1" s="1"/>
  <c r="A166" i="1" s="1"/>
  <c r="A167" i="1" s="1"/>
  <c r="A169" i="1" s="1"/>
  <c r="D167" i="1"/>
  <c r="A170" i="1" l="1"/>
  <c r="A171" i="1" s="1"/>
  <c r="A172" i="1" s="1"/>
  <c r="A173" i="1" s="1"/>
  <c r="A174" i="1" s="1"/>
  <c r="A177" i="1" s="1"/>
  <c r="A178" i="1" l="1"/>
  <c r="A179" i="1" s="1"/>
  <c r="A180" i="1" s="1"/>
  <c r="A181" i="1" s="1"/>
  <c r="A182" i="1" s="1"/>
  <c r="A183" i="1" s="1"/>
  <c r="D183" i="1"/>
  <c r="D174" i="1"/>
  <c r="A186" i="1" l="1"/>
  <c r="F208" i="1"/>
  <c r="A187" i="1" l="1"/>
  <c r="A188" i="1" s="1"/>
  <c r="A189" i="1" s="1"/>
  <c r="A190" i="1" s="1"/>
  <c r="A191" i="1" s="1"/>
  <c r="A192" i="1" s="1"/>
  <c r="A194" i="1" l="1"/>
  <c r="D192" i="1"/>
  <c r="F209" i="1" l="1"/>
  <c r="A197" i="1"/>
  <c r="A198" i="1" l="1"/>
  <c r="A199" i="1" s="1"/>
  <c r="A200" i="1" s="1"/>
  <c r="A201" i="1" s="1"/>
  <c r="A203" i="1" l="1"/>
  <c r="F205" i="1"/>
  <c r="F204" i="1"/>
  <c r="D201" i="1"/>
  <c r="A204" i="1" l="1"/>
  <c r="A205" i="1" l="1"/>
  <c r="F203" i="1"/>
  <c r="A208" i="1" l="1"/>
  <c r="A209" i="1" l="1"/>
  <c r="F212" i="1"/>
  <c r="A210" i="1" l="1"/>
  <c r="F213" i="1"/>
  <c r="A212" i="1" l="1"/>
  <c r="F214" i="1"/>
  <c r="A213" i="1" l="1"/>
  <c r="A214" i="1" s="1"/>
  <c r="A215" i="1" s="1"/>
  <c r="F215" i="1"/>
  <c r="A217" i="1" l="1"/>
  <c r="F217" i="1"/>
  <c r="F252" i="1" l="1"/>
  <c r="A222" i="1"/>
  <c r="A223" i="1" s="1"/>
  <c r="A224" i="1" s="1"/>
  <c r="A225" i="1" s="1"/>
  <c r="F230" i="1" l="1"/>
  <c r="A226" i="1"/>
  <c r="A229" i="1" l="1"/>
  <c r="F238" i="1"/>
  <c r="A230" i="1" l="1"/>
  <c r="A231" i="1" s="1"/>
  <c r="A232" i="1" s="1"/>
  <c r="A238" i="1" l="1"/>
  <c r="A240" i="1" s="1"/>
  <c r="F240" i="1"/>
  <c r="F232" i="1"/>
  <c r="F253" i="1" l="1"/>
  <c r="A245" i="1"/>
  <c r="A246" i="1" s="1"/>
  <c r="A247" i="1" s="1"/>
  <c r="A249" i="1" s="1"/>
  <c r="A250" i="1" l="1"/>
  <c r="A251" i="1" s="1"/>
  <c r="A252" i="1" s="1"/>
  <c r="A253" i="1" s="1"/>
  <c r="A255" i="1" s="1"/>
  <c r="F279" i="1" l="1"/>
  <c r="F262" i="1"/>
  <c r="F272" i="1"/>
  <c r="A258" i="1"/>
  <c r="F255" i="1"/>
  <c r="A259" i="1" l="1"/>
  <c r="A260" i="1" s="1"/>
  <c r="F260" i="1"/>
  <c r="A261" i="1" l="1"/>
  <c r="F261" i="1"/>
  <c r="A262" i="1" l="1"/>
  <c r="A263" i="1" s="1"/>
  <c r="A266" i="1" l="1"/>
  <c r="A267" i="1" s="1"/>
  <c r="A269" i="1" s="1"/>
  <c r="F263" i="1"/>
  <c r="A272" i="1" l="1"/>
  <c r="A273" i="1" s="1"/>
  <c r="F286" i="1"/>
  <c r="F269" i="1"/>
  <c r="A274" i="1" l="1"/>
  <c r="A275" i="1" s="1"/>
  <c r="A276" i="1" s="1"/>
  <c r="A279" i="1" s="1"/>
  <c r="F276" i="1"/>
  <c r="F275" i="1"/>
  <c r="F274" i="1"/>
  <c r="A280" i="1" l="1"/>
  <c r="A281" i="1" s="1"/>
  <c r="A282" i="1" l="1"/>
  <c r="A283" i="1" s="1"/>
  <c r="A284" i="1" s="1"/>
  <c r="A286" i="1" s="1"/>
  <c r="F284" i="1"/>
  <c r="F283" i="1"/>
  <c r="F281" i="1"/>
  <c r="A287" i="1" l="1"/>
  <c r="A288" i="1" s="1"/>
  <c r="A289" i="1" s="1"/>
  <c r="F290" i="1"/>
  <c r="A290" i="1" l="1"/>
  <c r="EV289" i="1"/>
  <c r="A293" i="1" l="1"/>
  <c r="A294" i="1" l="1"/>
  <c r="A295" i="1" s="1"/>
  <c r="F295" i="1"/>
  <c r="F294" i="1"/>
  <c r="G47" i="3" l="1"/>
  <c r="G48" i="3" s="1"/>
  <c r="G78" i="3" l="1"/>
  <c r="G110" i="3" l="1"/>
  <c r="G111" i="3" s="1"/>
  <c r="G84" i="3" l="1"/>
  <c r="G86" i="3" s="1"/>
  <c r="G50" i="3" l="1"/>
  <c r="G52" i="3" s="1"/>
  <c r="G59" i="3" s="1"/>
  <c r="G87" i="3"/>
  <c r="G88" i="3" s="1"/>
  <c r="G18" i="3" l="1"/>
  <c r="G19" i="3" s="1"/>
  <c r="G72" i="3" l="1"/>
  <c r="G31" i="3"/>
  <c r="G273" i="3" l="1"/>
  <c r="G282" i="3" s="1"/>
  <c r="G33" i="3"/>
  <c r="G16" i="3"/>
  <c r="G17" i="3" s="1"/>
  <c r="G20" i="3" s="1"/>
  <c r="G258" i="3" l="1"/>
  <c r="G260" i="3" s="1"/>
  <c r="G261" i="3" s="1"/>
  <c r="G43" i="3"/>
  <c r="G22" i="3" l="1"/>
  <c r="G23" i="3" s="1"/>
  <c r="G61" i="3"/>
  <c r="G125" i="3"/>
  <c r="G127" i="3" s="1"/>
  <c r="G245" i="3" l="1"/>
  <c r="G25" i="3"/>
  <c r="G26" i="3" s="1"/>
  <c r="G231" i="3" l="1"/>
  <c r="G232" i="3" s="1"/>
  <c r="G132" i="3"/>
  <c r="G133" i="3" s="1"/>
  <c r="G135" i="3" s="1"/>
  <c r="G66" i="3"/>
  <c r="G67" i="3" s="1"/>
  <c r="G249" i="3" l="1"/>
  <c r="G91" i="3"/>
  <c r="G93" i="3" s="1"/>
  <c r="G235" i="3" l="1"/>
  <c r="G236" i="3" s="1"/>
  <c r="G266" i="3" l="1"/>
  <c r="G75" i="3" l="1"/>
  <c r="G76" i="3" s="1"/>
  <c r="G100" i="3" s="1"/>
  <c r="G246" i="3" l="1"/>
  <c r="G102" i="3"/>
  <c r="G217" i="3" l="1"/>
  <c r="G247" i="3"/>
  <c r="G238" i="3" l="1"/>
  <c r="G240" i="3" s="1"/>
  <c r="G252" i="3"/>
  <c r="G253" i="3" l="1"/>
  <c r="G255" i="3" s="1"/>
  <c r="G262" i="3" l="1"/>
  <c r="G263" i="3" s="1"/>
  <c r="G276" i="3"/>
  <c r="G275" i="3"/>
  <c r="G279" i="3"/>
  <c r="G274" i="3"/>
  <c r="G280" i="3"/>
  <c r="G272" i="3" l="1"/>
  <c r="G269" i="3"/>
  <c r="G286" i="3" s="1"/>
  <c r="G281" i="3"/>
  <c r="G283" i="3" l="1"/>
  <c r="G284" i="3"/>
  <c r="G288" i="3" l="1"/>
  <c r="G290" i="3" s="1"/>
</calcChain>
</file>

<file path=xl/sharedStrings.xml><?xml version="1.0" encoding="utf-8"?>
<sst xmlns="http://schemas.openxmlformats.org/spreadsheetml/2006/main" count="1018" uniqueCount="262">
  <si>
    <t>ATTACHMENT H</t>
  </si>
  <si>
    <t xml:space="preserve">Puget Sound Energy </t>
  </si>
  <si>
    <t>FERC Form 1  Page # or Instruction</t>
  </si>
  <si>
    <t>Total Transmission</t>
  </si>
  <si>
    <t xml:space="preserve">WA Area </t>
  </si>
  <si>
    <t>Colstrip</t>
  </si>
  <si>
    <t>Southern Intertie</t>
  </si>
  <si>
    <t>Formula Rate -- Attachment H-1</t>
  </si>
  <si>
    <t>Notes</t>
  </si>
  <si>
    <t>Shaded cells are input cells</t>
  </si>
  <si>
    <t>Allocators</t>
  </si>
  <si>
    <t>Wages &amp; Salary Allocation Factor</t>
  </si>
  <si>
    <t>Transmission Wages Expense</t>
  </si>
  <si>
    <t>p354.21.b</t>
  </si>
  <si>
    <t>Total Wages Expense</t>
  </si>
  <si>
    <t>p354.28b</t>
  </si>
  <si>
    <t>Less A&amp;G Wages Expense</t>
  </si>
  <si>
    <t>p354.27b</t>
  </si>
  <si>
    <t>Total</t>
  </si>
  <si>
    <t>Wages &amp; Salary Allocator</t>
  </si>
  <si>
    <t>Plant Allocation Factors</t>
  </si>
  <si>
    <t>Electric Plant in Service</t>
  </si>
  <si>
    <t>Attachment 5</t>
  </si>
  <si>
    <t>Total Plant In Service</t>
  </si>
  <si>
    <t>Accumulated Depreciation (Total Electric Plant)</t>
  </si>
  <si>
    <t>Total Accumulated Depreciation</t>
  </si>
  <si>
    <t>Net Plant</t>
  </si>
  <si>
    <t>Transmission Gross Plant</t>
  </si>
  <si>
    <t>Gross Plant Allocator</t>
  </si>
  <si>
    <t>Transmission Net Plant</t>
  </si>
  <si>
    <t>Net Plant Allocator</t>
  </si>
  <si>
    <t>Plant Calculations</t>
  </si>
  <si>
    <t>Transmission Plant In Service</t>
  </si>
  <si>
    <t>New Transmission Plant Additions for Current Calendar Year  (weighted by months in service)</t>
  </si>
  <si>
    <t>Attachment 6</t>
  </si>
  <si>
    <t>Total Transmission Plant In Service</t>
  </si>
  <si>
    <t>Common Plant</t>
  </si>
  <si>
    <t>ASCM Allocation</t>
  </si>
  <si>
    <t>Common Plant Allocated to Transmission</t>
  </si>
  <si>
    <t>General &amp; Intangible</t>
  </si>
  <si>
    <t>Total General</t>
  </si>
  <si>
    <t>Wage &amp; Salary Allocation Factor</t>
  </si>
  <si>
    <t>General Plant Allocated to Transmission</t>
  </si>
  <si>
    <t>TOTAL Plant In Service</t>
  </si>
  <si>
    <t>Accumulated Depreciation</t>
  </si>
  <si>
    <t>Transmission Accumulated Depreciation</t>
  </si>
  <si>
    <t>Total Transmission Accumulated Depreciation</t>
  </si>
  <si>
    <t>Accumulated Common Plant</t>
  </si>
  <si>
    <t>Accumulated General Depreciation</t>
  </si>
  <si>
    <t>Accumulated Intangible Depreciation</t>
  </si>
  <si>
    <t>General Allocated to Transmission</t>
  </si>
  <si>
    <t>TOTAL Accumulated Depreciation</t>
  </si>
  <si>
    <t>TOTAL Net Property, Plant &amp; Equipment</t>
  </si>
  <si>
    <t>Adjustment To Rate Base</t>
  </si>
  <si>
    <t>Accumulated Deferred Income Taxes</t>
  </si>
  <si>
    <t>ADIT net of FASB 106 and 109</t>
  </si>
  <si>
    <t>Attachment 1</t>
  </si>
  <si>
    <t>Accumulated Deferred Income Taxes Allocated To Transmission</t>
  </si>
  <si>
    <t xml:space="preserve">Accumulated Deferred Income Taxes </t>
  </si>
  <si>
    <t>Enter Negative</t>
  </si>
  <si>
    <t>Transmission O&amp;M Reserves</t>
  </si>
  <si>
    <t>Total Balance Transmission Related Account 242 Reserves</t>
  </si>
  <si>
    <t>Prepayments</t>
  </si>
  <si>
    <t xml:space="preserve">Prepayments </t>
  </si>
  <si>
    <t xml:space="preserve">(Note A)             </t>
  </si>
  <si>
    <t>Total Prepayments Allocated to Transmission</t>
  </si>
  <si>
    <t>Land Held for Future Use</t>
  </si>
  <si>
    <t>Gains on sales of land</t>
  </si>
  <si>
    <t>Losses on sales of land</t>
  </si>
  <si>
    <t>Materials and Supplies</t>
  </si>
  <si>
    <t>Undistributed Stores Exp</t>
  </si>
  <si>
    <t>Total Transmission Allocated</t>
  </si>
  <si>
    <t>Transmission Materials &amp; Supplies</t>
  </si>
  <si>
    <t>Total Materials &amp; Supplies Allocated to Transmission</t>
  </si>
  <si>
    <t>Cash Working Capital</t>
  </si>
  <si>
    <t>Operation &amp; Maintenance Expense</t>
  </si>
  <si>
    <t>Cash Working Capital Allowance</t>
  </si>
  <si>
    <t>(Note H)</t>
  </si>
  <si>
    <t>Total Cash Working Capital Allocated to Transmission</t>
  </si>
  <si>
    <t>Network Credits</t>
  </si>
  <si>
    <t>Outstanding Network Credits</t>
  </si>
  <si>
    <t xml:space="preserve">    Less Accumulated Depreciation Associated with Facilities with Outstanding Network Credits</t>
  </si>
  <si>
    <t>Net Outstanding Credits</t>
  </si>
  <si>
    <t>TOTAL Adjustment to Rate Base</t>
  </si>
  <si>
    <t>Rate Base</t>
  </si>
  <si>
    <t>O&amp;M</t>
  </si>
  <si>
    <t>Transmission O&amp;M</t>
  </si>
  <si>
    <t>p321.112.b</t>
  </si>
  <si>
    <t>Transmission Storm O&amp;M Deferred to 182.1</t>
  </si>
  <si>
    <t>workpaper</t>
  </si>
  <si>
    <t>Less Account 561.0 to 561.5</t>
  </si>
  <si>
    <t>Sch 1</t>
  </si>
  <si>
    <t xml:space="preserve">     Less Account 565</t>
  </si>
  <si>
    <t>Direct Assigned</t>
  </si>
  <si>
    <t>Allocated General Expenses</t>
  </si>
  <si>
    <t>Total A&amp;G</t>
  </si>
  <si>
    <t>p323.197.b</t>
  </si>
  <si>
    <t xml:space="preserve">    Less Post Retirement Benefits Other Than Pensions (PBOP) Adjustment</t>
  </si>
  <si>
    <t xml:space="preserve">    Less Property Insurance Account 924</t>
  </si>
  <si>
    <t>p323.185b</t>
  </si>
  <si>
    <t xml:space="preserve">    Less Regulatory Commission Exp Account 928</t>
  </si>
  <si>
    <t>p323.189b</t>
  </si>
  <si>
    <t xml:space="preserve">    Less General Advertising Exp Account 930.1</t>
  </si>
  <si>
    <t>p323.191b</t>
  </si>
  <si>
    <t xml:space="preserve">    Less EPRI Dues</t>
  </si>
  <si>
    <t>p352-353</t>
  </si>
  <si>
    <t>General Expenses</t>
  </si>
  <si>
    <t>General Expenses Allocated to Transmission</t>
  </si>
  <si>
    <t>Directly Assigned A&amp;G</t>
  </si>
  <si>
    <t>Regulatory Commission Exp Account 928</t>
  </si>
  <si>
    <t>General Advertising Exp Account 930.1</t>
  </si>
  <si>
    <t>Subtotal - Transmission Related</t>
  </si>
  <si>
    <t>Property Insurance Account 924</t>
  </si>
  <si>
    <t>Net Plant Allocation Factor</t>
  </si>
  <si>
    <t>A&amp;G Directly Assigned to Transmission</t>
  </si>
  <si>
    <t>(Note S)</t>
  </si>
  <si>
    <t>Total Transmission O&amp;M</t>
  </si>
  <si>
    <t>Depreciation &amp; Amortization Expense</t>
  </si>
  <si>
    <t>Transmission Depreciation Expense</t>
  </si>
  <si>
    <t>p336.7f</t>
  </si>
  <si>
    <t>Total Transmission Depreciation Expense</t>
  </si>
  <si>
    <t>Common Plant Electric Depreciation</t>
  </si>
  <si>
    <t>p336.11f</t>
  </si>
  <si>
    <t>Common Plant Depreciation Allocated to Transmission</t>
  </si>
  <si>
    <t>General Depreciation</t>
  </si>
  <si>
    <t>p336.10f</t>
  </si>
  <si>
    <t>Intangible Amortization</t>
  </si>
  <si>
    <t>p336.1f</t>
  </si>
  <si>
    <t>General Depreciation Allocated to Transmission</t>
  </si>
  <si>
    <t>Total Transmission Depreciation &amp; Amortization</t>
  </si>
  <si>
    <t xml:space="preserve">Taxes Other than Income                                                    </t>
  </si>
  <si>
    <t>Taxes Other than Income - Transmission</t>
  </si>
  <si>
    <t>Attachment 2</t>
  </si>
  <si>
    <t>Total Taxes Other than Income</t>
  </si>
  <si>
    <t>Return / Capitalization Calculations</t>
  </si>
  <si>
    <t xml:space="preserve"> Long Term Debt</t>
  </si>
  <si>
    <t>Acc 221 Bonds</t>
  </si>
  <si>
    <t>Wksht 6</t>
  </si>
  <si>
    <t>Less Acc 222 Reacq'd Bonds</t>
  </si>
  <si>
    <t>Acc 223 LT Advances from Assoc Cos.</t>
  </si>
  <si>
    <t>Acc 224 Other LT Debt</t>
  </si>
  <si>
    <t>Gross Proceeds Outstanding LT Debt</t>
  </si>
  <si>
    <t>Less Acc 226 Unamort Discount</t>
  </si>
  <si>
    <t>(Note R)</t>
  </si>
  <si>
    <t>Less Acc 181 Unamort Debt Expense</t>
  </si>
  <si>
    <t>Less Acc 189 Unamort Loss on Reacqd Debt</t>
  </si>
  <si>
    <t>Plus Acc 225 Unamort Premium</t>
  </si>
  <si>
    <t>Plus Acc 257 Unamort Gain on Reacqd Debt</t>
  </si>
  <si>
    <t>Net Proceeds Long Term Debt</t>
  </si>
  <si>
    <t>Long Term Debt Cost</t>
  </si>
  <si>
    <t>Acc 427 and Acc 430 Interest Expense</t>
  </si>
  <si>
    <t>Acc 428 Amort Debt Discount and Expense</t>
  </si>
  <si>
    <t>Acc 428.1 Amort Loss on Reacqd Debt</t>
  </si>
  <si>
    <t>Less Acc 429 Amort Premium</t>
  </si>
  <si>
    <t>Less Hedging Adjustment</t>
  </si>
  <si>
    <t>(Notes R &amp; Q)</t>
  </si>
  <si>
    <t>Less Acc 429.1 Amort Gain on Reacqd Debt</t>
  </si>
  <si>
    <t>Total Long Term Debt Cost</t>
  </si>
  <si>
    <t>Preferred Stock and Dividend</t>
  </si>
  <si>
    <t>Acc 204 Preferred Stock Issued</t>
  </si>
  <si>
    <t>Less Acc 217 Reacq Capital Stock (Pfd)</t>
  </si>
  <si>
    <t>Acc 207 Premium on Pfd Stock</t>
  </si>
  <si>
    <t>Acc 207-208 Other Paid In Capital (Pfd)</t>
  </si>
  <si>
    <t>Less Acc 213 discount on Capital Stock (Pfd)</t>
  </si>
  <si>
    <t>Less Acc 214 Capital Stock Expense (Pfd)</t>
  </si>
  <si>
    <t xml:space="preserve">Total Preferred Stock </t>
  </si>
  <si>
    <t>Preferred Dividend</t>
  </si>
  <si>
    <t>Enter Positive</t>
  </si>
  <si>
    <t>Common Stock</t>
  </si>
  <si>
    <t>Proprietary Capital</t>
  </si>
  <si>
    <t>Less: Preferred Stock</t>
  </si>
  <si>
    <t>Less Acc 216.1 Unap Undis Subsidiary Earnings</t>
  </si>
  <si>
    <t>Less:  Account 219 (enter negative)</t>
  </si>
  <si>
    <t>Total Common Stock</t>
  </si>
  <si>
    <t>Debt percent</t>
  </si>
  <si>
    <t>Total Long Term Debt</t>
  </si>
  <si>
    <t>(Note J)</t>
  </si>
  <si>
    <t>Preferred percent</t>
  </si>
  <si>
    <t>Preferred Stock</t>
  </si>
  <si>
    <t>Common percent</t>
  </si>
  <si>
    <t>Common Stock (Note J)</t>
  </si>
  <si>
    <t>Debt Cost</t>
  </si>
  <si>
    <t>Long Term Debt Cost = 
Long Term Debt Cost / 
Net Proceeds Long Term Debt</t>
  </si>
  <si>
    <t>Preferred Cost</t>
  </si>
  <si>
    <t>Preferred Stock cost  =  Preferred Dividends / 
Total Preferred Stock</t>
  </si>
  <si>
    <t>Common Cost</t>
  </si>
  <si>
    <t>Fixed</t>
  </si>
  <si>
    <t>Weighted Cost of Debt</t>
  </si>
  <si>
    <t>Weighted Cost of Preferred</t>
  </si>
  <si>
    <t>Weighted Cost of Common</t>
  </si>
  <si>
    <t>Total Return ( R )</t>
  </si>
  <si>
    <t>Investment Return = Rate Base * Rate of Return</t>
  </si>
  <si>
    <t xml:space="preserve">Composite Income Taxes                                                                                                       </t>
  </si>
  <si>
    <t xml:space="preserve"> </t>
  </si>
  <si>
    <t>Income Tax Rates</t>
  </si>
  <si>
    <t>FIT=Federal Income Tax Rate</t>
  </si>
  <si>
    <t>SIT=State Income Tax Rate or Composite</t>
  </si>
  <si>
    <t>p</t>
  </si>
  <si>
    <t>(percent of federal income tax deductible for state purposes)</t>
  </si>
  <si>
    <t>FIT deductible for SIT</t>
  </si>
  <si>
    <t>T = 1-{[(1-SIT) * (1-FIT)]/(1-SIT * FIT * p)}</t>
  </si>
  <si>
    <t xml:space="preserve">     T=1 - {[(1 - SIT) * (1 - FIT)] / (1 - SIT * FIT * p)} =</t>
  </si>
  <si>
    <t>T/ (1-T)</t>
  </si>
  <si>
    <t>ITC Adjustment</t>
  </si>
  <si>
    <t>Amortized Investment Tax Credit-Electric</t>
  </si>
  <si>
    <t>enter negative</t>
  </si>
  <si>
    <t>1/(1-T)</t>
  </si>
  <si>
    <t>ITC Adjustment Allocated to Transmission</t>
  </si>
  <si>
    <t>Income Tax Adjustment</t>
  </si>
  <si>
    <t>145a</t>
  </si>
  <si>
    <t>Other Income Tax Adjustments</t>
  </si>
  <si>
    <t>145b</t>
  </si>
  <si>
    <t>Other Income Tax Adjustments - Grossed Up</t>
  </si>
  <si>
    <t>Other income Tax Adjustment x 1/(1-T)</t>
  </si>
  <si>
    <t>Line 145a * (1/(1 - Line 140))</t>
  </si>
  <si>
    <t xml:space="preserve">Income Tax Component = </t>
  </si>
  <si>
    <t xml:space="preserve">     CIT=(T/1-T) * Investment Return * (1-(WCLTD/R)) =</t>
  </si>
  <si>
    <t>Total Income Taxes</t>
  </si>
  <si>
    <t>REVENUE REQUIREMENT</t>
  </si>
  <si>
    <t>Summary</t>
  </si>
  <si>
    <t>Net Property, Plant &amp; Equipment</t>
  </si>
  <si>
    <t>Adjustment to Rate Base</t>
  </si>
  <si>
    <t>Depreciation &amp; Amortization</t>
  </si>
  <si>
    <t>Taxes Other than Income</t>
  </si>
  <si>
    <t>Investment Return</t>
  </si>
  <si>
    <t>Income Taxes</t>
  </si>
  <si>
    <t>Gross Revenue Requirement</t>
  </si>
  <si>
    <t>Adjustment to Remove Revenue Requirements Associated with Excluded Transmission Facilities</t>
  </si>
  <si>
    <t>Excluded Transmission Facilities</t>
  </si>
  <si>
    <t>Included Transmission Facilities</t>
  </si>
  <si>
    <t>Inclusion Ratio</t>
  </si>
  <si>
    <t>Adjusted Gross Revenue Requirement</t>
  </si>
  <si>
    <t>Revenue Credits &amp; Interest on Network Credits</t>
  </si>
  <si>
    <t>Revenue Credits</t>
  </si>
  <si>
    <t>Attachment 3</t>
  </si>
  <si>
    <t>Interest on Network Credits</t>
  </si>
  <si>
    <t>Net Revenue Requirement</t>
  </si>
  <si>
    <t>Net Plant Carrying Charge</t>
  </si>
  <si>
    <t>Net Transmission Plant</t>
  </si>
  <si>
    <t xml:space="preserve">Net Plant Carrying Charge </t>
  </si>
  <si>
    <t>Net Plant Carrying Charge without Depreciation</t>
  </si>
  <si>
    <t>Net Plant Carrying Charge without Depreciation, Return, nor Income Taxes</t>
  </si>
  <si>
    <t>Net Plant Carrying Charge Calculation per 100 Basis Point increase in ROE</t>
  </si>
  <si>
    <t>Gross Revenue Requirement Less Return and Taxes</t>
  </si>
  <si>
    <t>Increased Return and Taxes</t>
  </si>
  <si>
    <t>Attachment 4 Alloc on Rate base</t>
  </si>
  <si>
    <t>Revenue Requirement per 100 Basis Point increase in ROE</t>
  </si>
  <si>
    <t>Net Plant Carrying Charge per 100 Basis Point increase in ROE</t>
  </si>
  <si>
    <t>Net Plant Carrying Charge per 100 Basis Point in ROE without Depreciation</t>
  </si>
  <si>
    <t>True-up amount</t>
  </si>
  <si>
    <t xml:space="preserve">Plus any increased ROE calculated on Attachment 7 </t>
  </si>
  <si>
    <t>Attachment 7</t>
  </si>
  <si>
    <t>Facility Credits</t>
  </si>
  <si>
    <t xml:space="preserve">Attachment 5 </t>
  </si>
  <si>
    <t>Net Adjusted Revenue Requirement</t>
  </si>
  <si>
    <t>Annual Point-to-Point and Network Transmission Rate</t>
  </si>
  <si>
    <t>Average of the 12 CP</t>
  </si>
  <si>
    <t>Note L</t>
  </si>
  <si>
    <t>Worksheet 4</t>
  </si>
  <si>
    <t>Monthly rate</t>
  </si>
  <si>
    <t>Difference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</si>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</sst>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_);_(@_)"/>
    <numFmt numFmtId="167" formatCode="_(* #,##0.000000_);_(* \(#,##0.000000\);_(* &quot;-&quot;??_);_(@_)"/>
    <numFmt numFmtId="168" formatCode="0.000%"/>
    <numFmt numFmtId="169" formatCode="0.00000%"/>
    <numFmt numFmtId="170" formatCode="0.0%"/>
    <numFmt numFmtId="171" formatCode="_(* #,##0.0_);_(* \(#,##0.0\);_(* &quot;-&quot;??_);_(@_)"/>
    <numFmt numFmtId="172" formatCode="0.0000"/>
    <numFmt numFmtId="173" formatCode="&quot;$&quot;#,##0.00"/>
    <numFmt numFmtId="174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3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12"/>
      <color indexed="13"/>
      <name val="Arial"/>
      <family val="2"/>
    </font>
    <font>
      <sz val="12"/>
      <color indexed="17"/>
      <name val="Arial"/>
      <family val="2"/>
    </font>
    <font>
      <b/>
      <i/>
      <sz val="12"/>
      <color indexed="14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u/>
      <vertAlign val="superscript"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2"/>
      <color indexed="43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4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/>
    <xf numFmtId="43" fontId="3" fillId="0" borderId="0" xfId="0" applyNumberFormat="1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11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3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3" fillId="2" borderId="1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2" xfId="0" applyFont="1" applyFill="1" applyBorder="1"/>
    <xf numFmtId="0" fontId="3" fillId="0" borderId="14" xfId="0" applyFont="1" applyFill="1" applyBorder="1" applyAlignment="1">
      <alignment horizontal="center" wrapText="1"/>
    </xf>
    <xf numFmtId="164" fontId="3" fillId="0" borderId="2" xfId="1" applyNumberFormat="1" applyFont="1" applyFill="1" applyBorder="1"/>
    <xf numFmtId="164" fontId="3" fillId="0" borderId="14" xfId="1" applyNumberFormat="1" applyFont="1" applyFill="1" applyBorder="1"/>
    <xf numFmtId="0" fontId="5" fillId="0" borderId="1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16" xfId="0" applyNumberFormat="1" applyFont="1" applyBorder="1" applyAlignment="1"/>
    <xf numFmtId="3" fontId="3" fillId="0" borderId="11" xfId="0" applyNumberFormat="1" applyFont="1" applyBorder="1" applyAlignment="1"/>
    <xf numFmtId="164" fontId="3" fillId="0" borderId="11" xfId="1" applyNumberFormat="1" applyFont="1" applyBorder="1"/>
    <xf numFmtId="0" fontId="3" fillId="0" borderId="15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3" fillId="3" borderId="11" xfId="0" applyNumberFormat="1" applyFont="1" applyFill="1" applyBorder="1" applyAlignment="1"/>
    <xf numFmtId="0" fontId="3" fillId="0" borderId="16" xfId="0" applyFont="1" applyFill="1" applyBorder="1"/>
    <xf numFmtId="0" fontId="3" fillId="0" borderId="17" xfId="0" applyNumberFormat="1" applyFont="1" applyFill="1" applyBorder="1" applyAlignment="1"/>
    <xf numFmtId="3" fontId="3" fillId="0" borderId="17" xfId="0" applyNumberFormat="1" applyFont="1" applyFill="1" applyBorder="1" applyAlignment="1"/>
    <xf numFmtId="3" fontId="3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/>
    <xf numFmtId="3" fontId="3" fillId="0" borderId="19" xfId="0" applyNumberFormat="1" applyFont="1" applyFill="1" applyBorder="1" applyAlignment="1"/>
    <xf numFmtId="0" fontId="5" fillId="0" borderId="20" xfId="0" applyNumberFormat="1" applyFont="1" applyFill="1" applyBorder="1" applyAlignment="1"/>
    <xf numFmtId="0" fontId="3" fillId="0" borderId="20" xfId="0" applyFont="1" applyFill="1" applyBorder="1" applyAlignment="1"/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/>
    <xf numFmtId="3" fontId="3" fillId="0" borderId="22" xfId="0" applyNumberFormat="1" applyFont="1" applyFill="1" applyBorder="1" applyAlignment="1"/>
    <xf numFmtId="165" fontId="5" fillId="0" borderId="23" xfId="2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0" fontId="3" fillId="0" borderId="16" xfId="0" applyFont="1" applyBorder="1" applyAlignment="1"/>
    <xf numFmtId="165" fontId="5" fillId="0" borderId="11" xfId="2" applyNumberFormat="1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/>
    <xf numFmtId="0" fontId="3" fillId="0" borderId="11" xfId="0" applyFont="1" applyFill="1" applyBorder="1"/>
    <xf numFmtId="0" fontId="3" fillId="0" borderId="15" xfId="0" applyNumberFormat="1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24" xfId="0" applyFont="1" applyBorder="1" applyAlignment="1"/>
    <xf numFmtId="0" fontId="8" fillId="0" borderId="24" xfId="0" applyFont="1" applyFill="1" applyBorder="1" applyAlignment="1">
      <alignment horizontal="center"/>
    </xf>
    <xf numFmtId="0" fontId="3" fillId="0" borderId="25" xfId="0" applyFont="1" applyFill="1" applyBorder="1"/>
    <xf numFmtId="3" fontId="3" fillId="0" borderId="26" xfId="0" applyNumberFormat="1" applyFont="1" applyFill="1" applyBorder="1" applyAlignment="1"/>
    <xf numFmtId="3" fontId="5" fillId="0" borderId="26" xfId="0" applyNumberFormat="1" applyFont="1" applyFill="1" applyBorder="1" applyAlignment="1"/>
    <xf numFmtId="3" fontId="3" fillId="0" borderId="0" xfId="0" applyNumberFormat="1" applyFont="1" applyBorder="1"/>
    <xf numFmtId="3" fontId="3" fillId="0" borderId="16" xfId="0" applyNumberFormat="1" applyFont="1" applyFill="1" applyBorder="1" applyAlignment="1"/>
    <xf numFmtId="3" fontId="3" fillId="0" borderId="11" xfId="0" applyNumberFormat="1" applyFont="1" applyFill="1" applyBorder="1" applyAlignment="1"/>
    <xf numFmtId="3" fontId="5" fillId="0" borderId="11" xfId="0" applyNumberFormat="1" applyFont="1" applyFill="1" applyBorder="1" applyAlignment="1"/>
    <xf numFmtId="0" fontId="3" fillId="0" borderId="17" xfId="0" applyFont="1" applyFill="1" applyBorder="1"/>
    <xf numFmtId="0" fontId="3" fillId="0" borderId="17" xfId="0" applyFont="1" applyBorder="1" applyAlignment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/>
    <xf numFmtId="3" fontId="3" fillId="0" borderId="28" xfId="0" applyNumberFormat="1" applyFont="1" applyFill="1" applyBorder="1" applyAlignment="1"/>
    <xf numFmtId="0" fontId="3" fillId="0" borderId="17" xfId="0" applyFont="1" applyBorder="1"/>
    <xf numFmtId="164" fontId="3" fillId="0" borderId="11" xfId="1" applyNumberFormat="1" applyFont="1" applyFill="1" applyBorder="1"/>
    <xf numFmtId="3" fontId="3" fillId="0" borderId="25" xfId="0" applyNumberFormat="1" applyFont="1" applyFill="1" applyBorder="1" applyAlignment="1"/>
    <xf numFmtId="0" fontId="0" fillId="0" borderId="0" xfId="0" applyFill="1" applyBorder="1"/>
    <xf numFmtId="3" fontId="3" fillId="0" borderId="11" xfId="0" applyNumberFormat="1" applyFont="1" applyFill="1" applyBorder="1"/>
    <xf numFmtId="0" fontId="5" fillId="0" borderId="20" xfId="0" applyFont="1" applyBorder="1"/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3" fontId="3" fillId="0" borderId="29" xfId="0" applyNumberFormat="1" applyFont="1" applyFill="1" applyBorder="1" applyAlignment="1"/>
    <xf numFmtId="3" fontId="3" fillId="0" borderId="2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3" fillId="0" borderId="29" xfId="0" applyNumberFormat="1" applyFont="1" applyBorder="1" applyAlignment="1"/>
    <xf numFmtId="0" fontId="3" fillId="0" borderId="15" xfId="0" applyNumberFormat="1" applyFont="1" applyBorder="1" applyAlignment="1">
      <alignment horizontal="left"/>
    </xf>
    <xf numFmtId="165" fontId="5" fillId="0" borderId="11" xfId="2" applyNumberFormat="1" applyFont="1" applyBorder="1" applyAlignment="1"/>
    <xf numFmtId="0" fontId="6" fillId="2" borderId="15" xfId="0" applyFont="1" applyFill="1" applyBorder="1" applyAlignment="1">
      <alignment horizontal="left"/>
    </xf>
    <xf numFmtId="0" fontId="3" fillId="2" borderId="16" xfId="0" applyFont="1" applyFill="1" applyBorder="1"/>
    <xf numFmtId="0" fontId="3" fillId="2" borderId="11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/>
    </xf>
    <xf numFmtId="0" fontId="0" fillId="0" borderId="24" xfId="0" applyFill="1" applyBorder="1"/>
    <xf numFmtId="164" fontId="3" fillId="0" borderId="26" xfId="1" applyNumberFormat="1" applyFont="1" applyFill="1" applyBorder="1"/>
    <xf numFmtId="168" fontId="3" fillId="3" borderId="26" xfId="2" applyNumberFormat="1" applyFont="1" applyFill="1" applyBorder="1" applyAlignment="1"/>
    <xf numFmtId="168" fontId="3" fillId="0" borderId="26" xfId="2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169" fontId="3" fillId="0" borderId="26" xfId="2" applyNumberFormat="1" applyFont="1" applyFill="1" applyBorder="1" applyAlignment="1"/>
    <xf numFmtId="165" fontId="3" fillId="0" borderId="26" xfId="2" applyNumberFormat="1" applyFont="1" applyFill="1" applyBorder="1" applyAlignment="1"/>
    <xf numFmtId="0" fontId="5" fillId="0" borderId="17" xfId="0" applyNumberFormat="1" applyFont="1" applyFill="1" applyBorder="1" applyAlignment="1"/>
    <xf numFmtId="0" fontId="5" fillId="0" borderId="20" xfId="0" applyFont="1" applyFill="1" applyBorder="1"/>
    <xf numFmtId="0" fontId="5" fillId="0" borderId="20" xfId="0" applyFont="1" applyFill="1" applyBorder="1" applyAlignment="1">
      <alignment horizontal="center"/>
    </xf>
    <xf numFmtId="3" fontId="5" fillId="0" borderId="29" xfId="0" applyNumberFormat="1" applyFont="1" applyFill="1" applyBorder="1" applyAlignment="1"/>
    <xf numFmtId="3" fontId="5" fillId="0" borderId="23" xfId="0" applyNumberFormat="1" applyFont="1" applyFill="1" applyBorder="1"/>
    <xf numFmtId="3" fontId="3" fillId="0" borderId="0" xfId="0" applyNumberFormat="1" applyFont="1" applyFill="1" applyBorder="1" applyAlignment="1"/>
    <xf numFmtId="0" fontId="3" fillId="0" borderId="1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8" fontId="3" fillId="3" borderId="26" xfId="2" applyNumberFormat="1" applyFont="1" applyFill="1" applyBorder="1"/>
    <xf numFmtId="0" fontId="3" fillId="0" borderId="0" xfId="0" applyNumberFormat="1" applyFont="1" applyBorder="1" applyAlignment="1"/>
    <xf numFmtId="3" fontId="3" fillId="0" borderId="25" xfId="0" applyNumberFormat="1" applyFont="1" applyBorder="1" applyAlignment="1"/>
    <xf numFmtId="0" fontId="5" fillId="0" borderId="17" xfId="0" applyNumberFormat="1" applyFont="1" applyBorder="1" applyAlignment="1"/>
    <xf numFmtId="3" fontId="5" fillId="0" borderId="19" xfId="0" applyNumberFormat="1" applyFont="1" applyFill="1" applyBorder="1" applyAlignment="1"/>
    <xf numFmtId="3" fontId="10" fillId="0" borderId="11" xfId="0" applyNumberFormat="1" applyFont="1" applyFill="1" applyBorder="1"/>
    <xf numFmtId="0" fontId="5" fillId="0" borderId="20" xfId="0" applyFont="1" applyBorder="1" applyAlignment="1">
      <alignment horizontal="center"/>
    </xf>
    <xf numFmtId="3" fontId="5" fillId="0" borderId="29" xfId="0" applyNumberFormat="1" applyFont="1" applyBorder="1" applyAlignment="1"/>
    <xf numFmtId="3" fontId="3" fillId="0" borderId="11" xfId="0" applyNumberFormat="1" applyFont="1" applyBorder="1"/>
    <xf numFmtId="0" fontId="11" fillId="0" borderId="15" xfId="0" applyFont="1" applyBorder="1" applyAlignment="1">
      <alignment horizontal="left"/>
    </xf>
    <xf numFmtId="0" fontId="11" fillId="0" borderId="0" xfId="0" applyFont="1" applyBorder="1"/>
    <xf numFmtId="0" fontId="3" fillId="0" borderId="11" xfId="0" applyFont="1" applyBorder="1"/>
    <xf numFmtId="0" fontId="3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/>
    </xf>
    <xf numFmtId="0" fontId="3" fillId="0" borderId="2" xfId="0" applyFont="1" applyBorder="1" applyAlignment="1"/>
    <xf numFmtId="0" fontId="3" fillId="0" borderId="2" xfId="0" applyFont="1" applyFill="1" applyBorder="1" applyAlignment="1">
      <alignment horizontal="right"/>
    </xf>
    <xf numFmtId="0" fontId="3" fillId="0" borderId="13" xfId="0" applyFont="1" applyBorder="1"/>
    <xf numFmtId="3" fontId="3" fillId="0" borderId="14" xfId="0" applyNumberFormat="1" applyFont="1" applyBorder="1" applyAlignment="1"/>
    <xf numFmtId="0" fontId="5" fillId="0" borderId="0" xfId="0" applyNumberFormat="1" applyFont="1" applyFill="1" applyBorder="1" applyAlignment="1">
      <alignment horizontal="left"/>
    </xf>
    <xf numFmtId="0" fontId="8" fillId="0" borderId="24" xfId="0" applyFont="1" applyBorder="1" applyAlignment="1">
      <alignment horizontal="right"/>
    </xf>
    <xf numFmtId="0" fontId="5" fillId="0" borderId="17" xfId="0" applyNumberFormat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center" wrapText="1"/>
    </xf>
    <xf numFmtId="3" fontId="5" fillId="0" borderId="11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4" fontId="8" fillId="0" borderId="16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8" fillId="0" borderId="24" xfId="0" quotePrefix="1" applyFont="1" applyFill="1" applyBorder="1" applyAlignment="1">
      <alignment horizontal="center" wrapText="1"/>
    </xf>
    <xf numFmtId="0" fontId="3" fillId="0" borderId="25" xfId="0" applyNumberFormat="1" applyFont="1" applyFill="1" applyBorder="1" applyAlignment="1">
      <alignment horizontal="left"/>
    </xf>
    <xf numFmtId="0" fontId="0" fillId="0" borderId="26" xfId="0" applyFill="1" applyBorder="1"/>
    <xf numFmtId="3" fontId="3" fillId="0" borderId="26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3" fontId="5" fillId="0" borderId="11" xfId="0" applyNumberFormat="1" applyFont="1" applyFill="1" applyBorder="1"/>
    <xf numFmtId="43" fontId="3" fillId="0" borderId="11" xfId="1" applyFont="1" applyFill="1" applyBorder="1" applyAlignment="1"/>
    <xf numFmtId="43" fontId="3" fillId="0" borderId="11" xfId="1" applyFont="1" applyFill="1" applyBorder="1"/>
    <xf numFmtId="0" fontId="0" fillId="0" borderId="11" xfId="0" applyFill="1" applyBorder="1"/>
    <xf numFmtId="43" fontId="3" fillId="0" borderId="16" xfId="1" applyFont="1" applyFill="1" applyBorder="1" applyAlignment="1"/>
    <xf numFmtId="43" fontId="3" fillId="0" borderId="16" xfId="1" applyFont="1" applyFill="1" applyBorder="1"/>
    <xf numFmtId="164" fontId="3" fillId="0" borderId="16" xfId="1" applyNumberFormat="1" applyFont="1" applyFill="1" applyBorder="1"/>
    <xf numFmtId="0" fontId="13" fillId="0" borderId="0" xfId="0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0" fontId="3" fillId="0" borderId="16" xfId="0" applyNumberFormat="1" applyFont="1" applyFill="1" applyBorder="1" applyAlignment="1">
      <alignment horizontal="left"/>
    </xf>
    <xf numFmtId="0" fontId="0" fillId="0" borderId="16" xfId="0" applyFill="1" applyBorder="1"/>
    <xf numFmtId="0" fontId="3" fillId="0" borderId="24" xfId="0" applyNumberFormat="1" applyFont="1" applyFill="1" applyBorder="1" applyAlignment="1">
      <alignment horizontal="center"/>
    </xf>
    <xf numFmtId="0" fontId="3" fillId="0" borderId="26" xfId="0" applyFont="1" applyFill="1" applyBorder="1"/>
    <xf numFmtId="165" fontId="3" fillId="0" borderId="26" xfId="0" applyNumberFormat="1" applyFont="1" applyFill="1" applyBorder="1" applyAlignment="1">
      <alignment horizontal="right"/>
    </xf>
    <xf numFmtId="43" fontId="3" fillId="0" borderId="19" xfId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43" fontId="3" fillId="0" borderId="26" xfId="1" applyFont="1" applyFill="1" applyBorder="1"/>
    <xf numFmtId="0" fontId="5" fillId="0" borderId="17" xfId="0" applyFont="1" applyFill="1" applyBorder="1"/>
    <xf numFmtId="0" fontId="5" fillId="0" borderId="17" xfId="0" applyFont="1" applyFill="1" applyBorder="1" applyAlignment="1"/>
    <xf numFmtId="0" fontId="5" fillId="0" borderId="17" xfId="0" applyNumberFormat="1" applyFont="1" applyFill="1" applyBorder="1" applyAlignment="1">
      <alignment horizontal="center"/>
    </xf>
    <xf numFmtId="43" fontId="5" fillId="0" borderId="11" xfId="1" applyFont="1" applyFill="1" applyBorder="1"/>
    <xf numFmtId="3" fontId="8" fillId="0" borderId="16" xfId="0" applyNumberFormat="1" applyFont="1" applyBorder="1" applyAlignment="1">
      <alignment horizontal="right"/>
    </xf>
    <xf numFmtId="166" fontId="3" fillId="0" borderId="26" xfId="1" applyNumberFormat="1" applyFont="1" applyFill="1" applyBorder="1" applyAlignment="1">
      <alignment horizontal="right"/>
    </xf>
    <xf numFmtId="166" fontId="3" fillId="0" borderId="26" xfId="1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5" fillId="0" borderId="0" xfId="0" applyFont="1" applyBorder="1"/>
    <xf numFmtId="43" fontId="5" fillId="0" borderId="11" xfId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5" xfId="0" applyFont="1" applyBorder="1"/>
    <xf numFmtId="0" fontId="3" fillId="0" borderId="24" xfId="0" applyFont="1" applyBorder="1"/>
    <xf numFmtId="0" fontId="8" fillId="0" borderId="24" xfId="0" applyFont="1" applyBorder="1" applyAlignment="1">
      <alignment horizontal="center"/>
    </xf>
    <xf numFmtId="3" fontId="3" fillId="0" borderId="29" xfId="0" applyNumberFormat="1" applyFont="1" applyFill="1" applyBorder="1" applyAlignment="1">
      <alignment horizontal="right"/>
    </xf>
    <xf numFmtId="43" fontId="5" fillId="0" borderId="23" xfId="1" applyFont="1" applyFill="1" applyBorder="1"/>
    <xf numFmtId="3" fontId="5" fillId="0" borderId="23" xfId="0" applyNumberFormat="1" applyFont="1" applyFill="1" applyBorder="1" applyAlignment="1">
      <alignment horizontal="right"/>
    </xf>
    <xf numFmtId="3" fontId="5" fillId="0" borderId="23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5" fillId="2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3" fontId="3" fillId="0" borderId="0" xfId="0" applyNumberFormat="1" applyFont="1" applyBorder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/>
    <xf numFmtId="0" fontId="3" fillId="0" borderId="16" xfId="0" applyNumberFormat="1" applyFont="1" applyFill="1" applyBorder="1" applyAlignment="1"/>
    <xf numFmtId="3" fontId="3" fillId="3" borderId="26" xfId="0" applyNumberFormat="1" applyFont="1" applyFill="1" applyBorder="1" applyAlignment="1"/>
    <xf numFmtId="0" fontId="3" fillId="0" borderId="25" xfId="0" applyFont="1" applyFill="1" applyBorder="1" applyAlignment="1"/>
    <xf numFmtId="43" fontId="5" fillId="0" borderId="19" xfId="1" applyFont="1" applyFill="1" applyBorder="1" applyAlignment="1"/>
    <xf numFmtId="0" fontId="8" fillId="0" borderId="24" xfId="0" applyFont="1" applyFill="1" applyBorder="1" applyAlignment="1"/>
    <xf numFmtId="43" fontId="3" fillId="0" borderId="0" xfId="1" applyFont="1" applyFill="1" applyBorder="1" applyAlignment="1"/>
    <xf numFmtId="164" fontId="5" fillId="0" borderId="11" xfId="1" applyNumberFormat="1" applyFont="1" applyFill="1" applyBorder="1"/>
    <xf numFmtId="3" fontId="8" fillId="0" borderId="11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left"/>
    </xf>
    <xf numFmtId="43" fontId="3" fillId="0" borderId="17" xfId="0" applyNumberFormat="1" applyFont="1" applyFill="1" applyBorder="1" applyAlignment="1"/>
    <xf numFmtId="165" fontId="3" fillId="0" borderId="26" xfId="2" applyNumberFormat="1" applyFont="1" applyFill="1" applyBorder="1"/>
    <xf numFmtId="43" fontId="5" fillId="0" borderId="19" xfId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center"/>
    </xf>
    <xf numFmtId="3" fontId="5" fillId="0" borderId="23" xfId="0" applyNumberFormat="1" applyFont="1" applyFill="1" applyBorder="1" applyAlignment="1"/>
    <xf numFmtId="0" fontId="3" fillId="0" borderId="5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center"/>
    </xf>
    <xf numFmtId="0" fontId="5" fillId="0" borderId="6" xfId="0" applyNumberFormat="1" applyFont="1" applyFill="1" applyBorder="1" applyAlignment="1"/>
    <xf numFmtId="0" fontId="3" fillId="0" borderId="6" xfId="0" applyFont="1" applyFill="1" applyBorder="1" applyAlignment="1"/>
    <xf numFmtId="3" fontId="3" fillId="0" borderId="6" xfId="0" applyNumberFormat="1" applyFont="1" applyBorder="1" applyAlignment="1">
      <alignment horizontal="center"/>
    </xf>
    <xf numFmtId="0" fontId="3" fillId="0" borderId="30" xfId="0" applyFont="1" applyBorder="1" applyAlignment="1"/>
    <xf numFmtId="165" fontId="5" fillId="0" borderId="31" xfId="2" applyNumberFormat="1" applyFont="1" applyBorder="1" applyAlignment="1"/>
    <xf numFmtId="0" fontId="5" fillId="0" borderId="15" xfId="0" applyNumberFormat="1" applyFont="1" applyFill="1" applyBorder="1" applyAlignment="1"/>
    <xf numFmtId="0" fontId="5" fillId="0" borderId="0" xfId="0" applyNumberFormat="1" applyFont="1" applyBorder="1" applyAlignment="1">
      <alignment horizontal="left"/>
    </xf>
    <xf numFmtId="0" fontId="3" fillId="0" borderId="16" xfId="0" applyFont="1" applyFill="1" applyBorder="1" applyAlignment="1">
      <alignment horizontal="right"/>
    </xf>
    <xf numFmtId="165" fontId="8" fillId="0" borderId="11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3" fontId="3" fillId="3" borderId="26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10" fontId="3" fillId="3" borderId="26" xfId="2" applyNumberFormat="1" applyFont="1" applyFill="1" applyBorder="1" applyAlignment="1">
      <alignment horizontal="right"/>
    </xf>
    <xf numFmtId="0" fontId="13" fillId="0" borderId="15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/>
    <xf numFmtId="0" fontId="5" fillId="0" borderId="20" xfId="0" applyNumberFormat="1" applyFont="1" applyBorder="1" applyAlignment="1">
      <alignment horizontal="left"/>
    </xf>
    <xf numFmtId="0" fontId="5" fillId="0" borderId="20" xfId="0" applyFont="1" applyBorder="1" applyAlignment="1"/>
    <xf numFmtId="0" fontId="5" fillId="0" borderId="20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0" borderId="0" xfId="0" applyFont="1" applyFill="1" applyBorder="1"/>
    <xf numFmtId="37" fontId="5" fillId="0" borderId="0" xfId="0" applyNumberFormat="1" applyFont="1" applyFill="1" applyBorder="1"/>
    <xf numFmtId="37" fontId="14" fillId="0" borderId="0" xfId="0" applyNumberFormat="1" applyFont="1" applyFill="1" applyBorder="1"/>
    <xf numFmtId="37" fontId="15" fillId="0" borderId="0" xfId="0" applyNumberFormat="1" applyFont="1" applyFill="1" applyBorder="1"/>
    <xf numFmtId="37" fontId="3" fillId="0" borderId="16" xfId="0" applyNumberFormat="1" applyFont="1" applyFill="1" applyBorder="1"/>
    <xf numFmtId="37" fontId="3" fillId="0" borderId="0" xfId="0" applyNumberFormat="1" applyFont="1" applyFill="1" applyBorder="1"/>
    <xf numFmtId="37" fontId="3" fillId="0" borderId="11" xfId="0" applyNumberFormat="1" applyFont="1" applyFill="1" applyBorder="1" applyAlignment="1"/>
    <xf numFmtId="37" fontId="3" fillId="0" borderId="0" xfId="0" applyNumberFormat="1" applyFont="1" applyFill="1" applyBorder="1" applyAlignment="1"/>
    <xf numFmtId="37" fontId="3" fillId="0" borderId="16" xfId="0" applyNumberFormat="1" applyFont="1" applyFill="1" applyBorder="1" applyAlignment="1"/>
    <xf numFmtId="37" fontId="3" fillId="0" borderId="11" xfId="0" applyNumberFormat="1" applyFont="1" applyFill="1" applyBorder="1"/>
    <xf numFmtId="37" fontId="3" fillId="0" borderId="24" xfId="0" applyNumberFormat="1" applyFont="1" applyFill="1" applyBorder="1"/>
    <xf numFmtId="37" fontId="3" fillId="0" borderId="24" xfId="0" applyNumberFormat="1" applyFont="1" applyFill="1" applyBorder="1" applyAlignment="1"/>
    <xf numFmtId="37" fontId="3" fillId="0" borderId="25" xfId="0" applyNumberFormat="1" applyFont="1" applyFill="1" applyBorder="1" applyAlignment="1"/>
    <xf numFmtId="37" fontId="3" fillId="0" borderId="26" xfId="0" applyNumberFormat="1" applyFont="1" applyFill="1" applyBorder="1"/>
    <xf numFmtId="37" fontId="13" fillId="0" borderId="0" xfId="0" applyNumberFormat="1" applyFont="1" applyFill="1" applyBorder="1"/>
    <xf numFmtId="37" fontId="13" fillId="0" borderId="26" xfId="0" applyNumberFormat="1" applyFont="1" applyFill="1" applyBorder="1"/>
    <xf numFmtId="37" fontId="16" fillId="0" borderId="11" xfId="0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/>
    <xf numFmtId="10" fontId="3" fillId="0" borderId="11" xfId="0" applyNumberFormat="1" applyFont="1" applyFill="1" applyBorder="1" applyAlignment="1"/>
    <xf numFmtId="3" fontId="3" fillId="0" borderId="0" xfId="0" applyNumberFormat="1" applyFont="1" applyFill="1" applyBorder="1" applyAlignment="1">
      <alignment horizontal="left"/>
    </xf>
    <xf numFmtId="43" fontId="17" fillId="0" borderId="11" xfId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wrapText="1"/>
    </xf>
    <xf numFmtId="172" fontId="3" fillId="0" borderId="11" xfId="0" applyNumberFormat="1" applyFont="1" applyFill="1" applyBorder="1" applyAlignment="1"/>
    <xf numFmtId="0" fontId="3" fillId="0" borderId="24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left"/>
    </xf>
    <xf numFmtId="0" fontId="3" fillId="0" borderId="24" xfId="0" applyNumberFormat="1" applyFont="1" applyBorder="1" applyAlignment="1"/>
    <xf numFmtId="0" fontId="3" fillId="0" borderId="24" xfId="0" applyFont="1" applyBorder="1" applyAlignment="1">
      <alignment horizontal="center"/>
    </xf>
    <xf numFmtId="172" fontId="3" fillId="0" borderId="26" xfId="0" applyNumberFormat="1" applyFont="1" applyFill="1" applyBorder="1" applyAlignment="1"/>
    <xf numFmtId="0" fontId="5" fillId="0" borderId="0" xfId="0" applyNumberFormat="1" applyFont="1" applyBorder="1" applyAlignment="1"/>
    <xf numFmtId="0" fontId="5" fillId="0" borderId="0" xfId="0" applyFont="1" applyBorder="1" applyAlignment="1"/>
    <xf numFmtId="172" fontId="5" fillId="0" borderId="11" xfId="0" applyNumberFormat="1" applyFont="1" applyFill="1" applyBorder="1" applyAlignment="1"/>
    <xf numFmtId="0" fontId="5" fillId="0" borderId="1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3" fontId="5" fillId="0" borderId="16" xfId="0" applyNumberFormat="1" applyFont="1" applyBorder="1" applyAlignment="1"/>
    <xf numFmtId="172" fontId="5" fillId="0" borderId="11" xfId="0" applyNumberFormat="1" applyFont="1" applyBorder="1" applyAlignment="1"/>
    <xf numFmtId="168" fontId="5" fillId="0" borderId="20" xfId="0" applyNumberFormat="1" applyFont="1" applyBorder="1" applyAlignment="1">
      <alignment horizontal="left"/>
    </xf>
    <xf numFmtId="3" fontId="18" fillId="0" borderId="20" xfId="0" applyNumberFormat="1" applyFont="1" applyBorder="1" applyAlignment="1">
      <alignment horizontal="right"/>
    </xf>
    <xf numFmtId="172" fontId="3" fillId="0" borderId="11" xfId="0" applyNumberFormat="1" applyFont="1" applyBorder="1" applyAlignment="1"/>
    <xf numFmtId="0" fontId="3" fillId="0" borderId="15" xfId="0" applyNumberFormat="1" applyFont="1" applyFill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0" fontId="3" fillId="0" borderId="11" xfId="0" applyFont="1" applyBorder="1" applyAlignment="1"/>
    <xf numFmtId="10" fontId="3" fillId="0" borderId="11" xfId="0" applyNumberFormat="1" applyFont="1" applyFill="1" applyBorder="1"/>
    <xf numFmtId="0" fontId="3" fillId="0" borderId="0" xfId="0" applyNumberFormat="1" applyFont="1" applyFill="1" applyBorder="1"/>
    <xf numFmtId="173" fontId="3" fillId="0" borderId="0" xfId="0" applyNumberFormat="1" applyFont="1" applyBorder="1" applyAlignment="1"/>
    <xf numFmtId="168" fontId="3" fillId="0" borderId="0" xfId="0" applyNumberFormat="1" applyFont="1" applyBorder="1" applyAlignment="1">
      <alignment horizontal="left"/>
    </xf>
    <xf numFmtId="10" fontId="3" fillId="0" borderId="11" xfId="0" applyNumberFormat="1" applyFont="1" applyFill="1" applyBorder="1" applyAlignment="1">
      <alignment horizontal="right"/>
    </xf>
    <xf numFmtId="168" fontId="3" fillId="0" borderId="0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left"/>
    </xf>
    <xf numFmtId="10" fontId="3" fillId="0" borderId="11" xfId="2" applyNumberFormat="1" applyFont="1" applyBorder="1" applyAlignment="1"/>
    <xf numFmtId="164" fontId="13" fillId="0" borderId="11" xfId="1" applyNumberFormat="1" applyFont="1" applyFill="1" applyBorder="1"/>
    <xf numFmtId="165" fontId="3" fillId="0" borderId="11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horizontal="left"/>
    </xf>
    <xf numFmtId="3" fontId="5" fillId="0" borderId="1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3" fontId="13" fillId="0" borderId="16" xfId="0" applyNumberFormat="1" applyFont="1" applyBorder="1" applyAlignment="1"/>
    <xf numFmtId="3" fontId="13" fillId="0" borderId="11" xfId="0" applyNumberFormat="1" applyFont="1" applyBorder="1" applyAlignment="1">
      <alignment horizontal="right"/>
    </xf>
    <xf numFmtId="164" fontId="5" fillId="0" borderId="11" xfId="1" applyNumberFormat="1" applyFont="1" applyFill="1" applyBorder="1" applyAlignment="1"/>
    <xf numFmtId="0" fontId="3" fillId="0" borderId="0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right"/>
    </xf>
    <xf numFmtId="164" fontId="5" fillId="0" borderId="23" xfId="1" applyNumberFormat="1" applyFont="1" applyFill="1" applyBorder="1" applyAlignment="1">
      <alignment horizontal="right"/>
    </xf>
    <xf numFmtId="169" fontId="3" fillId="0" borderId="11" xfId="2" applyNumberFormat="1" applyFont="1" applyFill="1" applyBorder="1" applyAlignment="1">
      <alignment horizontal="right"/>
    </xf>
    <xf numFmtId="164" fontId="3" fillId="0" borderId="0" xfId="1" applyNumberFormat="1" applyFont="1"/>
    <xf numFmtId="0" fontId="5" fillId="0" borderId="17" xfId="0" applyFont="1" applyBorder="1"/>
    <xf numFmtId="3" fontId="5" fillId="0" borderId="17" xfId="0" applyNumberFormat="1" applyFont="1" applyBorder="1" applyAlignment="1">
      <alignment horizontal="center"/>
    </xf>
    <xf numFmtId="3" fontId="5" fillId="0" borderId="19" xfId="0" applyNumberFormat="1" applyFont="1" applyBorder="1"/>
    <xf numFmtId="0" fontId="17" fillId="0" borderId="32" xfId="0" applyNumberFormat="1" applyFont="1" applyBorder="1" applyAlignment="1">
      <alignment horizontal="center"/>
    </xf>
    <xf numFmtId="0" fontId="19" fillId="0" borderId="33" xfId="0" applyNumberFormat="1" applyFont="1" applyBorder="1" applyAlignment="1">
      <alignment horizontal="center"/>
    </xf>
    <xf numFmtId="0" fontId="17" fillId="0" borderId="33" xfId="0" applyNumberFormat="1" applyFont="1" applyFill="1" applyBorder="1" applyAlignment="1"/>
    <xf numFmtId="0" fontId="17" fillId="0" borderId="33" xfId="0" applyFont="1" applyFill="1" applyBorder="1" applyAlignment="1"/>
    <xf numFmtId="3" fontId="17" fillId="0" borderId="33" xfId="0" applyNumberFormat="1" applyFont="1" applyBorder="1" applyAlignment="1">
      <alignment horizontal="center"/>
    </xf>
    <xf numFmtId="3" fontId="17" fillId="0" borderId="34" xfId="0" applyNumberFormat="1" applyFont="1" applyBorder="1"/>
    <xf numFmtId="0" fontId="17" fillId="0" borderId="15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7" fillId="0" borderId="0" xfId="0" applyNumberFormat="1" applyFont="1" applyFill="1" applyBorder="1" applyAlignment="1"/>
    <xf numFmtId="0" fontId="17" fillId="0" borderId="0" xfId="0" applyFont="1" applyFill="1" applyBorder="1" applyAlignment="1"/>
    <xf numFmtId="3" fontId="17" fillId="0" borderId="0" xfId="0" applyNumberFormat="1" applyFont="1" applyBorder="1" applyAlignment="1">
      <alignment horizontal="center"/>
    </xf>
    <xf numFmtId="3" fontId="17" fillId="0" borderId="11" xfId="0" applyNumberFormat="1" applyFont="1" applyBorder="1"/>
    <xf numFmtId="0" fontId="17" fillId="0" borderId="24" xfId="0" applyFont="1" applyFill="1" applyBorder="1" applyAlignment="1"/>
    <xf numFmtId="3" fontId="3" fillId="0" borderId="26" xfId="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3" fillId="0" borderId="11" xfId="2" applyNumberFormat="1" applyFont="1" applyFill="1" applyBorder="1"/>
    <xf numFmtId="3" fontId="20" fillId="0" borderId="24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/>
    <xf numFmtId="0" fontId="8" fillId="0" borderId="0" xfId="0" applyFont="1" applyBorder="1" applyAlignment="1">
      <alignment horizontal="center"/>
    </xf>
    <xf numFmtId="0" fontId="5" fillId="0" borderId="33" xfId="0" applyFont="1" applyBorder="1"/>
    <xf numFmtId="0" fontId="17" fillId="0" borderId="33" xfId="0" applyNumberFormat="1" applyFont="1" applyBorder="1" applyAlignment="1">
      <alignment horizontal="left"/>
    </xf>
    <xf numFmtId="0" fontId="17" fillId="0" borderId="33" xfId="0" applyFont="1" applyFill="1" applyBorder="1"/>
    <xf numFmtId="0" fontId="17" fillId="0" borderId="33" xfId="0" applyFont="1" applyBorder="1" applyAlignment="1">
      <alignment horizontal="center"/>
    </xf>
    <xf numFmtId="3" fontId="17" fillId="0" borderId="35" xfId="0" applyNumberFormat="1" applyFont="1" applyBorder="1" applyAlignment="1"/>
    <xf numFmtId="164" fontId="5" fillId="0" borderId="11" xfId="1" applyNumberFormat="1" applyFont="1" applyBorder="1" applyAlignment="1"/>
    <xf numFmtId="0" fontId="21" fillId="0" borderId="0" xfId="0" applyFont="1" applyFill="1" applyBorder="1"/>
    <xf numFmtId="0" fontId="22" fillId="0" borderId="0" xfId="0" applyFont="1" applyFill="1" applyBorder="1"/>
    <xf numFmtId="164" fontId="3" fillId="0" borderId="0" xfId="1" applyNumberFormat="1" applyFont="1" applyBorder="1"/>
    <xf numFmtId="0" fontId="23" fillId="0" borderId="0" xfId="0" applyFont="1" applyBorder="1" applyAlignment="1"/>
    <xf numFmtId="3" fontId="5" fillId="0" borderId="16" xfId="0" applyNumberFormat="1" applyFont="1" applyFill="1" applyBorder="1" applyAlignment="1">
      <alignment horizontal="right"/>
    </xf>
    <xf numFmtId="0" fontId="24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39" fontId="5" fillId="0" borderId="11" xfId="0" applyNumberFormat="1" applyFont="1" applyFill="1" applyBorder="1" applyAlignment="1">
      <alignment horizontal="right"/>
    </xf>
    <xf numFmtId="39" fontId="5" fillId="0" borderId="12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left"/>
    </xf>
    <xf numFmtId="0" fontId="3" fillId="0" borderId="6" xfId="0" applyFont="1" applyBorder="1" applyAlignment="1"/>
    <xf numFmtId="0" fontId="23" fillId="0" borderId="6" xfId="0" applyFont="1" applyBorder="1" applyAlignment="1">
      <alignment horizontal="center"/>
    </xf>
    <xf numFmtId="3" fontId="3" fillId="0" borderId="6" xfId="0" applyNumberFormat="1" applyFont="1" applyBorder="1" applyAlignment="1"/>
    <xf numFmtId="43" fontId="5" fillId="0" borderId="6" xfId="1" applyFont="1" applyBorder="1"/>
    <xf numFmtId="43" fontId="5" fillId="0" borderId="36" xfId="1" applyFont="1" applyBorder="1"/>
    <xf numFmtId="37" fontId="5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left"/>
    </xf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12" xfId="0" applyFont="1" applyBorder="1"/>
    <xf numFmtId="164" fontId="3" fillId="0" borderId="38" xfId="1" applyNumberFormat="1" applyFont="1" applyFill="1" applyBorder="1"/>
    <xf numFmtId="164" fontId="3" fillId="0" borderId="12" xfId="1" applyNumberFormat="1" applyFont="1" applyFill="1" applyBorder="1"/>
    <xf numFmtId="174" fontId="3" fillId="0" borderId="11" xfId="1" applyNumberFormat="1" applyFont="1" applyFill="1" applyBorder="1"/>
    <xf numFmtId="174" fontId="5" fillId="0" borderId="11" xfId="1" applyNumberFormat="1" applyFont="1" applyFill="1" applyBorder="1"/>
    <xf numFmtId="166" fontId="5" fillId="0" borderId="11" xfId="1" applyNumberFormat="1" applyFont="1" applyFill="1" applyBorder="1"/>
    <xf numFmtId="174" fontId="3" fillId="0" borderId="26" xfId="1" applyNumberFormat="1" applyFont="1" applyFill="1" applyBorder="1"/>
    <xf numFmtId="43" fontId="3" fillId="0" borderId="0" xfId="0" applyNumberFormat="1" applyFont="1" applyFill="1"/>
    <xf numFmtId="10" fontId="3" fillId="0" borderId="26" xfId="2" applyNumberFormat="1" applyFont="1" applyFill="1" applyBorder="1"/>
    <xf numFmtId="167" fontId="3" fillId="0" borderId="11" xfId="1" applyNumberFormat="1" applyFont="1" applyFill="1" applyBorder="1"/>
    <xf numFmtId="168" fontId="3" fillId="0" borderId="11" xfId="2" applyNumberFormat="1" applyFont="1" applyFill="1" applyBorder="1"/>
    <xf numFmtId="43" fontId="3" fillId="0" borderId="11" xfId="1" applyNumberFormat="1" applyFont="1" applyFill="1" applyBorder="1"/>
    <xf numFmtId="164" fontId="3" fillId="0" borderId="19" xfId="1" applyNumberFormat="1" applyFont="1" applyFill="1" applyBorder="1"/>
    <xf numFmtId="165" fontId="3" fillId="0" borderId="11" xfId="2" applyNumberFormat="1" applyFont="1" applyFill="1" applyBorder="1" applyAlignment="1"/>
    <xf numFmtId="43" fontId="5" fillId="0" borderId="19" xfId="1" applyFont="1" applyFill="1" applyBorder="1"/>
    <xf numFmtId="43" fontId="5" fillId="0" borderId="11" xfId="1" applyNumberFormat="1" applyFont="1" applyBorder="1" applyAlignment="1"/>
    <xf numFmtId="10" fontId="5" fillId="0" borderId="11" xfId="2" applyNumberFormat="1" applyFont="1" applyFill="1" applyBorder="1" applyAlignment="1"/>
    <xf numFmtId="10" fontId="5" fillId="0" borderId="26" xfId="2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5" fillId="5" borderId="6" xfId="0" applyFont="1" applyFill="1" applyBorder="1" applyAlignment="1"/>
    <xf numFmtId="0" fontId="5" fillId="5" borderId="6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27" xfId="0" applyFill="1" applyBorder="1"/>
    <xf numFmtId="0" fontId="0" fillId="0" borderId="20" xfId="0" applyFill="1" applyBorder="1"/>
    <xf numFmtId="0" fontId="0" fillId="0" borderId="2" xfId="0" applyFill="1" applyBorder="1"/>
    <xf numFmtId="0" fontId="0" fillId="0" borderId="23" xfId="0" applyFill="1" applyBorder="1"/>
    <xf numFmtId="0" fontId="0" fillId="0" borderId="6" xfId="0" applyFill="1" applyBorder="1"/>
    <xf numFmtId="3" fontId="5" fillId="0" borderId="35" xfId="0" applyNumberFormat="1" applyFont="1" applyFill="1" applyBorder="1" applyAlignment="1"/>
    <xf numFmtId="0" fontId="0" fillId="0" borderId="31" xfId="0" applyFill="1" applyBorder="1"/>
    <xf numFmtId="0" fontId="5" fillId="5" borderId="2" xfId="0" applyFont="1" applyFill="1" applyBorder="1" applyAlignment="1">
      <alignment horizontal="center" wrapText="1"/>
    </xf>
    <xf numFmtId="0" fontId="5" fillId="0" borderId="6" xfId="0" applyFont="1" applyFill="1" applyBorder="1"/>
    <xf numFmtId="0" fontId="5" fillId="5" borderId="40" xfId="0" applyFont="1" applyFill="1" applyBorder="1" applyAlignment="1">
      <alignment horizontal="center"/>
    </xf>
    <xf numFmtId="10" fontId="3" fillId="0" borderId="28" xfId="2" applyNumberFormat="1" applyFont="1" applyFill="1" applyBorder="1" applyAlignment="1"/>
    <xf numFmtId="10" fontId="5" fillId="0" borderId="23" xfId="2" applyNumberFormat="1" applyFont="1" applyFill="1" applyBorder="1"/>
    <xf numFmtId="10" fontId="5" fillId="0" borderId="11" xfId="2" applyNumberFormat="1" applyFont="1" applyFill="1" applyBorder="1"/>
    <xf numFmtId="3" fontId="3" fillId="0" borderId="30" xfId="0" applyNumberFormat="1" applyFont="1" applyBorder="1" applyAlignment="1"/>
    <xf numFmtId="43" fontId="5" fillId="0" borderId="31" xfId="1" applyNumberFormat="1" applyFont="1" applyBorder="1"/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left"/>
    </xf>
    <xf numFmtId="0" fontId="5" fillId="4" borderId="6" xfId="0" applyFont="1" applyFill="1" applyBorder="1" applyAlignment="1"/>
    <xf numFmtId="0" fontId="5" fillId="4" borderId="6" xfId="0" applyNumberFormat="1" applyFont="1" applyFill="1" applyBorder="1" applyAlignment="1">
      <alignment horizontal="center"/>
    </xf>
    <xf numFmtId="0" fontId="5" fillId="4" borderId="7" xfId="0" applyFont="1" applyFill="1" applyBorder="1" applyAlignment="1"/>
    <xf numFmtId="0" fontId="5" fillId="4" borderId="9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5" fillId="4" borderId="5" xfId="0" applyFont="1" applyFill="1" applyBorder="1" applyAlignment="1"/>
    <xf numFmtId="164" fontId="5" fillId="0" borderId="23" xfId="1" applyNumberFormat="1" applyFont="1" applyFill="1" applyBorder="1"/>
    <xf numFmtId="164" fontId="17" fillId="0" borderId="34" xfId="1" applyNumberFormat="1" applyFont="1" applyFill="1" applyBorder="1"/>
    <xf numFmtId="3" fontId="17" fillId="0" borderId="34" xfId="0" applyNumberFormat="1" applyFont="1" applyFill="1" applyBorder="1"/>
    <xf numFmtId="0" fontId="5" fillId="4" borderId="4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/>
    </xf>
    <xf numFmtId="43" fontId="5" fillId="0" borderId="30" xfId="1" applyNumberFormat="1" applyFont="1" applyBorder="1" applyAlignment="1"/>
    <xf numFmtId="170" fontId="3" fillId="0" borderId="31" xfId="2" applyNumberFormat="1" applyFont="1" applyFill="1" applyBorder="1"/>
    <xf numFmtId="164" fontId="3" fillId="0" borderId="31" xfId="1" applyNumberFormat="1" applyFont="1" applyFill="1" applyBorder="1"/>
    <xf numFmtId="166" fontId="3" fillId="0" borderId="11" xfId="1" applyNumberFormat="1" applyFont="1" applyFill="1" applyBorder="1"/>
    <xf numFmtId="3" fontId="5" fillId="0" borderId="19" xfId="0" applyNumberFormat="1" applyFont="1" applyFill="1" applyBorder="1"/>
    <xf numFmtId="10" fontId="3" fillId="0" borderId="26" xfId="2" applyNumberFormat="1" applyFont="1" applyFill="1" applyBorder="1" applyAlignment="1">
      <alignment horizontal="right"/>
    </xf>
    <xf numFmtId="171" fontId="3" fillId="0" borderId="11" xfId="1" applyNumberFormat="1" applyFont="1" applyFill="1" applyBorder="1"/>
    <xf numFmtId="168" fontId="3" fillId="0" borderId="26" xfId="2" applyNumberFormat="1" applyFont="1" applyFill="1" applyBorder="1"/>
    <xf numFmtId="37" fontId="7" fillId="0" borderId="11" xfId="0" applyNumberFormat="1" applyFont="1" applyFill="1" applyBorder="1"/>
    <xf numFmtId="43" fontId="5" fillId="0" borderId="31" xfId="1" applyNumberFormat="1" applyFont="1" applyFill="1" applyBorder="1"/>
    <xf numFmtId="10" fontId="5" fillId="0" borderId="31" xfId="2" applyNumberFormat="1" applyFont="1" applyFill="1" applyBorder="1"/>
    <xf numFmtId="0" fontId="5" fillId="5" borderId="32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5" fillId="5" borderId="41" xfId="0" applyFont="1" applyFill="1" applyBorder="1" applyAlignment="1">
      <alignment horizontal="center" wrapText="1"/>
    </xf>
    <xf numFmtId="0" fontId="5" fillId="4" borderId="37" xfId="0" applyFont="1" applyFill="1" applyBorder="1" applyAlignment="1">
      <alignment horizontal="center" wrapText="1"/>
    </xf>
    <xf numFmtId="0" fontId="5" fillId="4" borderId="39" xfId="0" applyFont="1" applyFill="1" applyBorder="1" applyAlignment="1">
      <alignment horizontal="center" wrapText="1"/>
    </xf>
    <xf numFmtId="0" fontId="5" fillId="4" borderId="42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10" fontId="17" fillId="0" borderId="34" xfId="2" applyNumberFormat="1" applyFont="1" applyFill="1" applyBorder="1"/>
    <xf numFmtId="164" fontId="3" fillId="0" borderId="0" xfId="1" applyNumberFormat="1" applyFont="1" applyFill="1"/>
    <xf numFmtId="0" fontId="5" fillId="0" borderId="40" xfId="0" applyFont="1" applyFill="1" applyBorder="1" applyAlignment="1">
      <alignment horizontal="center"/>
    </xf>
    <xf numFmtId="0" fontId="5" fillId="0" borderId="7" xfId="0" applyFont="1" applyFill="1" applyBorder="1"/>
  </cellXfs>
  <cellStyles count="4">
    <cellStyle name="Comma" xfId="1" builtinId="3"/>
    <cellStyle name="Normal" xfId="0" builtinId="0"/>
    <cellStyle name="Normal 2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deral%20&amp;%20Regional%20Policy/PSE%20Transmission%20Rates/OATT%20Formula%20Rates/Formula%20Rate%20Annual%20Updates/2024%20Annual%20Update/2024%20Formula%20Rate%20AAT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ATT H-1 "/>
      <sheetName val="1 - ADIT"/>
      <sheetName val="2 - Other Tax"/>
      <sheetName val="3 - Revenue Credits"/>
      <sheetName val="4 - 100 Basis Pt ROE"/>
      <sheetName val="5 - Cost Support"/>
      <sheetName val="6 - Est and True up"/>
      <sheetName val="6A-Colstrip"/>
      <sheetName val="6B-So Intertie"/>
      <sheetName val="7 - Cap Add WS"/>
      <sheetName val="8 - Depreciation Rates"/>
      <sheetName val="WKSHT1 - Rev Credits"/>
      <sheetName val="WKSHT2 - Prepaid"/>
      <sheetName val="WKSHT3 - All GIFs"/>
      <sheetName val="WKSHT4 - Monthly Tx System Peak"/>
      <sheetName val="WKSHT5 - Plant in Service 13mo "/>
      <sheetName val="WKSHT6 - Cost of Capital"/>
      <sheetName val="WKSHT7 - EDIT"/>
    </sheetNames>
    <sheetDataSet>
      <sheetData sheetId="0"/>
      <sheetData sheetId="1"/>
      <sheetData sheetId="2">
        <row r="16">
          <cell r="I16">
            <v>-203492367.97756237</v>
          </cell>
        </row>
        <row r="129">
          <cell r="I129">
            <v>0</v>
          </cell>
        </row>
        <row r="132">
          <cell r="H132">
            <v>0</v>
          </cell>
        </row>
      </sheetData>
      <sheetData sheetId="3"/>
      <sheetData sheetId="4">
        <row r="22">
          <cell r="D22">
            <v>78588135.671559781</v>
          </cell>
        </row>
      </sheetData>
      <sheetData sheetId="5">
        <row r="9">
          <cell r="G9">
            <v>86877408.266886964</v>
          </cell>
        </row>
      </sheetData>
      <sheetData sheetId="6">
        <row r="9">
          <cell r="F9">
            <v>1776046230.7692306</v>
          </cell>
        </row>
        <row r="16">
          <cell r="F16">
            <v>155841121</v>
          </cell>
        </row>
        <row r="20">
          <cell r="F20">
            <v>316657583</v>
          </cell>
        </row>
        <row r="28">
          <cell r="F28">
            <v>11434852507.76923</v>
          </cell>
        </row>
        <row r="38">
          <cell r="F38">
            <v>672647021.3292309</v>
          </cell>
        </row>
        <row r="47">
          <cell r="F47">
            <v>93010762</v>
          </cell>
        </row>
        <row r="51">
          <cell r="F51">
            <v>199145541</v>
          </cell>
        </row>
        <row r="59">
          <cell r="F59">
            <v>5281556094.3292313</v>
          </cell>
        </row>
        <row r="62">
          <cell r="H62">
            <v>266584133.82299998</v>
          </cell>
        </row>
        <row r="79">
          <cell r="I79">
            <v>4948913</v>
          </cell>
        </row>
        <row r="86">
          <cell r="I86">
            <v>136768.95000000001</v>
          </cell>
        </row>
        <row r="109">
          <cell r="H109">
            <v>4530767.4283016464</v>
          </cell>
        </row>
        <row r="114">
          <cell r="I114">
            <v>0</v>
          </cell>
          <cell r="K114">
            <v>0</v>
          </cell>
        </row>
        <row r="196">
          <cell r="L196">
            <v>8842859.5681836195</v>
          </cell>
        </row>
        <row r="206">
          <cell r="L206">
            <v>4695118.1119733239</v>
          </cell>
        </row>
        <row r="212">
          <cell r="Q212">
            <v>-86292.050000000017</v>
          </cell>
        </row>
        <row r="213">
          <cell r="Q213">
            <v>658783.93854401959</v>
          </cell>
        </row>
        <row r="245">
          <cell r="K245">
            <v>160955697</v>
          </cell>
        </row>
        <row r="253">
          <cell r="H253">
            <v>-3406526.2511169529</v>
          </cell>
        </row>
      </sheetData>
      <sheetData sheetId="7"/>
      <sheetData sheetId="8"/>
      <sheetData sheetId="9"/>
      <sheetData sheetId="10">
        <row r="32">
          <cell r="M32">
            <v>0</v>
          </cell>
        </row>
      </sheetData>
      <sheetData sheetId="11"/>
      <sheetData sheetId="12"/>
      <sheetData sheetId="13"/>
      <sheetData sheetId="14"/>
      <sheetData sheetId="15">
        <row r="26">
          <cell r="C26">
            <v>4453205.3016066216</v>
          </cell>
        </row>
      </sheetData>
      <sheetData sheetId="16"/>
      <sheetData sheetId="17">
        <row r="5">
          <cell r="P5">
            <v>5070013846.1538458</v>
          </cell>
        </row>
        <row r="6">
          <cell r="P6">
            <v>0</v>
          </cell>
        </row>
        <row r="8">
          <cell r="P8">
            <v>0</v>
          </cell>
        </row>
        <row r="9">
          <cell r="P9">
            <v>0</v>
          </cell>
        </row>
        <row r="12">
          <cell r="P12">
            <v>-17567751.48153846</v>
          </cell>
        </row>
        <row r="13">
          <cell r="P13">
            <v>-23908641.103846155</v>
          </cell>
        </row>
        <row r="14">
          <cell r="P14">
            <v>-32677380.176153842</v>
          </cell>
        </row>
        <row r="15">
          <cell r="P15">
            <v>0</v>
          </cell>
        </row>
        <row r="16">
          <cell r="P16">
            <v>0</v>
          </cell>
        </row>
        <row r="24">
          <cell r="P24">
            <v>253214629</v>
          </cell>
        </row>
        <row r="25">
          <cell r="P25">
            <v>2648196</v>
          </cell>
        </row>
        <row r="26">
          <cell r="P26">
            <v>2106146</v>
          </cell>
        </row>
        <row r="27">
          <cell r="P27">
            <v>0</v>
          </cell>
        </row>
        <row r="28">
          <cell r="P28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9">
          <cell r="P39">
            <v>0</v>
          </cell>
        </row>
        <row r="42">
          <cell r="P42">
            <v>4899404507.3269234</v>
          </cell>
        </row>
        <row r="43">
          <cell r="P43">
            <v>0</v>
          </cell>
        </row>
        <row r="44">
          <cell r="P44">
            <v>-12921594.898461539</v>
          </cell>
        </row>
        <row r="45">
          <cell r="P45">
            <v>-102552552.7176923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295"/>
  <sheetViews>
    <sheetView zoomScale="80" zoomScaleNormal="80" workbookViewId="0">
      <pane ySplit="5" topLeftCell="A268" activePane="bottomLeft" state="frozen"/>
      <selection pane="bottomLeft" activeCell="M73" sqref="M73"/>
    </sheetView>
  </sheetViews>
  <sheetFormatPr defaultColWidth="11.5703125" defaultRowHeight="15.75" x14ac:dyDescent="0.25"/>
  <cols>
    <col min="1" max="1" width="6.140625" style="2" customWidth="1"/>
    <col min="2" max="2" width="3.5703125" style="2" customWidth="1"/>
    <col min="3" max="3" width="54.42578125" style="360" customWidth="1"/>
    <col min="4" max="4" width="27.28515625" style="3" hidden="1" customWidth="1"/>
    <col min="5" max="5" width="22.7109375" style="3" hidden="1" customWidth="1"/>
    <col min="6" max="6" width="34.5703125" style="3" customWidth="1"/>
    <col min="7" max="7" width="3" style="359" hidden="1" customWidth="1"/>
    <col min="8" max="9" width="22.7109375" style="3" customWidth="1"/>
    <col min="10" max="11" width="22.7109375" style="5" customWidth="1"/>
    <col min="12" max="16384" width="11.5703125" style="3"/>
  </cols>
  <sheetData>
    <row r="1" spans="1:11" ht="23.25" customHeight="1" x14ac:dyDescent="0.35">
      <c r="A1" s="1" t="s">
        <v>0</v>
      </c>
      <c r="C1" s="2"/>
    </row>
    <row r="2" spans="1:11" ht="24" customHeight="1" thickBot="1" x14ac:dyDescent="0.3">
      <c r="A2" s="6"/>
      <c r="C2" s="2"/>
      <c r="H2" s="7"/>
      <c r="I2" s="7"/>
      <c r="J2" s="368"/>
      <c r="K2" s="368"/>
    </row>
    <row r="3" spans="1:11" ht="68.25" customHeight="1" thickBot="1" x14ac:dyDescent="0.4">
      <c r="A3" s="379" t="s">
        <v>1</v>
      </c>
      <c r="B3" s="380"/>
      <c r="C3" s="380"/>
      <c r="D3" s="380"/>
      <c r="E3" s="381"/>
      <c r="F3" s="393" t="s">
        <v>2</v>
      </c>
      <c r="G3" s="388"/>
      <c r="H3" s="429" t="s">
        <v>4</v>
      </c>
      <c r="I3" s="430"/>
      <c r="J3" s="430"/>
      <c r="K3" s="431"/>
    </row>
    <row r="4" spans="1:11" s="8" customFormat="1" ht="42" customHeight="1" thickBot="1" x14ac:dyDescent="0.4">
      <c r="A4" s="382" t="s">
        <v>7</v>
      </c>
      <c r="B4" s="383"/>
      <c r="C4" s="383"/>
      <c r="D4" s="383"/>
      <c r="E4" s="384" t="s">
        <v>8</v>
      </c>
      <c r="F4" s="383"/>
      <c r="G4" s="394"/>
      <c r="H4" s="395">
        <v>2024</v>
      </c>
      <c r="I4" s="395">
        <v>2023</v>
      </c>
      <c r="J4" s="395" t="s">
        <v>260</v>
      </c>
      <c r="K4" s="438" t="s">
        <v>261</v>
      </c>
    </row>
    <row r="5" spans="1:11" s="14" customFormat="1" ht="0.75" customHeight="1" x14ac:dyDescent="0.35">
      <c r="A5" s="10" t="s">
        <v>9</v>
      </c>
      <c r="B5" s="11"/>
      <c r="C5" s="11"/>
      <c r="D5" s="11"/>
      <c r="E5" s="12"/>
      <c r="F5" s="13"/>
      <c r="H5" s="15"/>
      <c r="I5" s="9"/>
      <c r="J5" s="20"/>
      <c r="K5" s="41"/>
    </row>
    <row r="6" spans="1:11" s="5" customFormat="1" ht="15.75" customHeight="1" thickBot="1" x14ac:dyDescent="0.3">
      <c r="A6" s="16" t="s">
        <v>10</v>
      </c>
      <c r="B6" s="17"/>
      <c r="C6" s="18"/>
      <c r="D6" s="18"/>
      <c r="E6" s="19"/>
      <c r="F6" s="20"/>
      <c r="H6" s="23"/>
      <c r="I6" s="20"/>
      <c r="J6" s="20"/>
      <c r="K6" s="41"/>
    </row>
    <row r="7" spans="1:11" s="5" customFormat="1" ht="15.75" customHeight="1" x14ac:dyDescent="0.25">
      <c r="A7" s="24"/>
      <c r="B7" s="25"/>
      <c r="C7" s="25"/>
      <c r="D7" s="25"/>
      <c r="E7" s="26"/>
      <c r="F7" s="27"/>
      <c r="G7" s="28"/>
      <c r="H7" s="31"/>
      <c r="I7" s="31"/>
      <c r="J7" s="31"/>
      <c r="K7" s="31"/>
    </row>
    <row r="8" spans="1:11" ht="15.75" customHeight="1" x14ac:dyDescent="0.25">
      <c r="A8" s="32"/>
      <c r="B8" s="33" t="s">
        <v>11</v>
      </c>
      <c r="C8" s="34"/>
      <c r="D8" s="34"/>
      <c r="E8" s="35"/>
      <c r="F8" s="36"/>
      <c r="G8" s="84"/>
      <c r="H8" s="38"/>
      <c r="I8" s="38"/>
      <c r="J8" s="82"/>
      <c r="K8" s="82"/>
    </row>
    <row r="9" spans="1:11" ht="15.75" customHeight="1" x14ac:dyDescent="0.25">
      <c r="A9" s="39">
        <v>1</v>
      </c>
      <c r="B9" s="40"/>
      <c r="C9" s="41" t="s">
        <v>12</v>
      </c>
      <c r="D9" s="42"/>
      <c r="E9" s="43"/>
      <c r="F9" s="36" t="s">
        <v>13</v>
      </c>
      <c r="G9" s="84"/>
      <c r="H9" s="82">
        <v>11362474</v>
      </c>
      <c r="I9" s="82">
        <v>10498560</v>
      </c>
      <c r="J9" s="82">
        <f>H9-I9</f>
        <v>863914</v>
      </c>
      <c r="K9" s="327">
        <f>(H9-I9)/I9</f>
        <v>8.228880913191905E-2</v>
      </c>
    </row>
    <row r="10" spans="1:11" x14ac:dyDescent="0.25">
      <c r="A10" s="39">
        <f>+A9+1</f>
        <v>2</v>
      </c>
      <c r="B10" s="40"/>
      <c r="C10" s="41" t="s">
        <v>14</v>
      </c>
      <c r="D10" s="41"/>
      <c r="E10" s="43"/>
      <c r="F10" s="45" t="s">
        <v>15</v>
      </c>
      <c r="G10" s="84"/>
      <c r="H10" s="82">
        <v>148329739</v>
      </c>
      <c r="I10" s="82">
        <v>139741944</v>
      </c>
      <c r="J10" s="82">
        <f t="shared" ref="J10:J11" si="0">H10-I10</f>
        <v>8587795</v>
      </c>
      <c r="K10" s="327">
        <f t="shared" ref="K10:K11" si="1">(H10-I10)/I10</f>
        <v>6.1454669615874244E-2</v>
      </c>
    </row>
    <row r="11" spans="1:11" ht="15.75" customHeight="1" x14ac:dyDescent="0.25">
      <c r="A11" s="39">
        <f>+A10+1</f>
        <v>3</v>
      </c>
      <c r="B11" s="40"/>
      <c r="C11" s="41" t="s">
        <v>16</v>
      </c>
      <c r="D11" s="41"/>
      <c r="E11" s="43"/>
      <c r="F11" s="45" t="s">
        <v>17</v>
      </c>
      <c r="G11" s="84"/>
      <c r="H11" s="82">
        <v>44342732</v>
      </c>
      <c r="I11" s="82">
        <v>42547415</v>
      </c>
      <c r="J11" s="109">
        <f t="shared" si="0"/>
        <v>1795317</v>
      </c>
      <c r="K11" s="369">
        <f t="shared" si="1"/>
        <v>4.2195677457725692E-2</v>
      </c>
    </row>
    <row r="12" spans="1:11" ht="15.75" customHeight="1" x14ac:dyDescent="0.25">
      <c r="A12" s="39">
        <f>+A11+1</f>
        <v>4</v>
      </c>
      <c r="B12" s="40"/>
      <c r="C12" s="46" t="s">
        <v>18</v>
      </c>
      <c r="D12" s="47"/>
      <c r="E12" s="48"/>
      <c r="F12" s="49" t="str">
        <f>"(Line "&amp;A10&amp;" - "&amp;A11&amp;")"</f>
        <v>(Line 2 - 3)</v>
      </c>
      <c r="G12" s="385"/>
      <c r="H12" s="50">
        <v>103987007</v>
      </c>
      <c r="I12" s="50">
        <v>97194529</v>
      </c>
      <c r="J12" s="82">
        <f t="shared" ref="J12" si="2">H12-I12</f>
        <v>6792478</v>
      </c>
      <c r="K12" s="327">
        <f t="shared" ref="K12" si="3">(H12-I12)/I12</f>
        <v>6.9885394475238422E-2</v>
      </c>
    </row>
    <row r="13" spans="1:11" ht="32.25" customHeight="1" thickBot="1" x14ac:dyDescent="0.3">
      <c r="A13" s="39">
        <v>5</v>
      </c>
      <c r="B13" s="51" t="s">
        <v>19</v>
      </c>
      <c r="C13" s="51"/>
      <c r="D13" s="52"/>
      <c r="E13" s="53"/>
      <c r="F13" s="54" t="str">
        <f>"(Line "&amp;A9&amp;" / "&amp;A12&amp;")"</f>
        <v>(Line 1 / 4)</v>
      </c>
      <c r="G13" s="55"/>
      <c r="H13" s="56">
        <v>0.10926820886382468</v>
      </c>
      <c r="I13" s="56">
        <v>0.10801595633021691</v>
      </c>
      <c r="J13" s="56"/>
      <c r="K13" s="56"/>
    </row>
    <row r="14" spans="1:11" ht="16.5" customHeight="1" thickTop="1" x14ac:dyDescent="0.25">
      <c r="A14" s="39"/>
      <c r="B14" s="40"/>
      <c r="C14" s="33"/>
      <c r="D14" s="57"/>
      <c r="E14" s="58"/>
      <c r="F14" s="59"/>
      <c r="G14" s="84"/>
      <c r="H14" s="82"/>
      <c r="I14" s="82"/>
      <c r="J14" s="82"/>
      <c r="K14" s="82"/>
    </row>
    <row r="15" spans="1:11" ht="15.75" customHeight="1" x14ac:dyDescent="0.25">
      <c r="A15" s="61"/>
      <c r="B15" s="33" t="s">
        <v>20</v>
      </c>
      <c r="C15" s="34"/>
      <c r="D15" s="4"/>
      <c r="E15" s="62"/>
      <c r="F15" s="63"/>
      <c r="G15" s="84"/>
      <c r="H15" s="82"/>
      <c r="I15" s="82"/>
      <c r="J15" s="82"/>
      <c r="K15" s="82"/>
    </row>
    <row r="16" spans="1:11" ht="15.75" customHeight="1" x14ac:dyDescent="0.25">
      <c r="A16" s="65">
        <f>+A13+1</f>
        <v>6</v>
      </c>
      <c r="B16" s="4"/>
      <c r="C16" s="66" t="s">
        <v>21</v>
      </c>
      <c r="D16" s="67"/>
      <c r="E16" s="68" t="e">
        <f>"(Note "&amp;#REF!&amp;")"</f>
        <v>#REF!</v>
      </c>
      <c r="F16" s="69" t="s">
        <v>22</v>
      </c>
      <c r="G16" s="108"/>
      <c r="H16" s="71">
        <v>12174573796.538462</v>
      </c>
      <c r="I16" s="71">
        <v>11434852507.76923</v>
      </c>
      <c r="J16" s="71">
        <f t="shared" ref="J16:J26" si="4">H16-I16</f>
        <v>739721288.7692318</v>
      </c>
      <c r="K16" s="378">
        <f t="shared" ref="K16:K26" si="5">(H16-I16)/I16</f>
        <v>6.4690059470958614E-2</v>
      </c>
    </row>
    <row r="17" spans="1:11" ht="15.75" customHeight="1" x14ac:dyDescent="0.25">
      <c r="A17" s="65">
        <f>+A16+1</f>
        <v>7</v>
      </c>
      <c r="B17" s="4"/>
      <c r="C17" s="41" t="s">
        <v>23</v>
      </c>
      <c r="D17" s="72"/>
      <c r="E17" s="43"/>
      <c r="F17" s="73" t="str">
        <f>"(Sum Line "&amp;A16&amp;")"</f>
        <v>(Sum Line 6)</v>
      </c>
      <c r="G17" s="84"/>
      <c r="H17" s="74">
        <v>12174573796.538462</v>
      </c>
      <c r="I17" s="74">
        <v>11434852507.76923</v>
      </c>
      <c r="J17" s="82">
        <f t="shared" si="4"/>
        <v>739721288.7692318</v>
      </c>
      <c r="K17" s="327">
        <f t="shared" si="5"/>
        <v>6.4690059470958614E-2</v>
      </c>
    </row>
    <row r="18" spans="1:11" ht="15.75" customHeight="1" x14ac:dyDescent="0.25">
      <c r="A18" s="65">
        <f>+A17+1</f>
        <v>8</v>
      </c>
      <c r="B18" s="4"/>
      <c r="C18" s="41" t="s">
        <v>24</v>
      </c>
      <c r="D18" s="34"/>
      <c r="E18" s="62"/>
      <c r="F18" s="45" t="s">
        <v>22</v>
      </c>
      <c r="G18" s="84"/>
      <c r="H18" s="75">
        <v>5527770204.867692</v>
      </c>
      <c r="I18" s="75">
        <v>5237494085.3292313</v>
      </c>
      <c r="J18" s="75">
        <f t="shared" si="4"/>
        <v>290276119.53846073</v>
      </c>
      <c r="K18" s="378">
        <f t="shared" si="5"/>
        <v>5.5422710710367099E-2</v>
      </c>
    </row>
    <row r="19" spans="1:11" ht="15.75" customHeight="1" x14ac:dyDescent="0.25">
      <c r="A19" s="65">
        <f>+A18+1</f>
        <v>9</v>
      </c>
      <c r="B19" s="34"/>
      <c r="C19" s="76" t="s">
        <v>25</v>
      </c>
      <c r="D19" s="77"/>
      <c r="E19" s="78"/>
      <c r="F19" s="79" t="str">
        <f>"(Line "&amp;A18&amp;")"</f>
        <v>(Line 8)</v>
      </c>
      <c r="G19" s="386"/>
      <c r="H19" s="80">
        <v>5527770204.867692</v>
      </c>
      <c r="I19" s="80">
        <v>5237494085.3292313</v>
      </c>
      <c r="J19" s="80">
        <f t="shared" si="4"/>
        <v>290276119.53846073</v>
      </c>
      <c r="K19" s="396">
        <f t="shared" si="5"/>
        <v>5.5422710710367099E-2</v>
      </c>
    </row>
    <row r="20" spans="1:11" ht="15.75" customHeight="1" x14ac:dyDescent="0.25">
      <c r="A20" s="39">
        <f>+A19+1</f>
        <v>10</v>
      </c>
      <c r="B20" s="4"/>
      <c r="C20" s="81" t="s">
        <v>26</v>
      </c>
      <c r="D20" s="81"/>
      <c r="E20" s="78"/>
      <c r="F20" s="36" t="str">
        <f>"(Line "&amp;A17&amp;" - "&amp;A19&amp;")"</f>
        <v>(Line 7 - 9)</v>
      </c>
      <c r="G20" s="84"/>
      <c r="H20" s="74">
        <v>6646803591.6707697</v>
      </c>
      <c r="I20" s="74">
        <v>6197358422.4399986</v>
      </c>
      <c r="J20" s="82">
        <f t="shared" si="4"/>
        <v>449445169.23077106</v>
      </c>
      <c r="K20" s="327">
        <f t="shared" si="5"/>
        <v>7.2522055139392333E-2</v>
      </c>
    </row>
    <row r="21" spans="1:11" ht="15.75" customHeight="1" x14ac:dyDescent="0.25">
      <c r="A21" s="61"/>
      <c r="B21" s="4"/>
      <c r="C21" s="4"/>
      <c r="D21" s="4"/>
      <c r="E21" s="62"/>
      <c r="F21" s="63"/>
      <c r="G21" s="84"/>
      <c r="H21" s="82"/>
      <c r="I21" s="82"/>
      <c r="J21" s="82"/>
      <c r="K21" s="327"/>
    </row>
    <row r="22" spans="1:11" ht="15.75" customHeight="1" x14ac:dyDescent="0.25">
      <c r="A22" s="65">
        <f>+A20+1</f>
        <v>11</v>
      </c>
      <c r="B22" s="4"/>
      <c r="C22" s="4" t="s">
        <v>27</v>
      </c>
      <c r="D22" s="72"/>
      <c r="E22" s="62"/>
      <c r="F22" s="83" t="str">
        <f>"(Line "&amp;A43&amp;")"</f>
        <v>(Line 25)</v>
      </c>
      <c r="G22" s="84"/>
      <c r="H22" s="85">
        <v>2018989872.4802825</v>
      </c>
      <c r="I22" s="85">
        <v>1784459628.6707683</v>
      </c>
      <c r="J22" s="82">
        <f t="shared" si="4"/>
        <v>234530243.80951428</v>
      </c>
      <c r="K22" s="327">
        <f t="shared" si="5"/>
        <v>0.13142927978943086</v>
      </c>
    </row>
    <row r="23" spans="1:11" ht="16.5" customHeight="1" thickBot="1" x14ac:dyDescent="0.3">
      <c r="A23" s="39">
        <f>+A22+1</f>
        <v>12</v>
      </c>
      <c r="B23" s="86" t="s">
        <v>28</v>
      </c>
      <c r="C23" s="86"/>
      <c r="D23" s="87"/>
      <c r="E23" s="88"/>
      <c r="F23" s="89" t="str">
        <f>"(Line "&amp;A22&amp;" / "&amp;A17&amp;")"</f>
        <v>(Line 11 / 7)</v>
      </c>
      <c r="G23" s="90"/>
      <c r="H23" s="56">
        <v>0.1658365956970364</v>
      </c>
      <c r="I23" s="56">
        <v>0.1560544508517574</v>
      </c>
      <c r="J23" s="56">
        <f t="shared" si="4"/>
        <v>9.7821448452790061E-3</v>
      </c>
      <c r="K23" s="56">
        <f t="shared" si="5"/>
        <v>6.2684177169489846E-2</v>
      </c>
    </row>
    <row r="24" spans="1:11" ht="16.5" customHeight="1" thickTop="1" x14ac:dyDescent="0.25">
      <c r="A24" s="61"/>
      <c r="B24" s="34"/>
      <c r="C24" s="34"/>
      <c r="D24" s="34"/>
      <c r="E24" s="62"/>
      <c r="F24" s="45"/>
      <c r="G24" s="84"/>
      <c r="H24" s="82"/>
      <c r="I24" s="82"/>
      <c r="J24" s="82"/>
      <c r="K24" s="327"/>
    </row>
    <row r="25" spans="1:11" ht="15.75" customHeight="1" x14ac:dyDescent="0.25">
      <c r="A25" s="65">
        <f>+A23+1</f>
        <v>13</v>
      </c>
      <c r="B25" s="40"/>
      <c r="C25" s="91" t="s">
        <v>29</v>
      </c>
      <c r="D25" s="57"/>
      <c r="E25" s="58"/>
      <c r="F25" s="83" t="str">
        <f>"(Line "&amp;A61&amp;"-44)"</f>
        <v>(Line 37-44)</v>
      </c>
      <c r="G25" s="84"/>
      <c r="H25" s="85">
        <v>1383127748.558022</v>
      </c>
      <c r="I25" s="85">
        <v>1185206155.2387519</v>
      </c>
      <c r="J25" s="82">
        <f t="shared" si="4"/>
        <v>197921593.31927013</v>
      </c>
      <c r="K25" s="327">
        <f t="shared" si="5"/>
        <v>0.16699338966848357</v>
      </c>
    </row>
    <row r="26" spans="1:11" ht="16.5" customHeight="1" thickBot="1" x14ac:dyDescent="0.3">
      <c r="A26" s="39">
        <f>+A25+1</f>
        <v>14</v>
      </c>
      <c r="B26" s="86" t="s">
        <v>30</v>
      </c>
      <c r="C26" s="86"/>
      <c r="D26" s="87"/>
      <c r="E26" s="88"/>
      <c r="F26" s="92" t="str">
        <f>"(Line "&amp;A25&amp;" / "&amp;A20&amp;")"</f>
        <v>(Line 13 / 10)</v>
      </c>
      <c r="G26" s="90"/>
      <c r="H26" s="56">
        <v>0.20808915586000534</v>
      </c>
      <c r="I26" s="56">
        <v>0.19124376459286946</v>
      </c>
      <c r="J26" s="56">
        <f t="shared" si="4"/>
        <v>1.6845391267135884E-2</v>
      </c>
      <c r="K26" s="56">
        <f t="shared" si="5"/>
        <v>8.8083349033613229E-2</v>
      </c>
    </row>
    <row r="27" spans="1:11" ht="16.5" customHeight="1" thickTop="1" x14ac:dyDescent="0.25">
      <c r="A27" s="93"/>
      <c r="B27" s="40"/>
      <c r="C27" s="33"/>
      <c r="D27" s="57"/>
      <c r="E27" s="58"/>
      <c r="F27" s="59"/>
      <c r="G27" s="84"/>
      <c r="H27" s="370"/>
      <c r="I27" s="370"/>
      <c r="J27" s="370"/>
      <c r="K27" s="370"/>
    </row>
    <row r="28" spans="1:11" s="5" customFormat="1" ht="15.75" customHeight="1" x14ac:dyDescent="0.25">
      <c r="A28" s="95" t="s">
        <v>31</v>
      </c>
      <c r="B28" s="17"/>
      <c r="C28" s="18"/>
      <c r="D28" s="18"/>
      <c r="E28" s="19"/>
      <c r="F28" s="96"/>
      <c r="G28" s="41"/>
      <c r="H28" s="82"/>
      <c r="I28" s="82"/>
      <c r="J28" s="82"/>
      <c r="K28" s="82"/>
    </row>
    <row r="29" spans="1:11" s="5" customFormat="1" ht="15.75" customHeight="1" x14ac:dyDescent="0.25">
      <c r="A29" s="98"/>
      <c r="B29" s="99"/>
      <c r="C29" s="57"/>
      <c r="D29" s="57"/>
      <c r="E29" s="12"/>
      <c r="F29" s="45"/>
      <c r="G29" s="41"/>
      <c r="H29" s="82"/>
      <c r="I29" s="82"/>
      <c r="J29" s="82"/>
      <c r="K29" s="82"/>
    </row>
    <row r="30" spans="1:11" ht="15.75" customHeight="1" x14ac:dyDescent="0.25">
      <c r="A30" s="101"/>
      <c r="B30" s="33"/>
      <c r="C30" s="57"/>
      <c r="D30" s="57"/>
      <c r="E30" s="58"/>
      <c r="F30" s="73"/>
      <c r="G30" s="84"/>
      <c r="H30" s="82"/>
      <c r="I30" s="82"/>
      <c r="J30" s="82"/>
      <c r="K30" s="82"/>
    </row>
    <row r="31" spans="1:11" ht="15.75" customHeight="1" x14ac:dyDescent="0.25">
      <c r="A31" s="65">
        <f>+A26+1</f>
        <v>15</v>
      </c>
      <c r="B31" s="102"/>
      <c r="C31" s="91" t="s">
        <v>32</v>
      </c>
      <c r="D31" s="57"/>
      <c r="E31" s="103" t="e">
        <f>"(Note "&amp;#REF!&amp;")"</f>
        <v>#REF!</v>
      </c>
      <c r="F31" s="73" t="s">
        <v>22</v>
      </c>
      <c r="G31" s="84"/>
      <c r="H31" s="82">
        <v>1838925692.3076923</v>
      </c>
      <c r="I31" s="82">
        <v>1580278461.5384614</v>
      </c>
      <c r="J31" s="82">
        <f t="shared" ref="J31:J91" si="6">H31-I31</f>
        <v>258647230.76923084</v>
      </c>
      <c r="K31" s="327">
        <f t="shared" ref="K31:K91" si="7">(H31-I31)/I31</f>
        <v>0.16367193318412243</v>
      </c>
    </row>
    <row r="32" spans="1:11" ht="15.75" customHeight="1" x14ac:dyDescent="0.25">
      <c r="A32" s="65">
        <f>+A31+1</f>
        <v>16</v>
      </c>
      <c r="B32" s="102"/>
      <c r="C32" s="104" t="s">
        <v>33</v>
      </c>
      <c r="D32" s="105"/>
      <c r="E32" s="106"/>
      <c r="F32" s="107" t="s">
        <v>34</v>
      </c>
      <c r="G32" s="108"/>
      <c r="H32" s="109">
        <v>49336191.583333336</v>
      </c>
      <c r="I32" s="109">
        <v>80112600.5</v>
      </c>
      <c r="J32" s="109">
        <f t="shared" si="6"/>
        <v>-30776408.916666664</v>
      </c>
      <c r="K32" s="369">
        <f t="shared" si="7"/>
        <v>-0.3841643976675887</v>
      </c>
    </row>
    <row r="33" spans="1:11" ht="15.75" customHeight="1" x14ac:dyDescent="0.25">
      <c r="A33" s="65">
        <f>+A32+1</f>
        <v>17</v>
      </c>
      <c r="B33" s="102"/>
      <c r="C33" s="33" t="s">
        <v>35</v>
      </c>
      <c r="D33" s="57"/>
      <c r="E33" s="103"/>
      <c r="F33" s="73" t="str">
        <f>"(Line "&amp;A31&amp;" + "&amp;A32&amp;")"</f>
        <v>(Line 15 + 16)</v>
      </c>
      <c r="G33" s="84"/>
      <c r="H33" s="75">
        <v>1888261883.8910255</v>
      </c>
      <c r="I33" s="75">
        <v>1660391062.0384614</v>
      </c>
      <c r="J33" s="75">
        <f t="shared" si="6"/>
        <v>227870821.8525641</v>
      </c>
      <c r="K33" s="377">
        <f t="shared" si="7"/>
        <v>0.13723924867001341</v>
      </c>
    </row>
    <row r="34" spans="1:11" ht="15.75" customHeight="1" x14ac:dyDescent="0.25">
      <c r="A34" s="65"/>
      <c r="B34" s="102"/>
      <c r="C34" s="33"/>
      <c r="D34" s="57"/>
      <c r="E34" s="103"/>
      <c r="F34" s="73"/>
      <c r="G34" s="84"/>
      <c r="H34" s="82"/>
      <c r="I34" s="82"/>
      <c r="J34" s="82"/>
      <c r="K34" s="327"/>
    </row>
    <row r="35" spans="1:11" ht="15.75" customHeight="1" x14ac:dyDescent="0.25">
      <c r="A35" s="65">
        <f>+A33+1</f>
        <v>18</v>
      </c>
      <c r="B35" s="102"/>
      <c r="C35" s="91" t="s">
        <v>36</v>
      </c>
      <c r="D35" s="57"/>
      <c r="E35" s="103"/>
      <c r="F35" s="73" t="s">
        <v>22</v>
      </c>
      <c r="G35" s="84"/>
      <c r="H35" s="82">
        <v>655035931.95659995</v>
      </c>
      <c r="I35" s="82">
        <v>638697811.50559998</v>
      </c>
      <c r="J35" s="82">
        <f t="shared" si="6"/>
        <v>16338120.450999975</v>
      </c>
      <c r="K35" s="327">
        <f t="shared" si="7"/>
        <v>2.5580360785151565E-2</v>
      </c>
    </row>
    <row r="36" spans="1:11" ht="15.75" customHeight="1" x14ac:dyDescent="0.25">
      <c r="A36" s="65">
        <f>A35+1</f>
        <v>19</v>
      </c>
      <c r="B36" s="102"/>
      <c r="C36" s="104" t="s">
        <v>37</v>
      </c>
      <c r="D36" s="105"/>
      <c r="E36" s="68"/>
      <c r="F36" s="83"/>
      <c r="G36" s="108"/>
      <c r="H36" s="111">
        <v>0.12209229286559851</v>
      </c>
      <c r="I36" s="111">
        <v>0.12209229286559851</v>
      </c>
      <c r="J36" s="111">
        <f t="shared" si="6"/>
        <v>0</v>
      </c>
      <c r="K36" s="111">
        <f t="shared" si="7"/>
        <v>0</v>
      </c>
    </row>
    <row r="37" spans="1:11" ht="15.75" customHeight="1" x14ac:dyDescent="0.25">
      <c r="A37" s="65">
        <f>A36+1</f>
        <v>20</v>
      </c>
      <c r="B37" s="102"/>
      <c r="C37" s="91" t="s">
        <v>38</v>
      </c>
      <c r="D37" s="57"/>
      <c r="E37" s="103"/>
      <c r="F37" s="73"/>
      <c r="G37" s="84"/>
      <c r="H37" s="74">
        <v>79974838.841935456</v>
      </c>
      <c r="I37" s="74">
        <v>77980080.254958555</v>
      </c>
      <c r="J37" s="82">
        <f t="shared" si="6"/>
        <v>1994758.5869769007</v>
      </c>
      <c r="K37" s="327">
        <f t="shared" si="7"/>
        <v>2.5580360785151399E-2</v>
      </c>
    </row>
    <row r="38" spans="1:11" ht="15.75" customHeight="1" x14ac:dyDescent="0.25">
      <c r="A38" s="65">
        <f>A37+1</f>
        <v>21</v>
      </c>
      <c r="B38" s="102"/>
      <c r="C38" s="91" t="s">
        <v>39</v>
      </c>
      <c r="D38" s="57"/>
      <c r="E38" s="43"/>
      <c r="F38" s="83" t="s">
        <v>22</v>
      </c>
      <c r="G38" s="108"/>
      <c r="H38" s="109">
        <v>509773724</v>
      </c>
      <c r="I38" s="109">
        <v>472498704</v>
      </c>
      <c r="J38" s="109">
        <f t="shared" si="6"/>
        <v>37275020</v>
      </c>
      <c r="K38" s="369">
        <f t="shared" si="7"/>
        <v>7.8889147598593196E-2</v>
      </c>
    </row>
    <row r="39" spans="1:11" ht="15.75" customHeight="1" x14ac:dyDescent="0.25">
      <c r="A39" s="65">
        <f>+A38+1</f>
        <v>22</v>
      </c>
      <c r="B39" s="102"/>
      <c r="C39" s="46" t="s">
        <v>40</v>
      </c>
      <c r="D39" s="112"/>
      <c r="E39" s="113"/>
      <c r="F39" s="73" t="str">
        <f>"(Line"&amp;A38&amp;")"</f>
        <v>(Line21)</v>
      </c>
      <c r="G39" s="84"/>
      <c r="H39" s="74">
        <v>509773724</v>
      </c>
      <c r="I39" s="74">
        <v>472498704</v>
      </c>
      <c r="J39" s="82">
        <f t="shared" si="6"/>
        <v>37275020</v>
      </c>
      <c r="K39" s="327">
        <f t="shared" si="7"/>
        <v>7.8889147598593196E-2</v>
      </c>
    </row>
    <row r="40" spans="1:11" ht="15.75" customHeight="1" x14ac:dyDescent="0.25">
      <c r="A40" s="65">
        <f>+A39+1</f>
        <v>23</v>
      </c>
      <c r="B40" s="102"/>
      <c r="C40" s="114" t="s">
        <v>41</v>
      </c>
      <c r="D40" s="91"/>
      <c r="E40" s="58"/>
      <c r="F40" s="83" t="str">
        <f>"(Line "&amp;A$13&amp;")"</f>
        <v>(Line 5)</v>
      </c>
      <c r="G40" s="108"/>
      <c r="H40" s="116">
        <v>0.10926820886382468</v>
      </c>
      <c r="I40" s="116">
        <v>0.10801595633021691</v>
      </c>
      <c r="J40" s="109">
        <f t="shared" si="6"/>
        <v>1.2522525336077783E-3</v>
      </c>
      <c r="K40" s="369">
        <f t="shared" si="7"/>
        <v>1.1593218040670785E-2</v>
      </c>
    </row>
    <row r="41" spans="1:11" ht="15.75" customHeight="1" x14ac:dyDescent="0.25">
      <c r="A41" s="65">
        <f>+A40+1</f>
        <v>24</v>
      </c>
      <c r="B41" s="41"/>
      <c r="C41" s="117" t="s">
        <v>42</v>
      </c>
      <c r="D41" s="76"/>
      <c r="E41" s="48"/>
      <c r="F41" s="73" t="str">
        <f>"(Line  + ("&amp;A39&amp;" * "&amp;A40&amp;"))"</f>
        <v>(Line  + (22 * 23))</v>
      </c>
      <c r="G41" s="84"/>
      <c r="H41" s="75">
        <v>55702061.747321717</v>
      </c>
      <c r="I41" s="75">
        <v>51037399.37734808</v>
      </c>
      <c r="J41" s="75">
        <f t="shared" si="6"/>
        <v>4664662.3699736372</v>
      </c>
      <c r="K41" s="377">
        <f t="shared" si="7"/>
        <v>9.1396944728417209E-2</v>
      </c>
    </row>
    <row r="42" spans="1:11" ht="15.75" customHeight="1" x14ac:dyDescent="0.25">
      <c r="A42" s="101"/>
      <c r="B42" s="41"/>
      <c r="C42" s="33"/>
      <c r="D42" s="41"/>
      <c r="E42" s="43"/>
      <c r="F42" s="45"/>
      <c r="G42" s="84"/>
      <c r="H42" s="82"/>
      <c r="I42" s="82"/>
      <c r="J42" s="82"/>
      <c r="K42" s="327"/>
    </row>
    <row r="43" spans="1:11" s="8" customFormat="1" ht="16.5" customHeight="1" thickBot="1" x14ac:dyDescent="0.3">
      <c r="A43" s="65">
        <f>+A41+1</f>
        <v>25</v>
      </c>
      <c r="B43" s="118" t="s">
        <v>43</v>
      </c>
      <c r="C43" s="118"/>
      <c r="D43" s="118"/>
      <c r="E43" s="119"/>
      <c r="F43" s="120" t="str">
        <f>"(Line "&amp;A33&amp;" + "&amp;A37&amp;" + "&amp;A41&amp;")"</f>
        <v>(Line 17 + 20 + 24)</v>
      </c>
      <c r="G43" s="118"/>
      <c r="H43" s="121">
        <v>2023938784.4802825</v>
      </c>
      <c r="I43" s="121">
        <v>1789408541.6707683</v>
      </c>
      <c r="J43" s="121">
        <f t="shared" si="6"/>
        <v>234530242.80951428</v>
      </c>
      <c r="K43" s="397">
        <f t="shared" si="7"/>
        <v>0.13106578925265089</v>
      </c>
    </row>
    <row r="44" spans="1:11" ht="16.5" customHeight="1" thickTop="1" x14ac:dyDescent="0.25">
      <c r="A44" s="101"/>
      <c r="B44" s="41"/>
      <c r="C44" s="41"/>
      <c r="D44" s="41"/>
      <c r="E44" s="43"/>
      <c r="F44" s="45"/>
      <c r="G44" s="84"/>
      <c r="H44" s="82"/>
      <c r="I44" s="82"/>
      <c r="J44" s="82"/>
      <c r="K44" s="327"/>
    </row>
    <row r="45" spans="1:11" ht="15.75" customHeight="1" x14ac:dyDescent="0.25">
      <c r="A45" s="65"/>
      <c r="B45" s="33" t="s">
        <v>44</v>
      </c>
      <c r="C45" s="33"/>
      <c r="D45" s="122"/>
      <c r="E45" s="58"/>
      <c r="F45" s="73"/>
      <c r="G45" s="84"/>
      <c r="H45" s="82"/>
      <c r="I45" s="82"/>
      <c r="J45" s="82"/>
      <c r="K45" s="327"/>
    </row>
    <row r="46" spans="1:11" ht="15.75" customHeight="1" x14ac:dyDescent="0.25">
      <c r="A46" s="101"/>
      <c r="B46" s="57"/>
      <c r="C46" s="57"/>
      <c r="D46" s="57"/>
      <c r="E46" s="43"/>
      <c r="F46" s="73"/>
      <c r="G46" s="84"/>
      <c r="H46" s="82"/>
      <c r="I46" s="82"/>
      <c r="J46" s="82"/>
      <c r="K46" s="327"/>
    </row>
    <row r="47" spans="1:11" ht="15.75" customHeight="1" x14ac:dyDescent="0.25">
      <c r="A47" s="65">
        <f>+A43+1</f>
        <v>26</v>
      </c>
      <c r="B47" s="102"/>
      <c r="C47" s="104" t="s">
        <v>45</v>
      </c>
      <c r="D47" s="105"/>
      <c r="E47" s="68" t="e">
        <f>"(Note "&amp;#REF!&amp;")"</f>
        <v>#REF!</v>
      </c>
      <c r="F47" s="83" t="s">
        <v>22</v>
      </c>
      <c r="G47" s="108"/>
      <c r="H47" s="109">
        <v>574003958.79076922</v>
      </c>
      <c r="I47" s="109">
        <v>544356636.71384621</v>
      </c>
      <c r="J47" s="109">
        <f t="shared" si="6"/>
        <v>29647322.076923013</v>
      </c>
      <c r="K47" s="369">
        <f t="shared" si="7"/>
        <v>5.44630488128095E-2</v>
      </c>
    </row>
    <row r="48" spans="1:11" s="5" customFormat="1" ht="15.75" customHeight="1" x14ac:dyDescent="0.25">
      <c r="A48" s="65">
        <f>A47+1</f>
        <v>27</v>
      </c>
      <c r="B48" s="102"/>
      <c r="C48" s="33" t="s">
        <v>46</v>
      </c>
      <c r="D48" s="103"/>
      <c r="E48" s="41"/>
      <c r="F48" s="123" t="str">
        <f>"(Line "&amp;A47&amp;")"</f>
        <v>(Line 26)</v>
      </c>
      <c r="G48" s="41"/>
      <c r="H48" s="74">
        <v>574003958.79076922</v>
      </c>
      <c r="I48" s="74">
        <v>544356636.71384621</v>
      </c>
      <c r="J48" s="82">
        <f t="shared" si="6"/>
        <v>29647322.076923013</v>
      </c>
      <c r="K48" s="327">
        <f t="shared" si="7"/>
        <v>5.44630488128095E-2</v>
      </c>
    </row>
    <row r="49" spans="1:11" s="5" customFormat="1" ht="15.75" customHeight="1" x14ac:dyDescent="0.2">
      <c r="A49" s="65"/>
      <c r="B49" s="102"/>
      <c r="C49" s="91"/>
      <c r="D49" s="103"/>
      <c r="E49" s="41"/>
      <c r="F49" s="73"/>
      <c r="G49" s="41"/>
      <c r="H49" s="74"/>
      <c r="I49" s="74"/>
      <c r="J49" s="82"/>
      <c r="K49" s="327"/>
    </row>
    <row r="50" spans="1:11" s="5" customFormat="1" ht="15.75" customHeight="1" x14ac:dyDescent="0.2">
      <c r="A50" s="65">
        <f>A48+1</f>
        <v>28</v>
      </c>
      <c r="B50" s="102"/>
      <c r="C50" s="91" t="s">
        <v>47</v>
      </c>
      <c r="D50" s="103"/>
      <c r="E50" s="124"/>
      <c r="F50" s="73" t="s">
        <v>22</v>
      </c>
      <c r="G50" s="41"/>
      <c r="H50" s="82">
        <v>297992509.69129997</v>
      </c>
      <c r="I50" s="82">
        <v>266584133.82299998</v>
      </c>
      <c r="J50" s="82">
        <f t="shared" si="6"/>
        <v>31408375.868299991</v>
      </c>
      <c r="K50" s="327">
        <f t="shared" si="7"/>
        <v>0.11781787392176069</v>
      </c>
    </row>
    <row r="51" spans="1:11" s="5" customFormat="1" ht="15.75" customHeight="1" x14ac:dyDescent="0.2">
      <c r="A51" s="65">
        <f>A50+1</f>
        <v>29</v>
      </c>
      <c r="B51" s="102"/>
      <c r="C51" s="104" t="s">
        <v>37</v>
      </c>
      <c r="D51" s="68"/>
      <c r="E51" s="125"/>
      <c r="F51" s="83"/>
      <c r="G51" s="66"/>
      <c r="H51" s="425">
        <v>0.10540272554384801</v>
      </c>
      <c r="I51" s="425">
        <v>0.10540272554384801</v>
      </c>
      <c r="J51" s="109">
        <f t="shared" si="6"/>
        <v>0</v>
      </c>
      <c r="K51" s="369">
        <f t="shared" si="7"/>
        <v>0</v>
      </c>
    </row>
    <row r="52" spans="1:11" s="5" customFormat="1" ht="15.75" customHeight="1" x14ac:dyDescent="0.2">
      <c r="A52" s="65">
        <f>A51+1</f>
        <v>30</v>
      </c>
      <c r="B52" s="102"/>
      <c r="C52" s="91" t="s">
        <v>38</v>
      </c>
      <c r="D52" s="103"/>
      <c r="E52" s="124"/>
      <c r="F52" s="73"/>
      <c r="G52" s="41"/>
      <c r="H52" s="82">
        <v>31409222.71311456</v>
      </c>
      <c r="I52" s="82">
        <v>28098694.291690119</v>
      </c>
      <c r="J52" s="82">
        <f t="shared" si="6"/>
        <v>3310528.421424441</v>
      </c>
      <c r="K52" s="327">
        <f t="shared" si="7"/>
        <v>0.11781787392176062</v>
      </c>
    </row>
    <row r="53" spans="1:11" ht="15.75" customHeight="1" x14ac:dyDescent="0.25">
      <c r="A53" s="65">
        <f>+A52+1</f>
        <v>31</v>
      </c>
      <c r="B53" s="102"/>
      <c r="C53" s="91" t="s">
        <v>48</v>
      </c>
      <c r="D53" s="57"/>
      <c r="E53" s="43"/>
      <c r="F53" s="73" t="s">
        <v>22</v>
      </c>
      <c r="G53" s="84"/>
      <c r="H53" s="82">
        <v>212736630</v>
      </c>
      <c r="I53" s="82">
        <v>199145541</v>
      </c>
      <c r="J53" s="82">
        <f t="shared" si="6"/>
        <v>13591089</v>
      </c>
      <c r="K53" s="327">
        <f t="shared" si="7"/>
        <v>6.8247016386874568E-2</v>
      </c>
    </row>
    <row r="54" spans="1:11" ht="15.75" customHeight="1" x14ac:dyDescent="0.25">
      <c r="A54" s="65">
        <f>+A53+1</f>
        <v>32</v>
      </c>
      <c r="B54" s="102"/>
      <c r="C54" s="104" t="s">
        <v>49</v>
      </c>
      <c r="D54" s="105"/>
      <c r="E54" s="106"/>
      <c r="F54" s="83" t="s">
        <v>22</v>
      </c>
      <c r="G54" s="108"/>
      <c r="H54" s="109">
        <v>65925780</v>
      </c>
      <c r="I54" s="109">
        <v>48948753</v>
      </c>
      <c r="J54" s="109">
        <f t="shared" si="6"/>
        <v>16977027</v>
      </c>
      <c r="K54" s="369">
        <f t="shared" si="7"/>
        <v>0.34683267620729785</v>
      </c>
    </row>
    <row r="55" spans="1:11" ht="15.75" customHeight="1" x14ac:dyDescent="0.25">
      <c r="A55" s="65">
        <f>+A54+1</f>
        <v>33</v>
      </c>
      <c r="B55" s="40"/>
      <c r="C55" s="127" t="s">
        <v>25</v>
      </c>
      <c r="D55" s="34"/>
      <c r="E55" s="35"/>
      <c r="F55" s="36" t="str">
        <f>"(Sum Lines "&amp;A53&amp;" to "&amp;A54&amp;")"</f>
        <v>(Sum Lines 31 to 32)</v>
      </c>
      <c r="G55" s="84"/>
      <c r="H55" s="74">
        <v>278662410</v>
      </c>
      <c r="I55" s="74">
        <v>248094294</v>
      </c>
      <c r="J55" s="82">
        <f t="shared" si="6"/>
        <v>30568116</v>
      </c>
      <c r="K55" s="327">
        <f t="shared" si="7"/>
        <v>0.12321168498941777</v>
      </c>
    </row>
    <row r="56" spans="1:11" ht="15.75" customHeight="1" x14ac:dyDescent="0.25">
      <c r="A56" s="65">
        <f>+A55+1</f>
        <v>34</v>
      </c>
      <c r="B56" s="40"/>
      <c r="C56" s="127" t="str">
        <f>+C40</f>
        <v>Wage &amp; Salary Allocation Factor</v>
      </c>
      <c r="D56" s="34"/>
      <c r="E56" s="35"/>
      <c r="F56" s="128" t="str">
        <f>"(Line "&amp;A$13&amp;")"</f>
        <v>(Line 5)</v>
      </c>
      <c r="G56" s="108"/>
      <c r="H56" s="116">
        <v>0.10926820886382468</v>
      </c>
      <c r="I56" s="116">
        <v>0.10801595633021691</v>
      </c>
      <c r="J56" s="369">
        <f t="shared" si="6"/>
        <v>1.2522525336077783E-3</v>
      </c>
      <c r="K56" s="369">
        <f t="shared" si="7"/>
        <v>1.1593218040670785E-2</v>
      </c>
    </row>
    <row r="57" spans="1:11" ht="15.75" customHeight="1" x14ac:dyDescent="0.25">
      <c r="A57" s="65">
        <f>+A56+1</f>
        <v>35</v>
      </c>
      <c r="B57" s="4"/>
      <c r="C57" s="129" t="s">
        <v>50</v>
      </c>
      <c r="D57" s="81"/>
      <c r="E57" s="78"/>
      <c r="F57" s="36" t="str">
        <f>"(Line "&amp;A55&amp;" * "&amp;A56&amp;")"</f>
        <v>(Line 33 * 34)</v>
      </c>
      <c r="G57" s="84"/>
      <c r="H57" s="75">
        <v>30448942.418376748</v>
      </c>
      <c r="I57" s="75">
        <v>26798142.426479995</v>
      </c>
      <c r="J57" s="216">
        <f t="shared" si="6"/>
        <v>3650799.9918967523</v>
      </c>
      <c r="K57" s="398">
        <f t="shared" si="7"/>
        <v>0.13623332295932924</v>
      </c>
    </row>
    <row r="58" spans="1:11" ht="15.75" customHeight="1" x14ac:dyDescent="0.25">
      <c r="A58" s="101"/>
      <c r="B58" s="4"/>
      <c r="C58" s="4"/>
      <c r="D58" s="4"/>
      <c r="E58" s="62"/>
      <c r="F58" s="63"/>
      <c r="G58" s="84"/>
      <c r="H58" s="82"/>
      <c r="I58" s="82"/>
      <c r="J58" s="82"/>
      <c r="K58" s="327"/>
    </row>
    <row r="59" spans="1:11" ht="16.5" customHeight="1" thickBot="1" x14ac:dyDescent="0.3">
      <c r="A59" s="65">
        <f>+A57+1</f>
        <v>36</v>
      </c>
      <c r="B59" s="86" t="s">
        <v>51</v>
      </c>
      <c r="C59" s="86"/>
      <c r="D59" s="86"/>
      <c r="E59" s="132"/>
      <c r="F59" s="133" t="str">
        <f>"(Line "&amp;A48&amp;" + "&amp;A57&amp;")"</f>
        <v>(Line 27 + 35)</v>
      </c>
      <c r="G59" s="387"/>
      <c r="H59" s="121">
        <v>635862123.92226052</v>
      </c>
      <c r="I59" s="121">
        <v>599253473.43201637</v>
      </c>
      <c r="J59" s="121">
        <f t="shared" si="6"/>
        <v>36608650.49024415</v>
      </c>
      <c r="K59" s="397">
        <f t="shared" si="7"/>
        <v>6.1090426861576293E-2</v>
      </c>
    </row>
    <row r="60" spans="1:11" ht="16.5" customHeight="1" thickTop="1" x14ac:dyDescent="0.25">
      <c r="A60" s="101"/>
      <c r="B60" s="4"/>
      <c r="C60" s="4"/>
      <c r="D60" s="4"/>
      <c r="E60" s="62"/>
      <c r="F60" s="63"/>
      <c r="G60" s="84"/>
      <c r="H60" s="85"/>
      <c r="I60" s="85"/>
      <c r="J60" s="82"/>
      <c r="K60" s="327"/>
    </row>
    <row r="61" spans="1:11" ht="16.5" customHeight="1" thickBot="1" x14ac:dyDescent="0.3">
      <c r="A61" s="65">
        <f>+A59+1</f>
        <v>37</v>
      </c>
      <c r="B61" s="86" t="s">
        <v>52</v>
      </c>
      <c r="C61" s="86"/>
      <c r="D61" s="86"/>
      <c r="E61" s="132"/>
      <c r="F61" s="133" t="str">
        <f>"(Line "&amp;A43&amp;" - "&amp;A59&amp;")"</f>
        <v>(Line 25 - 36)</v>
      </c>
      <c r="G61" s="387"/>
      <c r="H61" s="121">
        <v>1388076660.558022</v>
      </c>
      <c r="I61" s="121">
        <v>1190155068.2387519</v>
      </c>
      <c r="J61" s="121">
        <f t="shared" si="6"/>
        <v>197921592.31927013</v>
      </c>
      <c r="K61" s="397">
        <f t="shared" si="7"/>
        <v>0.16629899548481858</v>
      </c>
    </row>
    <row r="62" spans="1:11" ht="16.5" customHeight="1" thickTop="1" x14ac:dyDescent="0.25">
      <c r="A62" s="61"/>
      <c r="B62" s="4"/>
      <c r="C62" s="4"/>
      <c r="D62" s="4"/>
      <c r="E62" s="62"/>
      <c r="F62" s="63"/>
      <c r="G62" s="84"/>
      <c r="H62" s="82"/>
      <c r="I62" s="82"/>
      <c r="J62" s="82"/>
      <c r="K62" s="327"/>
    </row>
    <row r="63" spans="1:11" ht="16.5" customHeight="1" x14ac:dyDescent="0.25">
      <c r="A63" s="95" t="s">
        <v>53</v>
      </c>
      <c r="B63" s="18"/>
      <c r="C63" s="18"/>
      <c r="D63" s="18"/>
      <c r="E63" s="19"/>
      <c r="F63" s="96"/>
      <c r="G63" s="84"/>
      <c r="H63" s="82"/>
      <c r="I63" s="82"/>
      <c r="J63" s="82"/>
      <c r="K63" s="82"/>
    </row>
    <row r="64" spans="1:11" ht="15.75" customHeight="1" thickBot="1" x14ac:dyDescent="0.3">
      <c r="A64" s="135"/>
      <c r="B64" s="136"/>
      <c r="C64" s="136"/>
      <c r="D64" s="136"/>
      <c r="E64" s="62"/>
      <c r="F64" s="63"/>
      <c r="G64" s="84"/>
      <c r="H64" s="82"/>
      <c r="I64" s="82"/>
      <c r="J64" s="82"/>
      <c r="K64" s="82"/>
    </row>
    <row r="65" spans="1:11" ht="15.75" customHeight="1" x14ac:dyDescent="0.25">
      <c r="A65" s="138"/>
      <c r="B65" s="139" t="s">
        <v>54</v>
      </c>
      <c r="C65" s="140"/>
      <c r="D65" s="28"/>
      <c r="E65" s="141"/>
      <c r="F65" s="142"/>
      <c r="G65" s="388"/>
      <c r="H65" s="31"/>
      <c r="I65" s="31"/>
      <c r="J65" s="31"/>
      <c r="K65" s="31"/>
    </row>
    <row r="66" spans="1:11" ht="15.75" customHeight="1" x14ac:dyDescent="0.25">
      <c r="A66" s="101">
        <f>+A61+1</f>
        <v>38</v>
      </c>
      <c r="B66" s="144"/>
      <c r="C66" s="34" t="s">
        <v>55</v>
      </c>
      <c r="D66" s="41"/>
      <c r="E66" s="145"/>
      <c r="F66" s="107" t="s">
        <v>56</v>
      </c>
      <c r="G66" s="158"/>
      <c r="H66" s="70">
        <v>-216838266.8315194</v>
      </c>
      <c r="I66" s="70">
        <v>-211964591.82546625</v>
      </c>
      <c r="J66" s="109">
        <f t="shared" si="6"/>
        <v>-4873675.0060531497</v>
      </c>
      <c r="K66" s="369">
        <f t="shared" si="7"/>
        <v>2.2992873310020489E-2</v>
      </c>
    </row>
    <row r="67" spans="1:11" s="5" customFormat="1" ht="15.75" customHeight="1" x14ac:dyDescent="0.25">
      <c r="A67" s="65">
        <f>+A66+1</f>
        <v>39</v>
      </c>
      <c r="B67" s="41"/>
      <c r="C67" s="146" t="s">
        <v>57</v>
      </c>
      <c r="D67" s="76"/>
      <c r="E67" s="147"/>
      <c r="F67" s="73" t="str">
        <f>"(Line "&amp;A66&amp;")"</f>
        <v>(Line 38)</v>
      </c>
      <c r="G67" s="41"/>
      <c r="H67" s="148">
        <v>-216838266.8315194</v>
      </c>
      <c r="I67" s="148">
        <v>-211964591.82546625</v>
      </c>
      <c r="J67" s="82">
        <f t="shared" si="6"/>
        <v>-4873675.0060531497</v>
      </c>
      <c r="K67" s="327">
        <f t="shared" si="7"/>
        <v>2.2992873310020489E-2</v>
      </c>
    </row>
    <row r="68" spans="1:11" ht="16.5" customHeight="1" x14ac:dyDescent="0.25">
      <c r="A68" s="101"/>
      <c r="B68" s="41"/>
      <c r="C68" s="144"/>
      <c r="D68" s="41"/>
      <c r="E68" s="43"/>
      <c r="F68" s="45"/>
      <c r="G68" s="84"/>
      <c r="H68" s="82"/>
      <c r="I68" s="82"/>
      <c r="J68" s="82"/>
      <c r="K68" s="327"/>
    </row>
    <row r="69" spans="1:11" ht="16.5" customHeight="1" x14ac:dyDescent="0.25">
      <c r="A69" s="101">
        <f>+A67+1</f>
        <v>40</v>
      </c>
      <c r="B69" s="9" t="s">
        <v>58</v>
      </c>
      <c r="C69" s="144"/>
      <c r="D69" s="43" t="s">
        <v>59</v>
      </c>
      <c r="E69" s="57" t="e">
        <f>"(Notes "&amp;#REF!&amp;" &amp; "&amp;#REF!&amp;")"</f>
        <v>#REF!</v>
      </c>
      <c r="F69" s="45" t="s">
        <v>56</v>
      </c>
      <c r="G69" s="84"/>
      <c r="H69" s="82">
        <v>0</v>
      </c>
      <c r="I69" s="82">
        <v>0</v>
      </c>
      <c r="J69" s="82"/>
      <c r="K69" s="327"/>
    </row>
    <row r="70" spans="1:11" ht="16.5" customHeight="1" x14ac:dyDescent="0.25">
      <c r="A70" s="101"/>
      <c r="B70" s="41"/>
      <c r="C70" s="144"/>
      <c r="D70" s="41"/>
      <c r="E70" s="43"/>
      <c r="F70" s="45"/>
      <c r="G70" s="84"/>
      <c r="H70" s="82"/>
      <c r="I70" s="82"/>
      <c r="J70" s="82"/>
      <c r="K70" s="327"/>
    </row>
    <row r="71" spans="1:11" s="5" customFormat="1" ht="15.75" customHeight="1" x14ac:dyDescent="0.25">
      <c r="A71" s="65"/>
      <c r="B71" s="9" t="s">
        <v>60</v>
      </c>
      <c r="C71" s="144"/>
      <c r="D71" s="41"/>
      <c r="E71" s="43"/>
      <c r="F71" s="73"/>
      <c r="G71" s="41"/>
      <c r="H71" s="82"/>
      <c r="I71" s="82"/>
      <c r="J71" s="82"/>
      <c r="K71" s="327"/>
    </row>
    <row r="72" spans="1:11" ht="33" customHeight="1" x14ac:dyDescent="0.25">
      <c r="A72" s="101">
        <f>+A69+1</f>
        <v>41</v>
      </c>
      <c r="B72" s="41"/>
      <c r="C72" s="144" t="s">
        <v>61</v>
      </c>
      <c r="D72" s="41"/>
      <c r="E72" s="43" t="s">
        <v>59</v>
      </c>
      <c r="F72" s="45" t="s">
        <v>22</v>
      </c>
      <c r="G72" s="84"/>
      <c r="H72" s="148">
        <v>-4189055.9765718859</v>
      </c>
      <c r="I72" s="148">
        <v>-8842859.5681836195</v>
      </c>
      <c r="J72" s="82">
        <f t="shared" si="6"/>
        <v>4653803.5916117337</v>
      </c>
      <c r="K72" s="327">
        <f t="shared" si="7"/>
        <v>-0.52627812934585083</v>
      </c>
    </row>
    <row r="73" spans="1:11" x14ac:dyDescent="0.25">
      <c r="A73" s="65"/>
      <c r="B73" s="151"/>
      <c r="C73" s="57"/>
      <c r="D73" s="57"/>
      <c r="E73" s="43"/>
      <c r="F73" s="152"/>
      <c r="G73" s="84"/>
      <c r="H73" s="82"/>
      <c r="I73" s="82"/>
      <c r="J73" s="82"/>
      <c r="K73" s="327"/>
    </row>
    <row r="74" spans="1:11" x14ac:dyDescent="0.25">
      <c r="A74" s="65"/>
      <c r="B74" s="144" t="s">
        <v>62</v>
      </c>
      <c r="C74" s="114"/>
      <c r="D74" s="57"/>
      <c r="E74" s="43"/>
      <c r="F74" s="153"/>
      <c r="G74" s="84"/>
      <c r="H74" s="82"/>
      <c r="I74" s="82"/>
      <c r="J74" s="82"/>
      <c r="K74" s="327"/>
    </row>
    <row r="75" spans="1:11" ht="31.5" customHeight="1" x14ac:dyDescent="0.25">
      <c r="A75" s="65">
        <f>+A72+1</f>
        <v>42</v>
      </c>
      <c r="B75" s="154"/>
      <c r="C75" s="155" t="s">
        <v>63</v>
      </c>
      <c r="D75" s="68"/>
      <c r="E75" s="156" t="s">
        <v>64</v>
      </c>
      <c r="F75" s="157" t="s">
        <v>22</v>
      </c>
      <c r="G75" s="158"/>
      <c r="H75" s="159">
        <v>4922403.9652532851</v>
      </c>
      <c r="I75" s="159">
        <v>4700316.4026913894</v>
      </c>
      <c r="J75" s="109">
        <f t="shared" si="6"/>
        <v>222087.5625618957</v>
      </c>
      <c r="K75" s="369">
        <f t="shared" si="7"/>
        <v>4.7249492062859624E-2</v>
      </c>
    </row>
    <row r="76" spans="1:11" ht="15.75" customHeight="1" x14ac:dyDescent="0.25">
      <c r="A76" s="65">
        <f>+A75+1</f>
        <v>43</v>
      </c>
      <c r="B76" s="151"/>
      <c r="C76" s="9" t="s">
        <v>65</v>
      </c>
      <c r="D76" s="57"/>
      <c r="E76" s="102"/>
      <c r="F76" s="73" t="str">
        <f>"(Line "&amp;A75&amp;")"</f>
        <v>(Line 42)</v>
      </c>
      <c r="G76" s="84"/>
      <c r="H76" s="148">
        <v>4922403.9652532851</v>
      </c>
      <c r="I76" s="148">
        <v>4700316.4026913894</v>
      </c>
      <c r="J76" s="82">
        <f t="shared" si="6"/>
        <v>222087.5625618957</v>
      </c>
      <c r="K76" s="327">
        <f t="shared" si="7"/>
        <v>4.7249492062859624E-2</v>
      </c>
    </row>
    <row r="77" spans="1:11" ht="16.5" customHeight="1" x14ac:dyDescent="0.25">
      <c r="A77" s="65"/>
      <c r="B77" s="151"/>
      <c r="C77" s="9"/>
      <c r="D77" s="57"/>
      <c r="E77" s="102"/>
      <c r="F77" s="73"/>
      <c r="G77" s="84"/>
      <c r="H77" s="82"/>
      <c r="I77" s="82"/>
      <c r="J77" s="82"/>
      <c r="K77" s="327"/>
    </row>
    <row r="78" spans="1:11" x14ac:dyDescent="0.25">
      <c r="A78" s="65">
        <f>+A76+1</f>
        <v>44</v>
      </c>
      <c r="B78" s="33" t="s">
        <v>66</v>
      </c>
      <c r="C78" s="57"/>
      <c r="D78" s="160"/>
      <c r="E78" s="103" t="e">
        <f>"(Note "&amp;#REF!&amp;")"</f>
        <v>#REF!</v>
      </c>
      <c r="F78" s="73" t="str">
        <f>+F72</f>
        <v>Attachment 5</v>
      </c>
      <c r="G78" s="84"/>
      <c r="H78" s="161">
        <v>4948912</v>
      </c>
      <c r="I78" s="161">
        <v>4948913</v>
      </c>
      <c r="J78" s="82">
        <f t="shared" si="6"/>
        <v>-1</v>
      </c>
      <c r="K78" s="327">
        <f t="shared" si="7"/>
        <v>-2.0206457458435823E-7</v>
      </c>
    </row>
    <row r="79" spans="1:11" x14ac:dyDescent="0.25">
      <c r="A79" s="65"/>
      <c r="B79" s="33"/>
      <c r="C79" s="57"/>
      <c r="D79" s="160"/>
      <c r="E79" s="103"/>
      <c r="F79" s="73"/>
      <c r="G79" s="84"/>
      <c r="H79" s="161"/>
      <c r="I79" s="161"/>
      <c r="J79" s="82"/>
      <c r="K79" s="327"/>
    </row>
    <row r="80" spans="1:11" x14ac:dyDescent="0.25">
      <c r="A80" s="65">
        <f>+A78+1</f>
        <v>45</v>
      </c>
      <c r="B80" s="33" t="s">
        <v>67</v>
      </c>
      <c r="C80" s="57"/>
      <c r="D80" s="160"/>
      <c r="E80" s="103"/>
      <c r="F80" s="73"/>
      <c r="G80" s="84"/>
      <c r="H80" s="163">
        <v>0</v>
      </c>
      <c r="I80" s="163">
        <v>0</v>
      </c>
      <c r="J80" s="82"/>
      <c r="K80" s="327"/>
    </row>
    <row r="81" spans="1:11" x14ac:dyDescent="0.25">
      <c r="A81" s="65">
        <f>+A80+1</f>
        <v>46</v>
      </c>
      <c r="B81" s="33" t="s">
        <v>68</v>
      </c>
      <c r="C81" s="57"/>
      <c r="D81" s="160"/>
      <c r="E81" s="103"/>
      <c r="F81" s="73"/>
      <c r="G81" s="164"/>
      <c r="H81" s="166">
        <v>0</v>
      </c>
      <c r="I81" s="166">
        <v>0</v>
      </c>
      <c r="J81" s="82"/>
      <c r="K81" s="327"/>
    </row>
    <row r="82" spans="1:11" ht="15.75" customHeight="1" x14ac:dyDescent="0.25">
      <c r="A82" s="65"/>
      <c r="B82" s="151"/>
      <c r="C82" s="9"/>
      <c r="D82" s="57"/>
      <c r="E82" s="102"/>
      <c r="F82" s="73"/>
      <c r="G82" s="84"/>
      <c r="H82" s="82"/>
      <c r="I82" s="82"/>
      <c r="J82" s="82"/>
      <c r="K82" s="327"/>
    </row>
    <row r="83" spans="1:11" ht="15.75" customHeight="1" x14ac:dyDescent="0.25">
      <c r="A83" s="65"/>
      <c r="B83" s="144" t="s">
        <v>69</v>
      </c>
      <c r="C83" s="41"/>
      <c r="D83" s="41"/>
      <c r="E83" s="168"/>
      <c r="F83" s="169"/>
      <c r="G83" s="84"/>
      <c r="H83" s="82"/>
      <c r="I83" s="82"/>
      <c r="J83" s="82"/>
      <c r="K83" s="327"/>
    </row>
    <row r="84" spans="1:11" ht="15.75" customHeight="1" x14ac:dyDescent="0.25">
      <c r="A84" s="101">
        <f>+A81+1</f>
        <v>47</v>
      </c>
      <c r="B84" s="41"/>
      <c r="C84" s="41" t="s">
        <v>70</v>
      </c>
      <c r="D84" s="57"/>
      <c r="E84" s="103" t="e">
        <f>"(Note "&amp;#REF!&amp;")"</f>
        <v>#REF!</v>
      </c>
      <c r="F84" s="171" t="s">
        <v>22</v>
      </c>
      <c r="G84" s="172"/>
      <c r="H84" s="82">
        <v>-598412.07692307688</v>
      </c>
      <c r="I84" s="82">
        <v>-86292.050000000017</v>
      </c>
      <c r="J84" s="82">
        <f t="shared" si="6"/>
        <v>-512120.02692307683</v>
      </c>
      <c r="K84" s="327">
        <f t="shared" si="7"/>
        <v>5.934730104604963</v>
      </c>
    </row>
    <row r="85" spans="1:11" s="5" customFormat="1" ht="15.75" customHeight="1" x14ac:dyDescent="0.2">
      <c r="A85" s="65">
        <f>+A84+1</f>
        <v>48</v>
      </c>
      <c r="B85" s="151"/>
      <c r="C85" s="155" t="s">
        <v>41</v>
      </c>
      <c r="D85" s="125"/>
      <c r="E85" s="173"/>
      <c r="F85" s="83" t="str">
        <f>"(Line "&amp;A$13&amp;")"</f>
        <v>(Line 5)</v>
      </c>
      <c r="G85" s="174"/>
      <c r="H85" s="116">
        <v>0.10926820886382468</v>
      </c>
      <c r="I85" s="116">
        <v>0.10801595633021691</v>
      </c>
      <c r="J85" s="369">
        <f t="shared" si="6"/>
        <v>1.2522525336077783E-3</v>
      </c>
      <c r="K85" s="369">
        <f t="shared" si="7"/>
        <v>1.1593218040670785E-2</v>
      </c>
    </row>
    <row r="86" spans="1:11" ht="15.75" customHeight="1" x14ac:dyDescent="0.25">
      <c r="A86" s="65">
        <f>+A85+1</f>
        <v>49</v>
      </c>
      <c r="B86" s="151"/>
      <c r="C86" s="114" t="s">
        <v>71</v>
      </c>
      <c r="D86" s="57"/>
      <c r="E86" s="43"/>
      <c r="F86" s="73" t="str">
        <f>"(Line "&amp;A84&amp;" * "&amp;A85&amp;")"</f>
        <v>(Line 47 * 48)</v>
      </c>
      <c r="G86" s="84"/>
      <c r="H86" s="149">
        <v>-65387.415807865887</v>
      </c>
      <c r="I86" s="149">
        <v>-9320.9183044448964</v>
      </c>
      <c r="J86" s="82">
        <f t="shared" si="6"/>
        <v>-56066.497503420993</v>
      </c>
      <c r="K86" s="327">
        <f t="shared" si="7"/>
        <v>6.0151259427608528</v>
      </c>
    </row>
    <row r="87" spans="1:11" ht="15.75" customHeight="1" x14ac:dyDescent="0.25">
      <c r="A87" s="65">
        <f>+A86+1</f>
        <v>50</v>
      </c>
      <c r="B87" s="151"/>
      <c r="C87" s="114" t="s">
        <v>72</v>
      </c>
      <c r="D87" s="57"/>
      <c r="E87" s="177"/>
      <c r="F87" s="157" t="s">
        <v>22</v>
      </c>
      <c r="G87" s="158"/>
      <c r="H87" s="159">
        <v>1201289.3076923077</v>
      </c>
      <c r="I87" s="159">
        <v>658783.93854401959</v>
      </c>
      <c r="J87" s="109">
        <f t="shared" si="6"/>
        <v>542505.36914828815</v>
      </c>
      <c r="K87" s="369">
        <f t="shared" si="7"/>
        <v>0.82349513612502601</v>
      </c>
    </row>
    <row r="88" spans="1:11" ht="18" customHeight="1" x14ac:dyDescent="0.25">
      <c r="A88" s="65">
        <f>+A87+1</f>
        <v>51</v>
      </c>
      <c r="B88" s="151"/>
      <c r="C88" s="179" t="s">
        <v>73</v>
      </c>
      <c r="D88" s="180"/>
      <c r="E88" s="181"/>
      <c r="F88" s="73" t="str">
        <f>"(Line "&amp;A86&amp;" + "&amp;A87&amp;")"</f>
        <v>(Line 49 + 50)</v>
      </c>
      <c r="G88" s="84"/>
      <c r="H88" s="161">
        <v>1135901.891884442</v>
      </c>
      <c r="I88" s="161">
        <v>649463.02023957472</v>
      </c>
      <c r="J88" s="216">
        <f t="shared" si="6"/>
        <v>486438.87164486723</v>
      </c>
      <c r="K88" s="398">
        <f t="shared" si="7"/>
        <v>0.74898624938711533</v>
      </c>
    </row>
    <row r="89" spans="1:11" ht="15.75" customHeight="1" x14ac:dyDescent="0.25">
      <c r="A89" s="65"/>
      <c r="B89" s="151"/>
      <c r="C89" s="114"/>
      <c r="D89" s="34"/>
      <c r="E89" s="40"/>
      <c r="F89" s="183"/>
      <c r="G89" s="84"/>
      <c r="H89" s="82"/>
      <c r="I89" s="82"/>
      <c r="J89" s="82"/>
      <c r="K89" s="327"/>
    </row>
    <row r="90" spans="1:11" ht="15.75" customHeight="1" x14ac:dyDescent="0.25">
      <c r="A90" s="65"/>
      <c r="B90" s="144" t="s">
        <v>74</v>
      </c>
      <c r="C90" s="41"/>
      <c r="D90" s="57"/>
      <c r="E90" s="43"/>
      <c r="F90" s="169"/>
      <c r="G90" s="84"/>
      <c r="H90" s="82"/>
      <c r="I90" s="82"/>
      <c r="J90" s="82"/>
      <c r="K90" s="327"/>
    </row>
    <row r="91" spans="1:11" ht="15.75" customHeight="1" x14ac:dyDescent="0.25">
      <c r="A91" s="65">
        <f>+A88+1</f>
        <v>52</v>
      </c>
      <c r="B91" s="151"/>
      <c r="C91" s="114" t="s">
        <v>75</v>
      </c>
      <c r="D91" s="124"/>
      <c r="E91" s="43"/>
      <c r="F91" s="73" t="str">
        <f>"(Line "&amp;A$135&amp;")"</f>
        <v>(Line 82)</v>
      </c>
      <c r="G91" s="84"/>
      <c r="H91" s="149">
        <v>39157186.684858277</v>
      </c>
      <c r="I91" s="149">
        <v>39710649.828976445</v>
      </c>
      <c r="J91" s="82">
        <f t="shared" si="6"/>
        <v>-553463.14411816746</v>
      </c>
      <c r="K91" s="327">
        <f t="shared" si="7"/>
        <v>-1.393739831762489E-2</v>
      </c>
    </row>
    <row r="92" spans="1:11" ht="15.75" customHeight="1" x14ac:dyDescent="0.25">
      <c r="A92" s="65">
        <f>+A91+1</f>
        <v>53</v>
      </c>
      <c r="B92" s="151"/>
      <c r="C92" s="124" t="s">
        <v>76</v>
      </c>
      <c r="D92" s="124"/>
      <c r="E92" s="103" t="s">
        <v>77</v>
      </c>
      <c r="F92" s="157"/>
      <c r="G92" s="158"/>
      <c r="H92" s="185">
        <v>0</v>
      </c>
      <c r="I92" s="185">
        <v>0</v>
      </c>
      <c r="J92" s="109"/>
      <c r="K92" s="369"/>
    </row>
    <row r="93" spans="1:11" s="8" customFormat="1" ht="16.5" customHeight="1" x14ac:dyDescent="0.25">
      <c r="A93" s="65">
        <f>+A92+1</f>
        <v>54</v>
      </c>
      <c r="B93" s="186"/>
      <c r="C93" s="146" t="s">
        <v>78</v>
      </c>
      <c r="D93" s="187"/>
      <c r="E93" s="188"/>
      <c r="F93" s="73" t="str">
        <f>"(Line "&amp;A91&amp;" * "&amp;A92&amp;")"</f>
        <v>(Line 52 * 53)</v>
      </c>
      <c r="G93" s="9"/>
      <c r="H93" s="190">
        <v>0</v>
      </c>
      <c r="I93" s="190">
        <v>0</v>
      </c>
      <c r="J93" s="82"/>
      <c r="K93" s="327"/>
    </row>
    <row r="94" spans="1:11" s="8" customFormat="1" ht="15.75" customHeight="1" x14ac:dyDescent="0.25">
      <c r="A94" s="65"/>
      <c r="B94" s="186"/>
      <c r="C94" s="144"/>
      <c r="D94" s="191"/>
      <c r="E94" s="192"/>
      <c r="F94" s="36"/>
      <c r="G94" s="9"/>
      <c r="H94" s="216"/>
      <c r="I94" s="216"/>
      <c r="J94" s="82"/>
      <c r="K94" s="327"/>
    </row>
    <row r="95" spans="1:11" s="8" customFormat="1" ht="15.75" customHeight="1" x14ac:dyDescent="0.25">
      <c r="A95" s="193"/>
      <c r="B95" s="144" t="s">
        <v>79</v>
      </c>
      <c r="C95" s="189"/>
      <c r="D95" s="191"/>
      <c r="E95" s="189"/>
      <c r="F95" s="36"/>
      <c r="G95" s="9"/>
      <c r="H95" s="216"/>
      <c r="I95" s="216"/>
      <c r="J95" s="82"/>
      <c r="K95" s="327"/>
    </row>
    <row r="96" spans="1:11" ht="15.75" customHeight="1" x14ac:dyDescent="0.25">
      <c r="A96" s="65">
        <f>+A93+1</f>
        <v>55</v>
      </c>
      <c r="B96" s="4"/>
      <c r="C96" s="41" t="s">
        <v>80</v>
      </c>
      <c r="D96" s="4"/>
      <c r="E96" s="103" t="e">
        <f>"(Note "&amp;#REF!&amp;")"</f>
        <v>#REF!</v>
      </c>
      <c r="F96" s="45" t="s">
        <v>22</v>
      </c>
      <c r="G96" s="84"/>
      <c r="H96" s="82">
        <v>0</v>
      </c>
      <c r="I96" s="82">
        <v>0</v>
      </c>
      <c r="J96" s="82"/>
      <c r="K96" s="327"/>
    </row>
    <row r="97" spans="1:11" ht="15.75" customHeight="1" x14ac:dyDescent="0.25">
      <c r="A97" s="61">
        <f>+A96+1</f>
        <v>56</v>
      </c>
      <c r="B97" s="4"/>
      <c r="C97" s="66" t="s">
        <v>81</v>
      </c>
      <c r="D97" s="194"/>
      <c r="E97" s="195" t="e">
        <f>+E96</f>
        <v>#REF!</v>
      </c>
      <c r="F97" s="69" t="s">
        <v>22</v>
      </c>
      <c r="G97" s="158"/>
      <c r="H97" s="109">
        <v>0</v>
      </c>
      <c r="I97" s="109">
        <v>0</v>
      </c>
      <c r="J97" s="109"/>
      <c r="K97" s="369"/>
    </row>
    <row r="98" spans="1:11" ht="15.75" customHeight="1" x14ac:dyDescent="0.25">
      <c r="A98" s="61">
        <f>+A97+1</f>
        <v>57</v>
      </c>
      <c r="B98" s="4"/>
      <c r="C98" s="4" t="s">
        <v>82</v>
      </c>
      <c r="D98" s="4"/>
      <c r="E98" s="62"/>
      <c r="F98" s="36" t="str">
        <f>"(Line "&amp;A96&amp;" - "&amp;A97&amp;")"</f>
        <v>(Line 55 - 56)</v>
      </c>
      <c r="G98" s="84"/>
      <c r="H98" s="161">
        <v>0</v>
      </c>
      <c r="I98" s="161">
        <v>0</v>
      </c>
      <c r="J98" s="82"/>
      <c r="K98" s="327"/>
    </row>
    <row r="99" spans="1:11" ht="15.75" customHeight="1" x14ac:dyDescent="0.25">
      <c r="A99" s="61"/>
      <c r="B99" s="4"/>
      <c r="C99" s="4"/>
      <c r="D99" s="4"/>
      <c r="E99" s="62"/>
      <c r="F99" s="63"/>
      <c r="G99" s="84"/>
      <c r="H99" s="82"/>
      <c r="I99" s="82"/>
      <c r="J99" s="82"/>
      <c r="K99" s="327"/>
    </row>
    <row r="100" spans="1:11" ht="16.5" customHeight="1" thickBot="1" x14ac:dyDescent="0.3">
      <c r="A100" s="61">
        <f>+A98+1</f>
        <v>58</v>
      </c>
      <c r="B100" s="86" t="s">
        <v>83</v>
      </c>
      <c r="C100" s="86"/>
      <c r="D100" s="86"/>
      <c r="E100" s="132"/>
      <c r="F100" s="196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G100" s="389"/>
      <c r="H100" s="121">
        <v>-210020104.95095354</v>
      </c>
      <c r="I100" s="121">
        <v>-210508758.97071892</v>
      </c>
      <c r="J100" s="121">
        <f t="shared" ref="J100:J158" si="8">H100-I100</f>
        <v>488654.01976537704</v>
      </c>
      <c r="K100" s="397">
        <f t="shared" ref="K100:K158" si="9">(H100-I100)/I100</f>
        <v>-2.3213001784564567E-3</v>
      </c>
    </row>
    <row r="101" spans="1:11" ht="16.5" customHeight="1" thickTop="1" x14ac:dyDescent="0.25">
      <c r="A101" s="61"/>
      <c r="B101" s="4"/>
      <c r="C101" s="4"/>
      <c r="D101" s="4"/>
      <c r="E101" s="62"/>
      <c r="F101" s="63"/>
      <c r="G101" s="84"/>
      <c r="H101" s="82"/>
      <c r="I101" s="82"/>
      <c r="J101" s="82"/>
      <c r="K101" s="327"/>
    </row>
    <row r="102" spans="1:11" ht="16.5" customHeight="1" thickBot="1" x14ac:dyDescent="0.3">
      <c r="A102" s="39">
        <f>+A100+1</f>
        <v>59</v>
      </c>
      <c r="B102" s="86" t="s">
        <v>84</v>
      </c>
      <c r="C102" s="86"/>
      <c r="D102" s="86"/>
      <c r="E102" s="132"/>
      <c r="F102" s="92" t="str">
        <f>"(Line "&amp;A61&amp;" + "&amp;A100&amp;")"</f>
        <v>(Line 37 + 58)</v>
      </c>
      <c r="G102" s="198"/>
      <c r="H102" s="121">
        <v>1178056555.6070685</v>
      </c>
      <c r="I102" s="121">
        <v>979646309.26803303</v>
      </c>
      <c r="J102" s="121">
        <f t="shared" si="8"/>
        <v>198410246.33903551</v>
      </c>
      <c r="K102" s="397">
        <f t="shared" si="9"/>
        <v>0.20253253083480979</v>
      </c>
    </row>
    <row r="103" spans="1:11" ht="16.5" customHeight="1" thickTop="1" thickBot="1" x14ac:dyDescent="0.3">
      <c r="A103" s="200"/>
      <c r="B103" s="201"/>
      <c r="C103" s="201"/>
      <c r="D103" s="201"/>
      <c r="E103" s="202"/>
      <c r="F103" s="203"/>
      <c r="G103" s="390"/>
      <c r="H103" s="419">
        <v>0.9488248377339904</v>
      </c>
      <c r="I103" s="419">
        <v>0.93555929924082371</v>
      </c>
      <c r="J103" s="327">
        <f>H103-I103</f>
        <v>1.3265538493166695E-2</v>
      </c>
      <c r="K103" s="327">
        <f t="shared" si="9"/>
        <v>1.4179259939943147E-2</v>
      </c>
    </row>
    <row r="104" spans="1:11" s="5" customFormat="1" ht="15.75" customHeight="1" thickBot="1" x14ac:dyDescent="0.3">
      <c r="A104" s="95" t="s">
        <v>85</v>
      </c>
      <c r="B104" s="17"/>
      <c r="C104" s="205"/>
      <c r="D104" s="18"/>
      <c r="E104" s="19"/>
      <c r="F104" s="96"/>
      <c r="G104" s="41"/>
      <c r="H104" s="82"/>
      <c r="I104" s="82"/>
      <c r="J104" s="82"/>
      <c r="K104" s="82"/>
    </row>
    <row r="105" spans="1:11" s="5" customFormat="1" ht="15.75" customHeight="1" x14ac:dyDescent="0.25">
      <c r="A105" s="206"/>
      <c r="B105" s="25"/>
      <c r="C105" s="25"/>
      <c r="D105" s="25"/>
      <c r="E105" s="26"/>
      <c r="F105" s="27"/>
      <c r="G105" s="28"/>
      <c r="H105" s="31"/>
      <c r="I105" s="31"/>
      <c r="J105" s="82"/>
      <c r="K105" s="327"/>
    </row>
    <row r="106" spans="1:11" ht="15.75" customHeight="1" x14ac:dyDescent="0.25">
      <c r="A106" s="39"/>
      <c r="B106" s="33" t="s">
        <v>86</v>
      </c>
      <c r="C106" s="34"/>
      <c r="D106" s="207"/>
      <c r="E106" s="35"/>
      <c r="F106" s="63"/>
      <c r="G106" s="84"/>
      <c r="H106" s="82"/>
      <c r="I106" s="82"/>
      <c r="J106" s="82"/>
      <c r="K106" s="327"/>
    </row>
    <row r="107" spans="1:11" ht="15.75" customHeight="1" x14ac:dyDescent="0.25">
      <c r="A107" s="65">
        <f>+A102+1</f>
        <v>60</v>
      </c>
      <c r="B107" s="40"/>
      <c r="C107" s="91" t="s">
        <v>86</v>
      </c>
      <c r="D107" s="57"/>
      <c r="E107" s="43"/>
      <c r="F107" s="73" t="s">
        <v>87</v>
      </c>
      <c r="G107" s="84"/>
      <c r="H107" s="82">
        <v>180792167.40000001</v>
      </c>
      <c r="I107" s="82">
        <v>181536113</v>
      </c>
      <c r="J107" s="82">
        <f t="shared" si="8"/>
        <v>-743945.59999999404</v>
      </c>
      <c r="K107" s="327">
        <f t="shared" si="9"/>
        <v>-4.0980584397551471E-3</v>
      </c>
    </row>
    <row r="108" spans="1:11" ht="15.75" customHeight="1" x14ac:dyDescent="0.25">
      <c r="A108" s="65">
        <f>+A107+1</f>
        <v>61</v>
      </c>
      <c r="B108" s="102"/>
      <c r="C108" s="91" t="s">
        <v>88</v>
      </c>
      <c r="D108" s="57"/>
      <c r="E108" s="43"/>
      <c r="F108" s="73" t="s">
        <v>89</v>
      </c>
      <c r="G108" s="84"/>
      <c r="H108" s="82">
        <v>0</v>
      </c>
      <c r="I108" s="82">
        <v>0</v>
      </c>
      <c r="J108" s="82"/>
      <c r="K108" s="327"/>
    </row>
    <row r="109" spans="1:11" x14ac:dyDescent="0.25">
      <c r="A109" s="65">
        <f>+A108+1</f>
        <v>62</v>
      </c>
      <c r="B109" s="102"/>
      <c r="C109" s="91" t="s">
        <v>90</v>
      </c>
      <c r="D109" s="57"/>
      <c r="E109" s="43"/>
      <c r="F109" s="73" t="s">
        <v>91</v>
      </c>
      <c r="G109" s="84"/>
      <c r="H109" s="82">
        <v>7880467.7978835898</v>
      </c>
      <c r="I109" s="82">
        <v>6663434.6658244291</v>
      </c>
      <c r="J109" s="82">
        <f t="shared" si="8"/>
        <v>1217033.1320591606</v>
      </c>
      <c r="K109" s="327">
        <f t="shared" si="9"/>
        <v>0.18264351540821838</v>
      </c>
    </row>
    <row r="110" spans="1:11" ht="112.5" customHeight="1" x14ac:dyDescent="0.25">
      <c r="A110" s="65">
        <f>+A109+1</f>
        <v>63</v>
      </c>
      <c r="B110" s="40"/>
      <c r="C110" s="91" t="s">
        <v>92</v>
      </c>
      <c r="D110" s="34"/>
      <c r="E110" s="208" t="s">
        <v>93</v>
      </c>
      <c r="F110" s="83" t="s">
        <v>22</v>
      </c>
      <c r="G110" s="158"/>
      <c r="H110" s="109">
        <v>156192725</v>
      </c>
      <c r="I110" s="109">
        <v>156024965</v>
      </c>
      <c r="J110" s="109">
        <f t="shared" si="8"/>
        <v>167760</v>
      </c>
      <c r="K110" s="369">
        <f t="shared" si="9"/>
        <v>1.0752125469151684E-3</v>
      </c>
    </row>
    <row r="111" spans="1:11" ht="15.75" customHeight="1" x14ac:dyDescent="0.25">
      <c r="A111" s="65">
        <f>+A110+1</f>
        <v>64</v>
      </c>
      <c r="B111" s="57"/>
      <c r="C111" s="117" t="s">
        <v>86</v>
      </c>
      <c r="D111" s="112"/>
      <c r="E111" s="113"/>
      <c r="F111" s="73" t="str">
        <f>"(Line "&amp;A107&amp;" - "&amp;A110&amp;")"</f>
        <v>(Line 60 - 63)</v>
      </c>
      <c r="G111" s="84"/>
      <c r="H111" s="75">
        <v>16718974.602116417</v>
      </c>
      <c r="I111" s="75">
        <v>18847713.334175572</v>
      </c>
      <c r="J111" s="82">
        <f t="shared" si="8"/>
        <v>-2128738.7320591547</v>
      </c>
      <c r="K111" s="327">
        <f t="shared" si="9"/>
        <v>-0.11294413780154562</v>
      </c>
    </row>
    <row r="112" spans="1:11" ht="15.75" customHeight="1" x14ac:dyDescent="0.25">
      <c r="A112" s="65"/>
      <c r="B112" s="102"/>
      <c r="C112" s="33"/>
      <c r="D112" s="57"/>
      <c r="E112" s="58"/>
      <c r="F112" s="209"/>
      <c r="G112" s="84"/>
      <c r="H112" s="82"/>
      <c r="I112" s="82"/>
      <c r="J112" s="82"/>
      <c r="K112" s="327"/>
    </row>
    <row r="113" spans="1:11" ht="15.75" customHeight="1" x14ac:dyDescent="0.25">
      <c r="A113" s="65"/>
      <c r="B113" s="33" t="s">
        <v>94</v>
      </c>
      <c r="C113" s="57"/>
      <c r="D113" s="57"/>
      <c r="E113" s="58"/>
      <c r="F113" s="209"/>
      <c r="G113" s="84"/>
      <c r="H113" s="82"/>
      <c r="I113" s="82"/>
      <c r="J113" s="82"/>
      <c r="K113" s="327"/>
    </row>
    <row r="114" spans="1:11" ht="15.75" customHeight="1" x14ac:dyDescent="0.25">
      <c r="A114" s="65">
        <f>+A111+1</f>
        <v>65</v>
      </c>
      <c r="B114" s="102"/>
      <c r="C114" s="91" t="s">
        <v>95</v>
      </c>
      <c r="D114" s="57"/>
      <c r="E114" s="43"/>
      <c r="F114" s="73" t="s">
        <v>96</v>
      </c>
      <c r="G114" s="84"/>
      <c r="H114" s="82">
        <v>180473521</v>
      </c>
      <c r="I114" s="82">
        <v>172081054</v>
      </c>
      <c r="J114" s="82">
        <f t="shared" si="8"/>
        <v>8392467</v>
      </c>
      <c r="K114" s="327">
        <f t="shared" si="9"/>
        <v>4.8770430009104894E-2</v>
      </c>
    </row>
    <row r="115" spans="1:11" ht="15.75" customHeight="1" x14ac:dyDescent="0.25">
      <c r="A115" s="65">
        <f>+A114+1</f>
        <v>66</v>
      </c>
      <c r="B115" s="102"/>
      <c r="C115" s="91" t="s">
        <v>97</v>
      </c>
      <c r="D115" s="57"/>
      <c r="E115" s="43"/>
      <c r="F115" s="73" t="s">
        <v>22</v>
      </c>
      <c r="G115" s="84"/>
      <c r="H115" s="82">
        <v>121636</v>
      </c>
      <c r="I115" s="82">
        <v>136768.95000000001</v>
      </c>
      <c r="J115" s="82">
        <f t="shared" si="8"/>
        <v>-15132.950000000012</v>
      </c>
      <c r="K115" s="327">
        <f t="shared" si="9"/>
        <v>-0.11064609328359989</v>
      </c>
    </row>
    <row r="116" spans="1:11" ht="15.75" customHeight="1" x14ac:dyDescent="0.25">
      <c r="A116" s="65">
        <f>+A115+1</f>
        <v>67</v>
      </c>
      <c r="B116" s="102"/>
      <c r="C116" s="91" t="s">
        <v>98</v>
      </c>
      <c r="D116" s="122"/>
      <c r="E116" s="43"/>
      <c r="F116" s="210" t="s">
        <v>99</v>
      </c>
      <c r="G116" s="84"/>
      <c r="H116" s="82">
        <v>7076004</v>
      </c>
      <c r="I116" s="82">
        <v>6318020</v>
      </c>
      <c r="J116" s="82">
        <f t="shared" si="8"/>
        <v>757984</v>
      </c>
      <c r="K116" s="327">
        <f t="shared" si="9"/>
        <v>0.11997176330559257</v>
      </c>
    </row>
    <row r="117" spans="1:11" ht="15.75" customHeight="1" x14ac:dyDescent="0.25">
      <c r="A117" s="65">
        <f t="shared" ref="A117:A122" si="10">+A116+1</f>
        <v>68</v>
      </c>
      <c r="B117" s="102"/>
      <c r="C117" s="91" t="s">
        <v>100</v>
      </c>
      <c r="D117" s="122"/>
      <c r="E117" s="103" t="e">
        <f>"(Note "&amp;#REF!&amp;")"</f>
        <v>#REF!</v>
      </c>
      <c r="F117" s="210" t="s">
        <v>101</v>
      </c>
      <c r="G117" s="84"/>
      <c r="H117" s="82">
        <v>23108278</v>
      </c>
      <c r="I117" s="82">
        <v>16043545</v>
      </c>
      <c r="J117" s="82">
        <f t="shared" si="8"/>
        <v>7064733</v>
      </c>
      <c r="K117" s="327">
        <f t="shared" si="9"/>
        <v>0.4403473795847489</v>
      </c>
    </row>
    <row r="118" spans="1:11" ht="15.75" customHeight="1" x14ac:dyDescent="0.25">
      <c r="A118" s="65">
        <f t="shared" si="10"/>
        <v>69</v>
      </c>
      <c r="B118" s="102"/>
      <c r="C118" s="91" t="s">
        <v>102</v>
      </c>
      <c r="D118" s="122"/>
      <c r="E118" s="43"/>
      <c r="F118" s="210" t="s">
        <v>103</v>
      </c>
      <c r="G118" s="84"/>
      <c r="H118" s="82">
        <v>70412</v>
      </c>
      <c r="I118" s="82">
        <v>56129</v>
      </c>
      <c r="J118" s="82">
        <f t="shared" si="8"/>
        <v>14283</v>
      </c>
      <c r="K118" s="327">
        <f t="shared" si="9"/>
        <v>0.25446738762493543</v>
      </c>
    </row>
    <row r="119" spans="1:11" x14ac:dyDescent="0.25">
      <c r="A119" s="65">
        <f t="shared" si="10"/>
        <v>70</v>
      </c>
      <c r="B119" s="102"/>
      <c r="C119" s="91" t="s">
        <v>104</v>
      </c>
      <c r="D119" s="4"/>
      <c r="E119" s="103" t="e">
        <f>"(Note "&amp;#REF!&amp;")"</f>
        <v>#REF!</v>
      </c>
      <c r="F119" s="83" t="s">
        <v>105</v>
      </c>
      <c r="G119" s="158"/>
      <c r="H119" s="109"/>
      <c r="I119" s="109"/>
      <c r="J119" s="109"/>
      <c r="K119" s="369"/>
    </row>
    <row r="120" spans="1:11" ht="15.75" customHeight="1" x14ac:dyDescent="0.25">
      <c r="A120" s="65">
        <f t="shared" si="10"/>
        <v>71</v>
      </c>
      <c r="B120" s="102"/>
      <c r="C120" s="117" t="s">
        <v>106</v>
      </c>
      <c r="D120" s="112"/>
      <c r="E120" s="48"/>
      <c r="F120" s="36" t="str">
        <f>"(Line "&amp;A114&amp;") -  Sum ("&amp;A115&amp;" to "&amp;A119&amp;")"</f>
        <v>(Line 65) -  Sum (66 to 70)</v>
      </c>
      <c r="G120" s="84"/>
      <c r="H120" s="74">
        <v>150097191</v>
      </c>
      <c r="I120" s="74">
        <v>149526591.05000001</v>
      </c>
      <c r="J120" s="82">
        <f t="shared" si="8"/>
        <v>570599.94999998808</v>
      </c>
      <c r="K120" s="327">
        <f t="shared" si="9"/>
        <v>3.8160433270974918E-3</v>
      </c>
    </row>
    <row r="121" spans="1:11" ht="15.75" customHeight="1" x14ac:dyDescent="0.25">
      <c r="A121" s="65">
        <f t="shared" si="10"/>
        <v>72</v>
      </c>
      <c r="B121" s="102"/>
      <c r="C121" s="91" t="s">
        <v>41</v>
      </c>
      <c r="D121" s="125"/>
      <c r="E121" s="106"/>
      <c r="F121" s="212" t="str">
        <f>"(Line "&amp;A$13&amp;")"</f>
        <v>(Line 5)</v>
      </c>
      <c r="G121" s="158"/>
      <c r="H121" s="116">
        <v>0.10926820886382468</v>
      </c>
      <c r="I121" s="116">
        <v>0.10801595633021691</v>
      </c>
      <c r="J121" s="369">
        <f t="shared" si="8"/>
        <v>1.2522525336077783E-3</v>
      </c>
      <c r="K121" s="369">
        <f t="shared" si="9"/>
        <v>1.1593218040670785E-2</v>
      </c>
    </row>
    <row r="122" spans="1:11" ht="15.75" customHeight="1" x14ac:dyDescent="0.25">
      <c r="A122" s="65">
        <f t="shared" si="10"/>
        <v>73</v>
      </c>
      <c r="B122" s="102"/>
      <c r="C122" s="117" t="s">
        <v>107</v>
      </c>
      <c r="D122" s="57"/>
      <c r="E122" s="160"/>
      <c r="F122" s="73" t="str">
        <f>"(Line "&amp;A120&amp;" * "&amp;A121&amp;")"</f>
        <v>(Line 71 * 72)</v>
      </c>
      <c r="G122" s="84"/>
      <c r="H122" s="75">
        <v>16400851.216061387</v>
      </c>
      <c r="I122" s="75">
        <v>16151257.729063002</v>
      </c>
      <c r="J122" s="216">
        <f t="shared" si="8"/>
        <v>249593.48699838482</v>
      </c>
      <c r="K122" s="398">
        <f t="shared" si="9"/>
        <v>1.5453501590112061E-2</v>
      </c>
    </row>
    <row r="123" spans="1:11" ht="15.75" customHeight="1" x14ac:dyDescent="0.25">
      <c r="A123" s="65"/>
      <c r="B123" s="102"/>
      <c r="C123" s="33"/>
      <c r="D123" s="57"/>
      <c r="E123" s="58"/>
      <c r="F123" s="209"/>
      <c r="G123" s="84"/>
      <c r="H123" s="82"/>
      <c r="I123" s="82"/>
      <c r="J123" s="82"/>
      <c r="K123" s="327"/>
    </row>
    <row r="124" spans="1:11" ht="15.75" customHeight="1" x14ac:dyDescent="0.25">
      <c r="A124" s="65"/>
      <c r="B124" s="33" t="s">
        <v>108</v>
      </c>
      <c r="C124" s="41"/>
      <c r="D124" s="57"/>
      <c r="E124" s="58"/>
      <c r="F124" s="209"/>
      <c r="G124" s="84"/>
      <c r="H124" s="82"/>
      <c r="I124" s="82"/>
      <c r="J124" s="82"/>
      <c r="K124" s="327"/>
    </row>
    <row r="125" spans="1:11" x14ac:dyDescent="0.25">
      <c r="A125" s="65">
        <f>+A122+1</f>
        <v>74</v>
      </c>
      <c r="B125" s="151"/>
      <c r="C125" s="114" t="s">
        <v>109</v>
      </c>
      <c r="D125" s="103"/>
      <c r="E125" s="103" t="e">
        <f>"(Note "&amp;#REF!&amp;")"</f>
        <v>#REF!</v>
      </c>
      <c r="F125" s="171" t="s">
        <v>22</v>
      </c>
      <c r="G125" s="84"/>
      <c r="H125" s="82">
        <v>4497279.4621877484</v>
      </c>
      <c r="I125" s="82">
        <v>3434605.6776602552</v>
      </c>
      <c r="J125" s="82">
        <f t="shared" si="8"/>
        <v>1062673.7845274932</v>
      </c>
      <c r="K125" s="327">
        <f t="shared" si="9"/>
        <v>0.30940197631403638</v>
      </c>
    </row>
    <row r="126" spans="1:11" ht="15.75" customHeight="1" x14ac:dyDescent="0.25">
      <c r="A126" s="65">
        <f>+A125+1</f>
        <v>75</v>
      </c>
      <c r="B126" s="151"/>
      <c r="C126" s="155" t="s">
        <v>110</v>
      </c>
      <c r="D126" s="214"/>
      <c r="E126" s="68" t="e">
        <f>"(Note "&amp;#REF!&amp;")"</f>
        <v>#REF!</v>
      </c>
      <c r="F126" s="157" t="s">
        <v>22</v>
      </c>
      <c r="G126" s="158"/>
      <c r="H126" s="109">
        <v>0</v>
      </c>
      <c r="I126" s="109">
        <v>0</v>
      </c>
      <c r="J126" s="109"/>
      <c r="K126" s="369"/>
    </row>
    <row r="127" spans="1:11" ht="15.75" customHeight="1" x14ac:dyDescent="0.25">
      <c r="A127" s="65">
        <f>+A126+1</f>
        <v>76</v>
      </c>
      <c r="B127" s="151"/>
      <c r="C127" s="114" t="s">
        <v>111</v>
      </c>
      <c r="D127" s="215"/>
      <c r="E127" s="168"/>
      <c r="F127" s="73" t="str">
        <f>"(Line "&amp;A125&amp;" + "&amp;A126&amp;")"</f>
        <v>(Line 74 + 75)</v>
      </c>
      <c r="G127" s="84"/>
      <c r="H127" s="216">
        <v>4497279.4621877484</v>
      </c>
      <c r="I127" s="216">
        <v>3434605.6776602552</v>
      </c>
      <c r="J127" s="216">
        <f t="shared" si="8"/>
        <v>1062673.7845274932</v>
      </c>
      <c r="K127" s="398">
        <f t="shared" si="9"/>
        <v>0.30940197631403638</v>
      </c>
    </row>
    <row r="128" spans="1:11" ht="15.75" customHeight="1" x14ac:dyDescent="0.25">
      <c r="A128" s="65"/>
      <c r="B128" s="151"/>
      <c r="C128" s="114"/>
      <c r="D128" s="215"/>
      <c r="E128" s="168"/>
      <c r="F128" s="171"/>
      <c r="G128" s="84"/>
      <c r="H128" s="82"/>
      <c r="I128" s="82"/>
      <c r="J128" s="82"/>
      <c r="K128" s="327"/>
    </row>
    <row r="129" spans="1:11" ht="15.75" customHeight="1" x14ac:dyDescent="0.25">
      <c r="A129" s="65">
        <f>+A127+1</f>
        <v>77</v>
      </c>
      <c r="B129" s="151"/>
      <c r="C129" s="114" t="s">
        <v>112</v>
      </c>
      <c r="D129" s="215"/>
      <c r="E129" s="103" t="e">
        <f>"(Note "&amp;#REF!&amp;")"</f>
        <v>#REF!</v>
      </c>
      <c r="F129" s="123" t="str">
        <f>"(Line "&amp;A116&amp;")"</f>
        <v>(Line 67)</v>
      </c>
      <c r="G129" s="84"/>
      <c r="H129" s="82">
        <v>7076004</v>
      </c>
      <c r="I129" s="82">
        <v>6318020</v>
      </c>
      <c r="J129" s="82">
        <f t="shared" si="8"/>
        <v>757984</v>
      </c>
      <c r="K129" s="327">
        <f t="shared" si="9"/>
        <v>0.11997176330559257</v>
      </c>
    </row>
    <row r="130" spans="1:11" ht="16.5" customHeight="1" x14ac:dyDescent="0.25">
      <c r="A130" s="65">
        <f>+A129+1</f>
        <v>78</v>
      </c>
      <c r="B130" s="151"/>
      <c r="C130" s="114" t="s">
        <v>110</v>
      </c>
      <c r="D130" s="215"/>
      <c r="E130" s="103"/>
      <c r="F130" s="157" t="s">
        <v>22</v>
      </c>
      <c r="G130" s="158"/>
      <c r="H130" s="109">
        <v>0</v>
      </c>
      <c r="I130" s="109">
        <v>0</v>
      </c>
      <c r="J130" s="109"/>
      <c r="K130" s="369"/>
    </row>
    <row r="131" spans="1:11" ht="15.75" customHeight="1" x14ac:dyDescent="0.25">
      <c r="A131" s="65">
        <f>+A130+1</f>
        <v>79</v>
      </c>
      <c r="B131" s="151"/>
      <c r="C131" s="218" t="s">
        <v>18</v>
      </c>
      <c r="D131" s="219"/>
      <c r="E131" s="113"/>
      <c r="F131" s="73" t="str">
        <f>"(Line "&amp;A129&amp;" + "&amp;A130&amp;")"</f>
        <v>(Line 77 + 78)</v>
      </c>
      <c r="G131" s="84"/>
      <c r="H131" s="149">
        <v>7076004</v>
      </c>
      <c r="I131" s="149">
        <v>6318020</v>
      </c>
      <c r="J131" s="82">
        <f t="shared" si="8"/>
        <v>757984</v>
      </c>
      <c r="K131" s="327">
        <f t="shared" si="9"/>
        <v>0.11997176330559257</v>
      </c>
    </row>
    <row r="132" spans="1:11" ht="15.75" customHeight="1" x14ac:dyDescent="0.25">
      <c r="A132" s="65">
        <f>+A131+1</f>
        <v>80</v>
      </c>
      <c r="B132" s="102"/>
      <c r="C132" s="218" t="s">
        <v>113</v>
      </c>
      <c r="D132" s="124"/>
      <c r="E132" s="173"/>
      <c r="F132" s="83" t="str">
        <f>"(Line "&amp;A$26&amp;")"</f>
        <v>(Line 14)</v>
      </c>
      <c r="G132" s="158"/>
      <c r="H132" s="220">
        <v>0.21764846437236576</v>
      </c>
      <c r="I132" s="220">
        <v>0.20213185271297171</v>
      </c>
      <c r="J132" s="369">
        <f t="shared" si="8"/>
        <v>1.5516611659394053E-2</v>
      </c>
      <c r="K132" s="369">
        <f t="shared" si="9"/>
        <v>7.6764802039526764E-2</v>
      </c>
    </row>
    <row r="133" spans="1:11" ht="15.75" customHeight="1" x14ac:dyDescent="0.25">
      <c r="A133" s="65">
        <f>+A132+1</f>
        <v>81</v>
      </c>
      <c r="B133" s="102"/>
      <c r="C133" s="117" t="s">
        <v>114</v>
      </c>
      <c r="D133" s="112"/>
      <c r="E133" s="103" t="s">
        <v>115</v>
      </c>
      <c r="F133" s="73" t="str">
        <f>"(Line "&amp;A131&amp;" * "&amp;A132&amp;")"</f>
        <v>(Line 79 * 80)</v>
      </c>
      <c r="G133" s="84"/>
      <c r="H133" s="216">
        <v>1540081.4044927177</v>
      </c>
      <c r="I133" s="216">
        <v>1277073.0880776094</v>
      </c>
      <c r="J133" s="216">
        <f t="shared" si="8"/>
        <v>263008.31641510827</v>
      </c>
      <c r="K133" s="398">
        <f t="shared" si="9"/>
        <v>0.20594617400560625</v>
      </c>
    </row>
    <row r="134" spans="1:11" ht="15.75" customHeight="1" x14ac:dyDescent="0.25">
      <c r="A134" s="39"/>
      <c r="B134" s="40"/>
      <c r="C134" s="33"/>
      <c r="D134" s="57"/>
      <c r="E134" s="35"/>
      <c r="F134" s="59"/>
      <c r="G134" s="84"/>
      <c r="H134" s="82"/>
      <c r="I134" s="82"/>
      <c r="J134" s="82"/>
      <c r="K134" s="327"/>
    </row>
    <row r="135" spans="1:11" ht="16.5" customHeight="1" thickBot="1" x14ac:dyDescent="0.3">
      <c r="A135" s="39">
        <f>+A133+1</f>
        <v>82</v>
      </c>
      <c r="B135" s="40"/>
      <c r="C135" s="51" t="s">
        <v>116</v>
      </c>
      <c r="D135" s="52"/>
      <c r="E135" s="222"/>
      <c r="F135" s="198" t="str">
        <f>"(Line "&amp;A111&amp;" + "&amp;A122&amp;" + "&amp;A127&amp;" + "&amp;A133&amp;")"</f>
        <v>(Line 64 + 73 + 76 + 81)</v>
      </c>
      <c r="G135" s="198"/>
      <c r="H135" s="223">
        <v>39157186.684858277</v>
      </c>
      <c r="I135" s="223">
        <v>39710649.828976445</v>
      </c>
      <c r="J135" s="412">
        <f t="shared" si="8"/>
        <v>-553463.14411816746</v>
      </c>
      <c r="K135" s="397">
        <f t="shared" si="9"/>
        <v>-1.393739831762489E-2</v>
      </c>
    </row>
    <row r="136" spans="1:11" ht="16.5" customHeight="1" thickTop="1" thickBot="1" x14ac:dyDescent="0.3">
      <c r="A136" s="224"/>
      <c r="B136" s="225"/>
      <c r="C136" s="226"/>
      <c r="D136" s="227"/>
      <c r="E136" s="228"/>
      <c r="F136" s="229"/>
      <c r="G136" s="390"/>
      <c r="H136" s="420"/>
      <c r="I136" s="420"/>
      <c r="J136" s="82"/>
      <c r="K136" s="327"/>
    </row>
    <row r="137" spans="1:11" ht="15.75" customHeight="1" x14ac:dyDescent="0.25">
      <c r="A137" s="95" t="s">
        <v>117</v>
      </c>
      <c r="B137" s="17"/>
      <c r="C137" s="205"/>
      <c r="D137" s="18"/>
      <c r="E137" s="19"/>
      <c r="F137" s="96"/>
      <c r="G137" s="84"/>
      <c r="H137" s="82"/>
      <c r="I137" s="82"/>
      <c r="J137" s="82"/>
      <c r="K137" s="82"/>
    </row>
    <row r="138" spans="1:11" ht="15.75" customHeight="1" x14ac:dyDescent="0.25">
      <c r="A138" s="231"/>
      <c r="B138" s="40"/>
      <c r="C138" s="33"/>
      <c r="D138" s="57"/>
      <c r="E138" s="35"/>
      <c r="F138" s="59"/>
      <c r="G138" s="84"/>
      <c r="H138" s="82"/>
      <c r="I138" s="82"/>
      <c r="J138" s="82"/>
      <c r="K138" s="327"/>
    </row>
    <row r="139" spans="1:11" ht="15.75" customHeight="1" x14ac:dyDescent="0.25">
      <c r="A139" s="61"/>
      <c r="B139" s="232"/>
      <c r="C139" s="41"/>
      <c r="D139" s="57"/>
      <c r="E139" s="43"/>
      <c r="F139" s="233"/>
      <c r="G139" s="84"/>
      <c r="H139" s="82"/>
      <c r="I139" s="82"/>
      <c r="J139" s="82"/>
      <c r="K139" s="327"/>
    </row>
    <row r="140" spans="1:11" ht="15.75" customHeight="1" x14ac:dyDescent="0.25">
      <c r="A140" s="39">
        <f>+A135+1</f>
        <v>83</v>
      </c>
      <c r="B140" s="235"/>
      <c r="C140" s="155" t="s">
        <v>118</v>
      </c>
      <c r="D140" s="105"/>
      <c r="E140" s="173"/>
      <c r="F140" s="157" t="s">
        <v>119</v>
      </c>
      <c r="G140" s="108"/>
      <c r="H140" s="109">
        <v>39924067.439999983</v>
      </c>
      <c r="I140" s="109">
        <v>34175757</v>
      </c>
      <c r="J140" s="109">
        <f t="shared" si="8"/>
        <v>5748310.4399999827</v>
      </c>
      <c r="K140" s="369">
        <f t="shared" si="9"/>
        <v>0.16819848174833354</v>
      </c>
    </row>
    <row r="141" spans="1:11" ht="15.75" customHeight="1" x14ac:dyDescent="0.25">
      <c r="A141" s="39">
        <f>A140+1</f>
        <v>84</v>
      </c>
      <c r="B141" s="235"/>
      <c r="C141" s="33" t="s">
        <v>120</v>
      </c>
      <c r="D141" s="102"/>
      <c r="E141" s="41"/>
      <c r="F141" s="123" t="str">
        <f>"(Line "&amp;A140&amp;")"</f>
        <v>(Line 83)</v>
      </c>
      <c r="G141" s="84"/>
      <c r="H141" s="148">
        <v>39924067.439999983</v>
      </c>
      <c r="I141" s="148">
        <v>34175757</v>
      </c>
      <c r="J141" s="82">
        <f t="shared" si="8"/>
        <v>5748310.4399999827</v>
      </c>
      <c r="K141" s="327">
        <f t="shared" si="9"/>
        <v>0.16819848174833354</v>
      </c>
    </row>
    <row r="142" spans="1:11" ht="15.75" customHeight="1" x14ac:dyDescent="0.25">
      <c r="A142" s="39"/>
      <c r="B142" s="235"/>
      <c r="C142" s="114"/>
      <c r="D142" s="57"/>
      <c r="E142" s="102"/>
      <c r="F142" s="171"/>
      <c r="G142" s="84"/>
      <c r="H142" s="82"/>
      <c r="I142" s="82"/>
      <c r="J142" s="82"/>
      <c r="K142" s="327"/>
    </row>
    <row r="143" spans="1:11" ht="15.75" customHeight="1" x14ac:dyDescent="0.25">
      <c r="A143" s="39">
        <f>+A140+1</f>
        <v>84</v>
      </c>
      <c r="B143" s="235"/>
      <c r="C143" s="114" t="s">
        <v>121</v>
      </c>
      <c r="D143" s="57"/>
      <c r="E143" s="102"/>
      <c r="F143" s="171" t="s">
        <v>122</v>
      </c>
      <c r="G143" s="84"/>
      <c r="H143" s="82">
        <v>65198683</v>
      </c>
      <c r="I143" s="82">
        <v>62215323</v>
      </c>
      <c r="J143" s="82">
        <f t="shared" si="8"/>
        <v>2983360</v>
      </c>
      <c r="K143" s="327">
        <f t="shared" si="9"/>
        <v>4.7952174097046801E-2</v>
      </c>
    </row>
    <row r="144" spans="1:11" ht="15.75" customHeight="1" x14ac:dyDescent="0.25">
      <c r="A144" s="39">
        <f t="shared" ref="A144:A150" si="11">+A143+1</f>
        <v>85</v>
      </c>
      <c r="B144" s="235"/>
      <c r="C144" s="104" t="s">
        <v>37</v>
      </c>
      <c r="D144" s="105"/>
      <c r="E144" s="173"/>
      <c r="F144" s="157"/>
      <c r="G144" s="108"/>
      <c r="H144" s="423">
        <v>0.16615823137050936</v>
      </c>
      <c r="I144" s="423">
        <v>0.16615823137050936</v>
      </c>
      <c r="J144" s="109">
        <f t="shared" si="8"/>
        <v>0</v>
      </c>
      <c r="K144" s="369">
        <f t="shared" si="9"/>
        <v>0</v>
      </c>
    </row>
    <row r="145" spans="1:11" ht="15.75" customHeight="1" x14ac:dyDescent="0.2">
      <c r="A145" s="39">
        <f t="shared" si="11"/>
        <v>86</v>
      </c>
      <c r="B145" s="4"/>
      <c r="C145" s="91" t="s">
        <v>123</v>
      </c>
      <c r="D145" s="41"/>
      <c r="E145" s="41"/>
      <c r="F145" s="45"/>
      <c r="G145" s="41"/>
      <c r="H145" s="82">
        <v>10833297.854966495</v>
      </c>
      <c r="I145" s="82">
        <v>10337588.033824973</v>
      </c>
      <c r="J145" s="82">
        <f t="shared" si="8"/>
        <v>495709.82114152238</v>
      </c>
      <c r="K145" s="327">
        <f t="shared" si="9"/>
        <v>4.795217409704676E-2</v>
      </c>
    </row>
    <row r="146" spans="1:11" s="5" customFormat="1" ht="15.75" customHeight="1" x14ac:dyDescent="0.25">
      <c r="A146" s="39">
        <f t="shared" si="11"/>
        <v>87</v>
      </c>
      <c r="B146" s="235"/>
      <c r="C146" s="114" t="s">
        <v>124</v>
      </c>
      <c r="D146" s="57"/>
      <c r="E146" s="102"/>
      <c r="F146" s="171" t="s">
        <v>125</v>
      </c>
      <c r="G146" s="84"/>
      <c r="H146" s="82">
        <v>16559016</v>
      </c>
      <c r="I146" s="82">
        <v>15618734</v>
      </c>
      <c r="J146" s="82">
        <f t="shared" si="8"/>
        <v>940282</v>
      </c>
      <c r="K146" s="327">
        <f t="shared" si="9"/>
        <v>6.0202190523252395E-2</v>
      </c>
    </row>
    <row r="147" spans="1:11" x14ac:dyDescent="0.25">
      <c r="A147" s="39">
        <f t="shared" si="11"/>
        <v>88</v>
      </c>
      <c r="B147" s="235"/>
      <c r="C147" s="155" t="s">
        <v>126</v>
      </c>
      <c r="D147" s="105"/>
      <c r="E147" s="68" t="e">
        <f>"(Note "&amp;#REF!&amp;")"</f>
        <v>#REF!</v>
      </c>
      <c r="F147" s="157" t="s">
        <v>127</v>
      </c>
      <c r="G147" s="158"/>
      <c r="H147" s="109">
        <v>17192498</v>
      </c>
      <c r="I147" s="109">
        <v>11541190</v>
      </c>
      <c r="J147" s="109">
        <f t="shared" ref="J147" si="12">H147-I147</f>
        <v>5651308</v>
      </c>
      <c r="K147" s="369">
        <f>(H147-I147)/I147</f>
        <v>0.48966423739666359</v>
      </c>
    </row>
    <row r="148" spans="1:11" ht="15.75" customHeight="1" x14ac:dyDescent="0.25">
      <c r="A148" s="39">
        <f t="shared" si="11"/>
        <v>89</v>
      </c>
      <c r="B148" s="235"/>
      <c r="C148" s="114" t="s">
        <v>18</v>
      </c>
      <c r="D148" s="57"/>
      <c r="E148" s="102"/>
      <c r="F148" s="73" t="str">
        <f>"(Line "&amp;A146&amp;" + "&amp;A147&amp;")"</f>
        <v>(Line 87 + 88)</v>
      </c>
      <c r="G148" s="84"/>
      <c r="H148" s="82">
        <v>33751514</v>
      </c>
      <c r="I148" s="82">
        <v>27159924</v>
      </c>
      <c r="J148" s="82">
        <f>H148-I148</f>
        <v>6591590</v>
      </c>
      <c r="K148" s="327">
        <f t="shared" si="9"/>
        <v>0.24269545084146774</v>
      </c>
    </row>
    <row r="149" spans="1:11" ht="15.75" customHeight="1" x14ac:dyDescent="0.25">
      <c r="A149" s="39">
        <f t="shared" si="11"/>
        <v>90</v>
      </c>
      <c r="B149" s="235"/>
      <c r="C149" s="114" t="s">
        <v>41</v>
      </c>
      <c r="D149" s="125"/>
      <c r="E149" s="106"/>
      <c r="F149" s="212" t="str">
        <f>"(Line "&amp;A$13&amp;")"</f>
        <v>(Line 5)</v>
      </c>
      <c r="G149" s="158"/>
      <c r="H149" s="116">
        <v>0.10926820886382468</v>
      </c>
      <c r="I149" s="116">
        <v>0.10801595633021691</v>
      </c>
      <c r="J149" s="369">
        <f t="shared" si="8"/>
        <v>1.2522525336077783E-3</v>
      </c>
      <c r="K149" s="369">
        <f t="shared" si="9"/>
        <v>1.1593218040670785E-2</v>
      </c>
    </row>
    <row r="150" spans="1:11" ht="15.75" customHeight="1" x14ac:dyDescent="0.25">
      <c r="A150" s="65">
        <f t="shared" si="11"/>
        <v>91</v>
      </c>
      <c r="B150" s="235"/>
      <c r="C150" s="232" t="s">
        <v>128</v>
      </c>
      <c r="D150" s="57"/>
      <c r="E150" s="160"/>
      <c r="F150" s="36" t="str">
        <f>"(Line "&amp;A148&amp;" * "&amp;A149&amp;"+"&amp;A145&amp;")"</f>
        <v>(Line 89 * 90+86)</v>
      </c>
      <c r="G150" s="84"/>
      <c r="H150" s="148">
        <v>14521265.336188799</v>
      </c>
      <c r="I150" s="148">
        <v>13271293.198540982</v>
      </c>
      <c r="J150" s="216">
        <f t="shared" si="8"/>
        <v>1249972.1376478169</v>
      </c>
      <c r="K150" s="398">
        <f t="shared" si="9"/>
        <v>9.4186159475795186E-2</v>
      </c>
    </row>
    <row r="151" spans="1:11" ht="15.75" customHeight="1" x14ac:dyDescent="0.25">
      <c r="A151" s="239"/>
      <c r="B151" s="240"/>
      <c r="C151" s="114"/>
      <c r="D151" s="57"/>
      <c r="E151" s="102"/>
      <c r="F151" s="171"/>
      <c r="G151" s="84"/>
      <c r="H151" s="82"/>
      <c r="I151" s="82"/>
      <c r="J151" s="82"/>
      <c r="K151" s="327"/>
    </row>
    <row r="152" spans="1:11" s="8" customFormat="1" ht="16.5" customHeight="1" thickBot="1" x14ac:dyDescent="0.3">
      <c r="A152" s="65">
        <f>+A150+1</f>
        <v>92</v>
      </c>
      <c r="B152" s="241" t="s">
        <v>129</v>
      </c>
      <c r="C152" s="241"/>
      <c r="D152" s="242"/>
      <c r="E152" s="243"/>
      <c r="F152" s="198" t="str">
        <f>"(Line "&amp;A141&amp;" + "&amp;A150&amp;")"</f>
        <v>(Line 84 + 91)</v>
      </c>
      <c r="G152" s="198"/>
      <c r="H152" s="198">
        <v>54445332.776188783</v>
      </c>
      <c r="I152" s="198">
        <v>47447050.198540986</v>
      </c>
      <c r="J152" s="412">
        <f t="shared" si="8"/>
        <v>6998282.5776477978</v>
      </c>
      <c r="K152" s="397">
        <f t="shared" si="9"/>
        <v>0.14749668416400305</v>
      </c>
    </row>
    <row r="153" spans="1:11" ht="16.5" customHeight="1" thickTop="1" x14ac:dyDescent="0.25">
      <c r="A153" s="244"/>
      <c r="B153" s="34"/>
      <c r="C153" s="34"/>
      <c r="D153" s="34"/>
      <c r="E153" s="62"/>
      <c r="F153" s="63"/>
      <c r="G153" s="84"/>
      <c r="H153" s="82"/>
      <c r="I153" s="82"/>
      <c r="J153" s="82"/>
      <c r="K153" s="327"/>
    </row>
    <row r="154" spans="1:11" ht="16.5" customHeight="1" x14ac:dyDescent="0.25">
      <c r="A154" s="95" t="s">
        <v>130</v>
      </c>
      <c r="B154" s="17"/>
      <c r="C154" s="205"/>
      <c r="D154" s="18"/>
      <c r="E154" s="245"/>
      <c r="F154" s="96"/>
      <c r="G154" s="84"/>
      <c r="H154" s="82"/>
      <c r="I154" s="82"/>
      <c r="J154" s="82"/>
      <c r="K154" s="82"/>
    </row>
    <row r="155" spans="1:11" ht="15.75" customHeight="1" x14ac:dyDescent="0.25">
      <c r="A155" s="135"/>
      <c r="B155" s="40"/>
      <c r="C155" s="33"/>
      <c r="D155" s="57"/>
      <c r="E155" s="35"/>
      <c r="F155" s="59"/>
      <c r="G155" s="84"/>
      <c r="H155" s="82"/>
      <c r="I155" s="82"/>
      <c r="J155" s="82"/>
      <c r="K155" s="327"/>
    </row>
    <row r="156" spans="1:11" ht="15.75" customHeight="1" x14ac:dyDescent="0.25">
      <c r="A156" s="65">
        <f>+A152+1</f>
        <v>93</v>
      </c>
      <c r="B156" s="144" t="s">
        <v>131</v>
      </c>
      <c r="C156" s="154"/>
      <c r="D156" s="57"/>
      <c r="E156" s="208"/>
      <c r="F156" s="45" t="s">
        <v>132</v>
      </c>
      <c r="G156" s="246"/>
      <c r="H156" s="82">
        <v>6634431.2309272019</v>
      </c>
      <c r="I156" s="82">
        <v>8342600.9054017793</v>
      </c>
      <c r="J156" s="82">
        <f t="shared" si="8"/>
        <v>-1708169.6744745774</v>
      </c>
      <c r="K156" s="327">
        <f t="shared" si="9"/>
        <v>-0.20475265373998039</v>
      </c>
    </row>
    <row r="157" spans="1:11" ht="15.75" customHeight="1" x14ac:dyDescent="0.25">
      <c r="A157" s="101"/>
      <c r="B157" s="57"/>
      <c r="C157" s="34"/>
      <c r="D157" s="34"/>
      <c r="E157" s="40"/>
      <c r="F157" s="45"/>
      <c r="G157" s="84"/>
      <c r="H157" s="82"/>
      <c r="I157" s="82"/>
      <c r="J157" s="82"/>
      <c r="K157" s="327"/>
    </row>
    <row r="158" spans="1:11" ht="16.5" customHeight="1" thickBot="1" x14ac:dyDescent="0.3">
      <c r="A158" s="65">
        <f>+A156+1</f>
        <v>94</v>
      </c>
      <c r="B158" s="51" t="s">
        <v>133</v>
      </c>
      <c r="C158" s="51"/>
      <c r="D158" s="242"/>
      <c r="E158" s="132"/>
      <c r="F158" s="133" t="str">
        <f>"(Line "&amp;A156&amp;")"</f>
        <v>(Line 93)</v>
      </c>
      <c r="G158" s="389"/>
      <c r="H158" s="121">
        <v>6634431.2309272019</v>
      </c>
      <c r="I158" s="121">
        <v>8342600.9054017793</v>
      </c>
      <c r="J158" s="121">
        <f t="shared" si="8"/>
        <v>-1708169.6744745774</v>
      </c>
      <c r="K158" s="397">
        <f t="shared" si="9"/>
        <v>-0.20475265373998039</v>
      </c>
    </row>
    <row r="159" spans="1:11" ht="17.25" customHeight="1" thickTop="1" x14ac:dyDescent="0.25">
      <c r="A159" s="61"/>
      <c r="B159" s="34"/>
      <c r="C159" s="34"/>
      <c r="D159" s="34"/>
      <c r="E159" s="62"/>
      <c r="F159" s="63"/>
      <c r="G159" s="84"/>
      <c r="H159" s="82"/>
      <c r="I159" s="82"/>
      <c r="J159" s="82"/>
      <c r="K159" s="327"/>
    </row>
    <row r="160" spans="1:11" ht="15.75" customHeight="1" x14ac:dyDescent="0.25">
      <c r="A160" s="95" t="s">
        <v>134</v>
      </c>
      <c r="B160" s="17"/>
      <c r="C160" s="205"/>
      <c r="D160" s="18"/>
      <c r="E160" s="19"/>
      <c r="F160" s="96"/>
      <c r="G160" s="84"/>
      <c r="H160" s="82"/>
      <c r="I160" s="82"/>
      <c r="J160" s="82"/>
      <c r="K160" s="82"/>
    </row>
    <row r="161" spans="1:11" ht="15.75" customHeight="1" x14ac:dyDescent="0.25">
      <c r="A161" s="93"/>
      <c r="B161" s="40"/>
      <c r="C161" s="33"/>
      <c r="D161" s="57"/>
      <c r="E161" s="35"/>
      <c r="F161" s="59"/>
      <c r="G161" s="84"/>
      <c r="H161" s="82"/>
      <c r="I161" s="82"/>
      <c r="J161" s="82"/>
      <c r="K161" s="327"/>
    </row>
    <row r="162" spans="1:11" ht="15.75" customHeight="1" x14ac:dyDescent="0.25">
      <c r="A162" s="65"/>
      <c r="B162" s="247" t="s">
        <v>135</v>
      </c>
      <c r="C162" s="248"/>
      <c r="D162" s="249"/>
      <c r="E162" s="249"/>
      <c r="F162" s="250"/>
      <c r="G162" s="251"/>
      <c r="H162" s="426"/>
      <c r="I162" s="426"/>
      <c r="J162" s="82"/>
      <c r="K162" s="327"/>
    </row>
    <row r="163" spans="1:11" ht="15.75" customHeight="1" x14ac:dyDescent="0.2">
      <c r="A163" s="65">
        <f>+A158+1</f>
        <v>95</v>
      </c>
      <c r="B163" s="251"/>
      <c r="C163" s="251" t="s">
        <v>136</v>
      </c>
      <c r="D163" s="251" t="s">
        <v>137</v>
      </c>
      <c r="E163" s="253"/>
      <c r="F163" s="254"/>
      <c r="G163" s="251"/>
      <c r="H163" s="82">
        <v>5663090769.2307692</v>
      </c>
      <c r="I163" s="82">
        <v>5070013846.1538458</v>
      </c>
      <c r="J163" s="82">
        <f t="shared" ref="J163:J217" si="13">H163-I163</f>
        <v>593076923.07692337</v>
      </c>
      <c r="K163" s="327">
        <f t="shared" ref="K163:K217" si="14">(H163-I163)/I163</f>
        <v>0.11697737739450878</v>
      </c>
    </row>
    <row r="164" spans="1:11" ht="15.75" customHeight="1" x14ac:dyDescent="0.2">
      <c r="A164" s="65">
        <f>+A163+1</f>
        <v>96</v>
      </c>
      <c r="B164" s="251"/>
      <c r="C164" s="251" t="s">
        <v>138</v>
      </c>
      <c r="D164" s="251" t="s">
        <v>137</v>
      </c>
      <c r="E164" s="253"/>
      <c r="F164" s="254"/>
      <c r="G164" s="251"/>
      <c r="H164" s="82">
        <v>0</v>
      </c>
      <c r="I164" s="82">
        <v>0</v>
      </c>
      <c r="J164" s="82"/>
      <c r="K164" s="327"/>
    </row>
    <row r="165" spans="1:11" ht="15.75" customHeight="1" x14ac:dyDescent="0.2">
      <c r="A165" s="65">
        <f t="shared" ref="A165:A201" si="15">+A164+1</f>
        <v>97</v>
      </c>
      <c r="B165" s="251"/>
      <c r="C165" s="251" t="s">
        <v>139</v>
      </c>
      <c r="D165" s="251" t="s">
        <v>137</v>
      </c>
      <c r="E165" s="253"/>
      <c r="F165" s="254"/>
      <c r="G165" s="251"/>
      <c r="H165" s="82">
        <v>0</v>
      </c>
      <c r="I165" s="82">
        <v>0</v>
      </c>
      <c r="J165" s="82"/>
      <c r="K165" s="327"/>
    </row>
    <row r="166" spans="1:11" ht="15.75" customHeight="1" x14ac:dyDescent="0.2">
      <c r="A166" s="65">
        <f t="shared" si="15"/>
        <v>98</v>
      </c>
      <c r="B166" s="251"/>
      <c r="C166" s="256" t="s">
        <v>140</v>
      </c>
      <c r="D166" s="256" t="s">
        <v>137</v>
      </c>
      <c r="E166" s="257"/>
      <c r="F166" s="258"/>
      <c r="G166" s="259"/>
      <c r="H166" s="109">
        <v>0</v>
      </c>
      <c r="I166" s="109">
        <v>0</v>
      </c>
      <c r="J166" s="109"/>
      <c r="K166" s="369"/>
    </row>
    <row r="167" spans="1:11" ht="15.75" customHeight="1" x14ac:dyDescent="0.2">
      <c r="A167" s="65">
        <f t="shared" si="15"/>
        <v>99</v>
      </c>
      <c r="B167" s="251"/>
      <c r="C167" s="251" t="s">
        <v>141</v>
      </c>
      <c r="D167" s="251" t="str">
        <f>"(Sum Ln "&amp;A163&amp;" through "&amp;A166&amp;""</f>
        <v>(Sum Ln 95 through 98</v>
      </c>
      <c r="E167" s="253"/>
      <c r="F167" s="254"/>
      <c r="G167" s="251"/>
      <c r="H167" s="82">
        <v>5663090769.2307692</v>
      </c>
      <c r="I167" s="82">
        <v>5070013846.1538458</v>
      </c>
      <c r="J167" s="82">
        <f t="shared" si="13"/>
        <v>593076923.07692337</v>
      </c>
      <c r="K167" s="327">
        <f t="shared" si="14"/>
        <v>0.11697737739450878</v>
      </c>
    </row>
    <row r="168" spans="1:11" ht="15.75" customHeight="1" x14ac:dyDescent="0.2">
      <c r="A168" s="65"/>
      <c r="B168" s="251"/>
      <c r="C168" s="251"/>
      <c r="D168" s="251"/>
      <c r="E168" s="253"/>
      <c r="F168" s="254"/>
      <c r="G168" s="251"/>
      <c r="H168" s="82"/>
      <c r="I168" s="82"/>
      <c r="J168" s="82"/>
      <c r="K168" s="327"/>
    </row>
    <row r="169" spans="1:11" ht="15.75" customHeight="1" x14ac:dyDescent="0.2">
      <c r="A169" s="65">
        <f>+A167+1</f>
        <v>100</v>
      </c>
      <c r="B169" s="251"/>
      <c r="C169" s="251" t="s">
        <v>142</v>
      </c>
      <c r="D169" s="251" t="s">
        <v>137</v>
      </c>
      <c r="E169" s="253"/>
      <c r="F169" s="254" t="s">
        <v>143</v>
      </c>
      <c r="G169" s="251"/>
      <c r="H169" s="82">
        <v>-21439197.076923076</v>
      </c>
      <c r="I169" s="82">
        <v>-17567751.48153846</v>
      </c>
      <c r="J169" s="82">
        <f t="shared" si="13"/>
        <v>-3871445.5953846164</v>
      </c>
      <c r="K169" s="327">
        <f t="shared" si="14"/>
        <v>0.22037228836331321</v>
      </c>
    </row>
    <row r="170" spans="1:11" ht="15.75" customHeight="1" x14ac:dyDescent="0.2">
      <c r="A170" s="65">
        <f t="shared" si="15"/>
        <v>101</v>
      </c>
      <c r="B170" s="251"/>
      <c r="C170" s="251" t="s">
        <v>144</v>
      </c>
      <c r="D170" s="251" t="s">
        <v>137</v>
      </c>
      <c r="E170" s="253"/>
      <c r="F170" s="254" t="s">
        <v>143</v>
      </c>
      <c r="G170" s="251"/>
      <c r="H170" s="82">
        <v>-23536766.846153848</v>
      </c>
      <c r="I170" s="82">
        <v>-23908641.103846155</v>
      </c>
      <c r="J170" s="82">
        <f t="shared" si="13"/>
        <v>371874.25769230723</v>
      </c>
      <c r="K170" s="327">
        <f t="shared" si="14"/>
        <v>-1.5553968796348039E-2</v>
      </c>
    </row>
    <row r="171" spans="1:11" ht="15.75" customHeight="1" x14ac:dyDescent="0.2">
      <c r="A171" s="65">
        <f t="shared" si="15"/>
        <v>102</v>
      </c>
      <c r="B171" s="251"/>
      <c r="C171" s="251" t="s">
        <v>145</v>
      </c>
      <c r="D171" s="251" t="s">
        <v>137</v>
      </c>
      <c r="E171" s="253"/>
      <c r="F171" s="254" t="s">
        <v>143</v>
      </c>
      <c r="G171" s="260"/>
      <c r="H171" s="82">
        <v>-30646987.384615384</v>
      </c>
      <c r="I171" s="82">
        <v>-32677380.176153842</v>
      </c>
      <c r="J171" s="82">
        <f t="shared" si="13"/>
        <v>2030392.7915384583</v>
      </c>
      <c r="K171" s="327">
        <f t="shared" si="14"/>
        <v>-6.213450345753628E-2</v>
      </c>
    </row>
    <row r="172" spans="1:11" ht="15.75" customHeight="1" x14ac:dyDescent="0.2">
      <c r="A172" s="65">
        <f t="shared" si="15"/>
        <v>103</v>
      </c>
      <c r="B172" s="251"/>
      <c r="C172" s="251" t="s">
        <v>146</v>
      </c>
      <c r="D172" s="251" t="s">
        <v>137</v>
      </c>
      <c r="E172" s="253"/>
      <c r="F172" s="254" t="s">
        <v>143</v>
      </c>
      <c r="G172" s="260"/>
      <c r="H172" s="82">
        <v>0</v>
      </c>
      <c r="I172" s="82">
        <v>0</v>
      </c>
      <c r="J172" s="82"/>
      <c r="K172" s="327"/>
    </row>
    <row r="173" spans="1:11" ht="15.75" customHeight="1" x14ac:dyDescent="0.2">
      <c r="A173" s="65">
        <f t="shared" si="15"/>
        <v>104</v>
      </c>
      <c r="B173" s="251"/>
      <c r="C173" s="256" t="s">
        <v>147</v>
      </c>
      <c r="D173" s="256" t="s">
        <v>137</v>
      </c>
      <c r="E173" s="257"/>
      <c r="F173" s="258" t="s">
        <v>143</v>
      </c>
      <c r="G173" s="261"/>
      <c r="H173" s="109">
        <v>0</v>
      </c>
      <c r="I173" s="109">
        <v>0</v>
      </c>
      <c r="J173" s="109"/>
      <c r="K173" s="369"/>
    </row>
    <row r="174" spans="1:11" ht="15.75" customHeight="1" x14ac:dyDescent="0.2">
      <c r="A174" s="65">
        <f t="shared" si="15"/>
        <v>105</v>
      </c>
      <c r="B174" s="251"/>
      <c r="C174" s="251" t="s">
        <v>148</v>
      </c>
      <c r="D174" s="251" t="str">
        <f>"(Sum Ln "&amp;A169&amp;" through "&amp;A173&amp;""</f>
        <v>(Sum Ln 100 through 104</v>
      </c>
      <c r="E174" s="253"/>
      <c r="F174" s="254"/>
      <c r="G174" s="260"/>
      <c r="H174" s="82">
        <v>5587467817.9230766</v>
      </c>
      <c r="I174" s="82">
        <v>4995860073.3923063</v>
      </c>
      <c r="J174" s="82">
        <f t="shared" si="13"/>
        <v>591607744.5307703</v>
      </c>
      <c r="K174" s="327">
        <f t="shared" si="14"/>
        <v>0.1184195985955737</v>
      </c>
    </row>
    <row r="175" spans="1:11" ht="15.75" customHeight="1" x14ac:dyDescent="0.2">
      <c r="A175" s="65"/>
      <c r="B175" s="251"/>
      <c r="C175" s="251"/>
      <c r="D175" s="251"/>
      <c r="E175" s="253"/>
      <c r="F175" s="254"/>
      <c r="G175" s="260"/>
      <c r="H175" s="82"/>
      <c r="I175" s="82"/>
      <c r="J175" s="82"/>
      <c r="K175" s="327"/>
    </row>
    <row r="176" spans="1:11" ht="15.75" customHeight="1" x14ac:dyDescent="0.25">
      <c r="A176" s="65"/>
      <c r="B176" s="247" t="s">
        <v>149</v>
      </c>
      <c r="C176" s="251"/>
      <c r="D176" s="251"/>
      <c r="E176" s="253"/>
      <c r="F176" s="254"/>
      <c r="G176" s="251"/>
      <c r="H176" s="82"/>
      <c r="I176" s="82"/>
      <c r="J176" s="82"/>
      <c r="K176" s="327"/>
    </row>
    <row r="177" spans="1:11" ht="15.75" customHeight="1" x14ac:dyDescent="0.2">
      <c r="A177" s="65">
        <f>+A174+1</f>
        <v>106</v>
      </c>
      <c r="B177" s="251"/>
      <c r="C177" s="251" t="s">
        <v>150</v>
      </c>
      <c r="D177" s="251" t="s">
        <v>137</v>
      </c>
      <c r="E177" s="253"/>
      <c r="F177" s="254" t="s">
        <v>143</v>
      </c>
      <c r="G177" s="251"/>
      <c r="H177" s="82">
        <v>285985469</v>
      </c>
      <c r="I177" s="82">
        <v>253214629</v>
      </c>
      <c r="J177" s="82">
        <f t="shared" si="13"/>
        <v>32770840</v>
      </c>
      <c r="K177" s="327">
        <f t="shared" si="14"/>
        <v>0.12941922087763735</v>
      </c>
    </row>
    <row r="178" spans="1:11" ht="15.75" customHeight="1" x14ac:dyDescent="0.2">
      <c r="A178" s="65">
        <f t="shared" si="15"/>
        <v>107</v>
      </c>
      <c r="B178" s="251"/>
      <c r="C178" s="251" t="s">
        <v>151</v>
      </c>
      <c r="D178" s="251" t="s">
        <v>137</v>
      </c>
      <c r="E178" s="253"/>
      <c r="F178" s="254" t="s">
        <v>143</v>
      </c>
      <c r="G178" s="251"/>
      <c r="H178" s="82">
        <v>3006234</v>
      </c>
      <c r="I178" s="82">
        <v>2648196</v>
      </c>
      <c r="J178" s="82">
        <f t="shared" si="13"/>
        <v>358038</v>
      </c>
      <c r="K178" s="327">
        <f t="shared" si="14"/>
        <v>0.1352007177716453</v>
      </c>
    </row>
    <row r="179" spans="1:11" ht="15.75" customHeight="1" x14ac:dyDescent="0.2">
      <c r="A179" s="65">
        <f>+A178+1</f>
        <v>108</v>
      </c>
      <c r="B179" s="251"/>
      <c r="C179" s="251" t="s">
        <v>152</v>
      </c>
      <c r="D179" s="251" t="s">
        <v>137</v>
      </c>
      <c r="E179" s="253"/>
      <c r="F179" s="254" t="s">
        <v>143</v>
      </c>
      <c r="G179" s="251"/>
      <c r="H179" s="82">
        <v>1945126</v>
      </c>
      <c r="I179" s="82">
        <v>2106146</v>
      </c>
      <c r="J179" s="82">
        <f t="shared" si="13"/>
        <v>-161020</v>
      </c>
      <c r="K179" s="327">
        <f t="shared" si="14"/>
        <v>-7.6452439669424624E-2</v>
      </c>
    </row>
    <row r="180" spans="1:11" ht="15.75" customHeight="1" x14ac:dyDescent="0.2">
      <c r="A180" s="65">
        <f t="shared" si="15"/>
        <v>109</v>
      </c>
      <c r="B180" s="251"/>
      <c r="C180" s="251" t="s">
        <v>153</v>
      </c>
      <c r="D180" s="251" t="s">
        <v>137</v>
      </c>
      <c r="E180" s="253"/>
      <c r="F180" s="254" t="s">
        <v>143</v>
      </c>
      <c r="G180" s="251"/>
      <c r="H180" s="82">
        <v>0</v>
      </c>
      <c r="I180" s="82">
        <v>0</v>
      </c>
      <c r="J180" s="82"/>
      <c r="K180" s="327"/>
    </row>
    <row r="181" spans="1:11" ht="15.75" customHeight="1" x14ac:dyDescent="0.2">
      <c r="A181" s="65">
        <f>+A180+1</f>
        <v>110</v>
      </c>
      <c r="B181" s="251"/>
      <c r="C181" s="251" t="s">
        <v>154</v>
      </c>
      <c r="D181" s="251" t="s">
        <v>137</v>
      </c>
      <c r="E181" s="253"/>
      <c r="F181" s="254" t="s">
        <v>155</v>
      </c>
      <c r="G181" s="251"/>
      <c r="H181" s="82">
        <v>0</v>
      </c>
      <c r="I181" s="82">
        <v>0</v>
      </c>
      <c r="J181" s="82"/>
      <c r="K181" s="327"/>
    </row>
    <row r="182" spans="1:11" ht="15.75" customHeight="1" x14ac:dyDescent="0.2">
      <c r="A182" s="65">
        <f>+A181+1</f>
        <v>111</v>
      </c>
      <c r="B182" s="251"/>
      <c r="C182" s="256" t="s">
        <v>156</v>
      </c>
      <c r="D182" s="256" t="s">
        <v>137</v>
      </c>
      <c r="E182" s="257"/>
      <c r="F182" s="258" t="s">
        <v>143</v>
      </c>
      <c r="G182" s="259"/>
      <c r="H182" s="109">
        <v>0</v>
      </c>
      <c r="I182" s="109">
        <v>0</v>
      </c>
      <c r="J182" s="109"/>
      <c r="K182" s="369"/>
    </row>
    <row r="183" spans="1:11" ht="15.75" customHeight="1" x14ac:dyDescent="0.2">
      <c r="A183" s="65">
        <f>+A182+1</f>
        <v>112</v>
      </c>
      <c r="B183" s="251"/>
      <c r="C183" s="251" t="s">
        <v>157</v>
      </c>
      <c r="D183" s="251" t="str">
        <f>"(Sum Ln "&amp;A177&amp;" through "&amp;A183&amp;""</f>
        <v>(Sum Ln 106 through 112</v>
      </c>
      <c r="E183" s="253"/>
      <c r="F183" s="254"/>
      <c r="G183" s="251"/>
      <c r="H183" s="82">
        <v>290936829</v>
      </c>
      <c r="I183" s="82">
        <v>257968971</v>
      </c>
      <c r="J183" s="82">
        <f t="shared" si="13"/>
        <v>32967858</v>
      </c>
      <c r="K183" s="327">
        <f t="shared" si="14"/>
        <v>0.12779776525914041</v>
      </c>
    </row>
    <row r="184" spans="1:11" ht="15.75" customHeight="1" x14ac:dyDescent="0.2">
      <c r="A184" s="65"/>
      <c r="B184" s="251"/>
      <c r="C184" s="251"/>
      <c r="D184" s="251"/>
      <c r="E184" s="253"/>
      <c r="F184" s="254"/>
      <c r="G184" s="251"/>
      <c r="H184" s="82"/>
      <c r="I184" s="82"/>
      <c r="J184" s="82"/>
      <c r="K184" s="327"/>
    </row>
    <row r="185" spans="1:11" ht="15.75" customHeight="1" x14ac:dyDescent="0.25">
      <c r="A185" s="65"/>
      <c r="B185" s="247" t="s">
        <v>158</v>
      </c>
      <c r="C185" s="248"/>
      <c r="D185" s="251"/>
      <c r="E185" s="253"/>
      <c r="F185" s="254"/>
      <c r="G185" s="251"/>
      <c r="H185" s="82"/>
      <c r="I185" s="82"/>
      <c r="J185" s="82"/>
      <c r="K185" s="327"/>
    </row>
    <row r="186" spans="1:11" ht="15.75" customHeight="1" x14ac:dyDescent="0.2">
      <c r="A186" s="65">
        <f>+A183+1</f>
        <v>113</v>
      </c>
      <c r="B186" s="251"/>
      <c r="C186" s="251" t="s">
        <v>159</v>
      </c>
      <c r="D186" s="251" t="s">
        <v>137</v>
      </c>
      <c r="E186" s="253"/>
      <c r="F186" s="254"/>
      <c r="G186" s="251"/>
      <c r="H186" s="82">
        <v>0</v>
      </c>
      <c r="I186" s="82">
        <v>0</v>
      </c>
      <c r="J186" s="82"/>
      <c r="K186" s="327"/>
    </row>
    <row r="187" spans="1:11" ht="15.75" customHeight="1" x14ac:dyDescent="0.2">
      <c r="A187" s="65">
        <f t="shared" si="15"/>
        <v>114</v>
      </c>
      <c r="B187" s="251"/>
      <c r="C187" s="251" t="s">
        <v>160</v>
      </c>
      <c r="D187" s="251" t="s">
        <v>137</v>
      </c>
      <c r="E187" s="253"/>
      <c r="F187" s="254"/>
      <c r="G187" s="251"/>
      <c r="H187" s="82">
        <v>0</v>
      </c>
      <c r="I187" s="82">
        <v>0</v>
      </c>
      <c r="J187" s="82"/>
      <c r="K187" s="327"/>
    </row>
    <row r="188" spans="1:11" ht="15.75" customHeight="1" x14ac:dyDescent="0.2">
      <c r="A188" s="65">
        <f t="shared" si="15"/>
        <v>115</v>
      </c>
      <c r="B188" s="251"/>
      <c r="C188" s="251" t="s">
        <v>161</v>
      </c>
      <c r="D188" s="251" t="s">
        <v>137</v>
      </c>
      <c r="E188" s="253"/>
      <c r="F188" s="254"/>
      <c r="G188" s="251"/>
      <c r="H188" s="82">
        <v>0</v>
      </c>
      <c r="I188" s="82">
        <v>0</v>
      </c>
      <c r="J188" s="82"/>
      <c r="K188" s="327"/>
    </row>
    <row r="189" spans="1:11" ht="15.75" customHeight="1" x14ac:dyDescent="0.2">
      <c r="A189" s="65">
        <f t="shared" si="15"/>
        <v>116</v>
      </c>
      <c r="B189" s="251"/>
      <c r="C189" s="251" t="s">
        <v>162</v>
      </c>
      <c r="D189" s="251" t="s">
        <v>137</v>
      </c>
      <c r="E189" s="253"/>
      <c r="F189" s="254"/>
      <c r="G189" s="251"/>
      <c r="H189" s="82">
        <v>0</v>
      </c>
      <c r="I189" s="82">
        <v>0</v>
      </c>
      <c r="J189" s="82"/>
      <c r="K189" s="327"/>
    </row>
    <row r="190" spans="1:11" ht="15.75" customHeight="1" x14ac:dyDescent="0.2">
      <c r="A190" s="65">
        <f t="shared" si="15"/>
        <v>117</v>
      </c>
      <c r="B190" s="251"/>
      <c r="C190" s="251" t="s">
        <v>163</v>
      </c>
      <c r="D190" s="251" t="s">
        <v>137</v>
      </c>
      <c r="E190" s="253"/>
      <c r="F190" s="254"/>
      <c r="G190" s="251"/>
      <c r="H190" s="82">
        <v>0</v>
      </c>
      <c r="I190" s="82">
        <v>0</v>
      </c>
      <c r="J190" s="82"/>
      <c r="K190" s="327"/>
    </row>
    <row r="191" spans="1:11" ht="15.75" customHeight="1" x14ac:dyDescent="0.2">
      <c r="A191" s="65">
        <f t="shared" si="15"/>
        <v>118</v>
      </c>
      <c r="B191" s="251"/>
      <c r="C191" s="256" t="s">
        <v>164</v>
      </c>
      <c r="D191" s="256" t="s">
        <v>137</v>
      </c>
      <c r="E191" s="257"/>
      <c r="F191" s="258"/>
      <c r="G191" s="259"/>
      <c r="H191" s="109">
        <v>0</v>
      </c>
      <c r="I191" s="109">
        <v>0</v>
      </c>
      <c r="J191" s="109"/>
      <c r="K191" s="369"/>
    </row>
    <row r="192" spans="1:11" ht="15.75" customHeight="1" x14ac:dyDescent="0.2">
      <c r="A192" s="65">
        <f t="shared" si="15"/>
        <v>119</v>
      </c>
      <c r="B192" s="251"/>
      <c r="C192" s="251" t="s">
        <v>165</v>
      </c>
      <c r="D192" s="251" t="str">
        <f>"(Sum Ln "&amp;A186&amp;" through "&amp;A191&amp;""</f>
        <v>(Sum Ln 113 through 118</v>
      </c>
      <c r="E192" s="251"/>
      <c r="F192" s="250"/>
      <c r="G192" s="251"/>
      <c r="H192" s="82">
        <v>0</v>
      </c>
      <c r="I192" s="82">
        <v>0</v>
      </c>
      <c r="J192" s="82"/>
      <c r="K192" s="327"/>
    </row>
    <row r="193" spans="1:11" ht="15.75" customHeight="1" x14ac:dyDescent="0.2">
      <c r="A193" s="65"/>
      <c r="B193" s="251"/>
      <c r="C193" s="251"/>
      <c r="D193" s="251"/>
      <c r="E193" s="251"/>
      <c r="F193" s="250"/>
      <c r="G193" s="251"/>
      <c r="H193" s="82"/>
      <c r="I193" s="82"/>
      <c r="J193" s="82"/>
      <c r="K193" s="327"/>
    </row>
    <row r="194" spans="1:11" ht="15.75" customHeight="1" x14ac:dyDescent="0.2">
      <c r="A194" s="65">
        <f>+A192+1</f>
        <v>120</v>
      </c>
      <c r="B194" s="251"/>
      <c r="C194" s="251" t="s">
        <v>166</v>
      </c>
      <c r="D194" s="251" t="s">
        <v>137</v>
      </c>
      <c r="E194" s="253"/>
      <c r="F194" s="254" t="s">
        <v>167</v>
      </c>
      <c r="G194" s="251"/>
      <c r="H194" s="82">
        <v>0</v>
      </c>
      <c r="I194" s="82">
        <v>0</v>
      </c>
      <c r="J194" s="82"/>
      <c r="K194" s="327"/>
    </row>
    <row r="195" spans="1:11" ht="15.75" customHeight="1" x14ac:dyDescent="0.2">
      <c r="A195" s="65"/>
      <c r="B195" s="251"/>
      <c r="C195" s="251"/>
      <c r="D195" s="251"/>
      <c r="E195" s="253"/>
      <c r="F195" s="254"/>
      <c r="G195" s="251"/>
      <c r="H195" s="82"/>
      <c r="I195" s="82"/>
      <c r="J195" s="82"/>
      <c r="K195" s="327"/>
    </row>
    <row r="196" spans="1:11" ht="15.75" customHeight="1" x14ac:dyDescent="0.25">
      <c r="A196" s="65"/>
      <c r="B196" s="247" t="s">
        <v>168</v>
      </c>
      <c r="C196" s="248"/>
      <c r="D196" s="251"/>
      <c r="E196" s="253"/>
      <c r="F196" s="254"/>
      <c r="G196" s="251"/>
      <c r="H196" s="82"/>
      <c r="I196" s="82"/>
      <c r="J196" s="82"/>
      <c r="K196" s="327"/>
    </row>
    <row r="197" spans="1:11" ht="15.75" customHeight="1" x14ac:dyDescent="0.2">
      <c r="A197" s="65">
        <f>+A194+1</f>
        <v>121</v>
      </c>
      <c r="B197" s="251"/>
      <c r="C197" s="251" t="s">
        <v>169</v>
      </c>
      <c r="D197" s="251" t="s">
        <v>137</v>
      </c>
      <c r="E197" s="253"/>
      <c r="F197" s="254"/>
      <c r="G197" s="251"/>
      <c r="H197" s="82">
        <v>5310010036.9230766</v>
      </c>
      <c r="I197" s="82">
        <v>4899404507.3269234</v>
      </c>
      <c r="J197" s="82">
        <f t="shared" si="13"/>
        <v>410605529.59615326</v>
      </c>
      <c r="K197" s="327">
        <f t="shared" si="14"/>
        <v>8.3807231875242E-2</v>
      </c>
    </row>
    <row r="198" spans="1:11" ht="15.75" customHeight="1" x14ac:dyDescent="0.2">
      <c r="A198" s="65">
        <f t="shared" si="15"/>
        <v>122</v>
      </c>
      <c r="B198" s="251"/>
      <c r="C198" s="251" t="s">
        <v>170</v>
      </c>
      <c r="D198" s="251" t="s">
        <v>137</v>
      </c>
      <c r="E198" s="253"/>
      <c r="F198" s="254"/>
      <c r="G198" s="251"/>
      <c r="H198" s="82">
        <v>0.1</v>
      </c>
      <c r="I198" s="82">
        <v>0</v>
      </c>
      <c r="J198" s="82"/>
      <c r="K198" s="327"/>
    </row>
    <row r="199" spans="1:11" ht="15.75" customHeight="1" x14ac:dyDescent="0.2">
      <c r="A199" s="65">
        <f t="shared" si="15"/>
        <v>123</v>
      </c>
      <c r="B199" s="251"/>
      <c r="C199" s="251" t="s">
        <v>171</v>
      </c>
      <c r="D199" s="251" t="s">
        <v>137</v>
      </c>
      <c r="E199" s="253"/>
      <c r="F199" s="254"/>
      <c r="G199" s="251"/>
      <c r="H199" s="82">
        <v>-13170198</v>
      </c>
      <c r="I199" s="82">
        <v>-12921594.898461539</v>
      </c>
      <c r="J199" s="82">
        <f t="shared" si="13"/>
        <v>-248603.1015384607</v>
      </c>
      <c r="K199" s="327">
        <f t="shared" si="14"/>
        <v>1.9239351139855011E-2</v>
      </c>
    </row>
    <row r="200" spans="1:11" ht="15.75" customHeight="1" x14ac:dyDescent="0.2">
      <c r="A200" s="65">
        <f t="shared" si="15"/>
        <v>124</v>
      </c>
      <c r="B200" s="251"/>
      <c r="C200" s="256" t="s">
        <v>172</v>
      </c>
      <c r="D200" s="256" t="s">
        <v>137</v>
      </c>
      <c r="E200" s="257"/>
      <c r="F200" s="258"/>
      <c r="G200" s="259"/>
      <c r="H200" s="109">
        <v>-57993069.846153848</v>
      </c>
      <c r="I200" s="109">
        <v>-102552552.7176923</v>
      </c>
      <c r="J200" s="109">
        <f t="shared" si="13"/>
        <v>44559482.871538453</v>
      </c>
      <c r="K200" s="369">
        <f t="shared" si="14"/>
        <v>-0.43450388791590833</v>
      </c>
    </row>
    <row r="201" spans="1:11" ht="15.75" customHeight="1" x14ac:dyDescent="0.2">
      <c r="A201" s="65">
        <f t="shared" si="15"/>
        <v>125</v>
      </c>
      <c r="B201" s="251"/>
      <c r="C201" s="251" t="s">
        <v>173</v>
      </c>
      <c r="D201" s="251" t="str">
        <f>"(Sum Ln "&amp;A197&amp;" through "&amp;A200&amp;""</f>
        <v>(Sum Ln 121 through 124</v>
      </c>
      <c r="E201" s="251"/>
      <c r="F201" s="250"/>
      <c r="G201" s="251"/>
      <c r="H201" s="82">
        <v>5381173304.6692305</v>
      </c>
      <c r="I201" s="82">
        <v>5014878654.9430771</v>
      </c>
      <c r="J201" s="82">
        <f t="shared" si="13"/>
        <v>366294649.72615337</v>
      </c>
      <c r="K201" s="327">
        <f t="shared" si="14"/>
        <v>7.3041577858539652E-2</v>
      </c>
    </row>
    <row r="202" spans="1:11" ht="15.75" customHeight="1" x14ac:dyDescent="0.2">
      <c r="A202" s="65"/>
      <c r="B202" s="251"/>
      <c r="C202" s="251"/>
      <c r="D202" s="251"/>
      <c r="E202" s="251"/>
      <c r="F202" s="250"/>
      <c r="G202" s="251"/>
      <c r="H202" s="82"/>
      <c r="I202" s="82"/>
      <c r="J202" s="82"/>
      <c r="K202" s="327"/>
    </row>
    <row r="203" spans="1:11" ht="15.75" customHeight="1" x14ac:dyDescent="0.2">
      <c r="A203" s="65">
        <f>+A201+1</f>
        <v>126</v>
      </c>
      <c r="B203" s="41"/>
      <c r="C203" s="114" t="s">
        <v>174</v>
      </c>
      <c r="D203" s="91" t="s">
        <v>175</v>
      </c>
      <c r="E203" s="103" t="s">
        <v>176</v>
      </c>
      <c r="F203" s="152" t="str">
        <f>"1 minus Sum Lines "&amp;A204&amp;" &amp; "&amp;A205&amp;"))"</f>
        <v>1 minus Sum Lines 127 &amp; 128))</v>
      </c>
      <c r="G203" s="122"/>
      <c r="H203" s="327">
        <v>0.51276307152179434</v>
      </c>
      <c r="I203" s="327">
        <v>0.5027335537391584</v>
      </c>
      <c r="J203" s="371">
        <f t="shared" si="13"/>
        <v>1.0029517782635944E-2</v>
      </c>
      <c r="K203" s="327">
        <f t="shared" si="14"/>
        <v>1.9949966951757759E-2</v>
      </c>
    </row>
    <row r="204" spans="1:11" ht="15.75" customHeight="1" x14ac:dyDescent="0.2">
      <c r="A204" s="65">
        <f>+A203+1</f>
        <v>127</v>
      </c>
      <c r="B204" s="41"/>
      <c r="C204" s="114" t="s">
        <v>177</v>
      </c>
      <c r="D204" s="91" t="s">
        <v>178</v>
      </c>
      <c r="E204" s="103"/>
      <c r="F204" s="73" t="str">
        <f>"(Line "&amp;A192&amp;" / (Lines "&amp;A$167&amp;" + "&amp;A$192&amp;" +"&amp;A$201&amp;"))"</f>
        <v>(Line 119 / (Lines 99 + 119 +125))</v>
      </c>
      <c r="G204" s="122"/>
      <c r="H204" s="327">
        <v>0</v>
      </c>
      <c r="I204" s="327">
        <v>0</v>
      </c>
      <c r="J204" s="371"/>
      <c r="K204" s="327"/>
    </row>
    <row r="205" spans="1:11" ht="15.75" customHeight="1" x14ac:dyDescent="0.2">
      <c r="A205" s="65">
        <f>+A204+1</f>
        <v>128</v>
      </c>
      <c r="B205" s="41"/>
      <c r="C205" s="114" t="s">
        <v>179</v>
      </c>
      <c r="D205" s="91" t="s">
        <v>180</v>
      </c>
      <c r="E205" s="103"/>
      <c r="F205" s="152" t="str">
        <f>"Lesser of 50% or (Line "&amp;A201&amp;" / (Lines "&amp;A$167&amp;" + "&amp;A$192&amp;" +"&amp;A$201&amp;"))"</f>
        <v>Lesser of 50% or (Line 125 / (Lines 99 + 119 +125))</v>
      </c>
      <c r="G205" s="122"/>
      <c r="H205" s="327">
        <v>0.48723692847820566</v>
      </c>
      <c r="I205" s="327">
        <v>0.49726644626084154</v>
      </c>
      <c r="J205" s="371">
        <f t="shared" si="13"/>
        <v>-1.0029517782635888E-2</v>
      </c>
      <c r="K205" s="327">
        <f t="shared" si="14"/>
        <v>-2.0169303314253574E-2</v>
      </c>
    </row>
    <row r="206" spans="1:11" ht="15" x14ac:dyDescent="0.2">
      <c r="A206" s="65"/>
      <c r="B206" s="41"/>
      <c r="C206" s="265"/>
      <c r="D206" s="57"/>
      <c r="E206" s="43"/>
      <c r="F206" s="73"/>
      <c r="G206" s="122"/>
      <c r="H206" s="327"/>
      <c r="I206" s="327"/>
      <c r="J206" s="371"/>
      <c r="K206" s="327"/>
    </row>
    <row r="207" spans="1:11" ht="15.75" customHeight="1" x14ac:dyDescent="0.2">
      <c r="A207" s="65"/>
      <c r="B207" s="41"/>
      <c r="C207" s="265"/>
      <c r="D207" s="57"/>
      <c r="E207" s="43"/>
      <c r="F207" s="73"/>
      <c r="G207" s="74"/>
      <c r="H207" s="327"/>
      <c r="I207" s="327"/>
      <c r="J207" s="371"/>
      <c r="K207" s="327"/>
    </row>
    <row r="208" spans="1:11" ht="66.75" customHeight="1" x14ac:dyDescent="0.2">
      <c r="A208" s="65">
        <f>+A205+1</f>
        <v>129</v>
      </c>
      <c r="B208" s="41"/>
      <c r="C208" s="265" t="s">
        <v>181</v>
      </c>
      <c r="D208" s="267" t="s">
        <v>182</v>
      </c>
      <c r="E208" s="43"/>
      <c r="F208" s="73" t="str">
        <f>"(Line "&amp;A183&amp;" / Line "&amp;A174&amp;")"</f>
        <v>(Line 112 / Line 105)</v>
      </c>
      <c r="G208" s="122"/>
      <c r="H208" s="327">
        <v>5.2069531043517386E-2</v>
      </c>
      <c r="I208" s="327">
        <v>5.1636548504216416E-2</v>
      </c>
      <c r="J208" s="371">
        <f t="shared" si="13"/>
        <v>4.3298253930097036E-4</v>
      </c>
      <c r="K208" s="327">
        <f t="shared" si="14"/>
        <v>8.3851952123720052E-3</v>
      </c>
    </row>
    <row r="209" spans="1:11" ht="15.75" customHeight="1" x14ac:dyDescent="0.2">
      <c r="A209" s="65">
        <f>+A208+1</f>
        <v>130</v>
      </c>
      <c r="B209" s="41"/>
      <c r="C209" s="265" t="s">
        <v>183</v>
      </c>
      <c r="D209" s="267" t="s">
        <v>184</v>
      </c>
      <c r="E209" s="43"/>
      <c r="F209" s="73" t="str">
        <f>"(Line "&amp;A194&amp;" / Line "&amp;A192&amp;")"</f>
        <v>(Line 120 / Line 119)</v>
      </c>
      <c r="G209" s="122"/>
      <c r="H209" s="327">
        <v>0</v>
      </c>
      <c r="I209" s="327">
        <v>0</v>
      </c>
      <c r="J209" s="371">
        <f t="shared" si="13"/>
        <v>0</v>
      </c>
      <c r="K209" s="327">
        <v>0</v>
      </c>
    </row>
    <row r="210" spans="1:11" ht="15.75" customHeight="1" x14ac:dyDescent="0.2">
      <c r="A210" s="65">
        <f>+A209+1</f>
        <v>131</v>
      </c>
      <c r="B210" s="41"/>
      <c r="C210" s="265" t="s">
        <v>185</v>
      </c>
      <c r="D210" s="91" t="s">
        <v>168</v>
      </c>
      <c r="E210" s="103" t="e">
        <f>"(Note "&amp;#REF!&amp;")"</f>
        <v>#REF!</v>
      </c>
      <c r="F210" s="73" t="s">
        <v>186</v>
      </c>
      <c r="G210" s="122"/>
      <c r="H210" s="327">
        <v>9.8000000000000004E-2</v>
      </c>
      <c r="I210" s="327">
        <v>9.8000000000000004E-2</v>
      </c>
      <c r="J210" s="371">
        <f t="shared" si="13"/>
        <v>0</v>
      </c>
      <c r="K210" s="327">
        <f t="shared" si="14"/>
        <v>0</v>
      </c>
    </row>
    <row r="211" spans="1:11" ht="15.75" customHeight="1" x14ac:dyDescent="0.2">
      <c r="A211" s="65"/>
      <c r="B211" s="41"/>
      <c r="C211" s="265"/>
      <c r="D211" s="91"/>
      <c r="E211" s="103"/>
      <c r="F211" s="73"/>
      <c r="G211" s="122"/>
      <c r="H211" s="82"/>
      <c r="I211" s="82"/>
      <c r="J211" s="82"/>
      <c r="K211" s="327"/>
    </row>
    <row r="212" spans="1:11" ht="15.75" customHeight="1" x14ac:dyDescent="0.25">
      <c r="A212" s="65">
        <f>+A210+1</f>
        <v>132</v>
      </c>
      <c r="B212" s="102"/>
      <c r="C212" s="114" t="s">
        <v>187</v>
      </c>
      <c r="D212" s="91"/>
      <c r="E212" s="43"/>
      <c r="F212" s="73" t="str">
        <f>"(Line "&amp;A203&amp;" * "&amp;A208&amp;")"</f>
        <v>(Line 126 * 129)</v>
      </c>
      <c r="G212" s="84"/>
      <c r="H212" s="421">
        <v>2.6699332670573398E-2</v>
      </c>
      <c r="I212" s="421">
        <v>2.5959425532349142E-2</v>
      </c>
      <c r="J212" s="364">
        <f t="shared" si="13"/>
        <v>7.3990713822425641E-4</v>
      </c>
      <c r="K212" s="327">
        <f t="shared" si="14"/>
        <v>2.8502446531500737E-2</v>
      </c>
    </row>
    <row r="213" spans="1:11" ht="15.75" customHeight="1" x14ac:dyDescent="0.25">
      <c r="A213" s="65">
        <f>+A212+1</f>
        <v>133</v>
      </c>
      <c r="B213" s="102"/>
      <c r="C213" s="114" t="s">
        <v>188</v>
      </c>
      <c r="D213" s="91"/>
      <c r="E213" s="43"/>
      <c r="F213" s="73" t="str">
        <f>"(Line "&amp;A204&amp;" * "&amp;A209&amp;")"</f>
        <v>(Line 127 * 130)</v>
      </c>
      <c r="G213" s="84"/>
      <c r="H213" s="421">
        <v>0</v>
      </c>
      <c r="I213" s="421">
        <v>0</v>
      </c>
      <c r="J213" s="364">
        <f t="shared" si="13"/>
        <v>0</v>
      </c>
      <c r="K213" s="327"/>
    </row>
    <row r="214" spans="1:11" ht="15.75" customHeight="1" x14ac:dyDescent="0.25">
      <c r="A214" s="65">
        <f>+A213+1</f>
        <v>134</v>
      </c>
      <c r="B214" s="269"/>
      <c r="C214" s="270" t="s">
        <v>189</v>
      </c>
      <c r="D214" s="271"/>
      <c r="E214" s="272"/>
      <c r="F214" s="128" t="str">
        <f>"(Line "&amp;A205&amp;" * "&amp;A210&amp;")"</f>
        <v>(Line 128 * 131)</v>
      </c>
      <c r="G214" s="158"/>
      <c r="H214" s="185">
        <v>4.7749218990864158E-2</v>
      </c>
      <c r="I214" s="185">
        <v>4.8732111733562476E-2</v>
      </c>
      <c r="J214" s="367">
        <f t="shared" si="13"/>
        <v>-9.8289274269831861E-4</v>
      </c>
      <c r="K214" s="369">
        <f t="shared" si="14"/>
        <v>-2.0169303314253605E-2</v>
      </c>
    </row>
    <row r="215" spans="1:11" s="8" customFormat="1" ht="15.75" customHeight="1" x14ac:dyDescent="0.25">
      <c r="A215" s="39">
        <f>+A214+1</f>
        <v>135</v>
      </c>
      <c r="B215" s="274" t="s">
        <v>190</v>
      </c>
      <c r="C215" s="274"/>
      <c r="D215" s="275"/>
      <c r="E215" s="192"/>
      <c r="F215" s="36" t="str">
        <f>"(Sum Lines "&amp;A212&amp;" to "&amp;A214&amp;")"</f>
        <v>(Sum Lines 132 to 134)</v>
      </c>
      <c r="G215" s="9"/>
      <c r="H215" s="366">
        <v>7.4448551661437559E-2</v>
      </c>
      <c r="I215" s="366">
        <v>7.4691537265911614E-2</v>
      </c>
      <c r="J215" s="365">
        <f t="shared" si="13"/>
        <v>-2.4298560447405526E-4</v>
      </c>
      <c r="K215" s="398">
        <f t="shared" si="14"/>
        <v>-3.2531878893989666E-3</v>
      </c>
    </row>
    <row r="216" spans="1:11" s="8" customFormat="1" ht="15.75" customHeight="1" x14ac:dyDescent="0.25">
      <c r="A216" s="277"/>
      <c r="B216" s="278"/>
      <c r="C216" s="274"/>
      <c r="D216" s="275"/>
      <c r="E216" s="192"/>
      <c r="F216" s="279"/>
      <c r="G216" s="9"/>
      <c r="H216" s="216"/>
      <c r="I216" s="216"/>
      <c r="J216" s="82"/>
      <c r="K216" s="327"/>
    </row>
    <row r="217" spans="1:11" ht="16.5" customHeight="1" thickBot="1" x14ac:dyDescent="0.3">
      <c r="A217" s="39">
        <f>+A215+1</f>
        <v>136</v>
      </c>
      <c r="B217" s="281" t="s">
        <v>191</v>
      </c>
      <c r="C217" s="87"/>
      <c r="D217" s="242"/>
      <c r="E217" s="282"/>
      <c r="F217" s="133" t="str">
        <f>"(Line "&amp;A102&amp;" * "&amp;A215&amp;")"</f>
        <v>(Line 59 * 135)</v>
      </c>
      <c r="G217" s="223"/>
      <c r="H217" s="223">
        <v>87704604.340208024</v>
      </c>
      <c r="I217" s="223">
        <v>78211278.403712317</v>
      </c>
      <c r="J217" s="412">
        <f t="shared" si="13"/>
        <v>9493325.9364957064</v>
      </c>
      <c r="K217" s="397">
        <f t="shared" si="14"/>
        <v>0.1213805237588995</v>
      </c>
    </row>
    <row r="218" spans="1:11" ht="16.5" customHeight="1" thickTop="1" x14ac:dyDescent="0.25">
      <c r="A218" s="39"/>
      <c r="B218" s="40"/>
      <c r="C218" s="127"/>
      <c r="D218" s="34"/>
      <c r="E218" s="62"/>
      <c r="F218" s="36"/>
      <c r="G218" s="84"/>
      <c r="H218" s="82"/>
      <c r="I218" s="82"/>
      <c r="J218" s="82"/>
      <c r="K218" s="327"/>
    </row>
    <row r="219" spans="1:11" ht="15.75" customHeight="1" x14ac:dyDescent="0.25">
      <c r="A219" s="95" t="s">
        <v>192</v>
      </c>
      <c r="B219" s="17"/>
      <c r="C219" s="205"/>
      <c r="D219" s="18"/>
      <c r="E219" s="245"/>
      <c r="F219" s="96"/>
      <c r="G219" s="84"/>
      <c r="H219" s="82"/>
      <c r="I219" s="82"/>
      <c r="J219" s="82"/>
      <c r="K219" s="82"/>
    </row>
    <row r="220" spans="1:11" ht="15.75" customHeight="1" x14ac:dyDescent="0.25">
      <c r="A220" s="284"/>
      <c r="B220" s="40"/>
      <c r="C220" s="33"/>
      <c r="D220" s="57"/>
      <c r="E220" s="35"/>
      <c r="F220" s="59"/>
      <c r="G220" s="84"/>
      <c r="H220" s="82"/>
      <c r="I220" s="82"/>
      <c r="J220" s="82"/>
      <c r="K220" s="327"/>
    </row>
    <row r="221" spans="1:11" ht="15.75" customHeight="1" x14ac:dyDescent="0.25">
      <c r="A221" s="39" t="s">
        <v>193</v>
      </c>
      <c r="B221" s="285" t="s">
        <v>194</v>
      </c>
      <c r="C221" s="34"/>
      <c r="D221" s="34"/>
      <c r="E221" s="35"/>
      <c r="F221" s="36"/>
      <c r="G221" s="84"/>
      <c r="H221" s="82"/>
      <c r="I221" s="82"/>
      <c r="J221" s="82"/>
      <c r="K221" s="327"/>
    </row>
    <row r="222" spans="1:11" ht="15.75" customHeight="1" x14ac:dyDescent="0.25">
      <c r="A222" s="39">
        <f>+A217+1</f>
        <v>137</v>
      </c>
      <c r="B222" s="40"/>
      <c r="C222" s="34" t="s">
        <v>195</v>
      </c>
      <c r="D222" s="34"/>
      <c r="E222" s="62"/>
      <c r="F222" s="59"/>
      <c r="G222" s="84"/>
      <c r="H222" s="82"/>
      <c r="I222" s="82"/>
      <c r="J222" s="82"/>
      <c r="K222" s="327"/>
    </row>
    <row r="223" spans="1:11" ht="15.75" customHeight="1" x14ac:dyDescent="0.25">
      <c r="A223" s="39">
        <f>+A222+1</f>
        <v>138</v>
      </c>
      <c r="B223" s="40"/>
      <c r="C223" s="288" t="s">
        <v>196</v>
      </c>
      <c r="D223" s="289"/>
      <c r="E223" s="103" t="e">
        <f>"(Note "&amp;#REF!&amp;")"</f>
        <v>#REF!</v>
      </c>
      <c r="F223" s="59"/>
      <c r="G223" s="84"/>
      <c r="H223" s="82"/>
      <c r="I223" s="82"/>
      <c r="J223" s="82"/>
      <c r="K223" s="327"/>
    </row>
    <row r="224" spans="1:11" ht="15.75" customHeight="1" x14ac:dyDescent="0.25">
      <c r="A224" s="39">
        <f>+A223+1</f>
        <v>139</v>
      </c>
      <c r="B224" s="40"/>
      <c r="C224" s="288" t="s">
        <v>197</v>
      </c>
      <c r="D224" s="288" t="s">
        <v>198</v>
      </c>
      <c r="E224" s="62"/>
      <c r="F224" s="59" t="s">
        <v>199</v>
      </c>
      <c r="G224" s="84"/>
      <c r="H224" s="82"/>
      <c r="I224" s="82"/>
      <c r="J224" s="82"/>
      <c r="K224" s="327"/>
    </row>
    <row r="225" spans="1:11" ht="15.75" customHeight="1" x14ac:dyDescent="0.25">
      <c r="A225" s="39">
        <f>+A224+1</f>
        <v>140</v>
      </c>
      <c r="B225" s="40"/>
      <c r="C225" s="288" t="s">
        <v>200</v>
      </c>
      <c r="D225" s="290" t="s">
        <v>201</v>
      </c>
      <c r="E225" s="62"/>
      <c r="F225" s="59"/>
      <c r="G225" s="84"/>
      <c r="H225" s="82"/>
      <c r="I225" s="82"/>
      <c r="J225" s="82"/>
      <c r="K225" s="327"/>
    </row>
    <row r="226" spans="1:11" ht="15.75" customHeight="1" x14ac:dyDescent="0.25">
      <c r="A226" s="39">
        <f>+A225+1</f>
        <v>141</v>
      </c>
      <c r="B226" s="40"/>
      <c r="C226" s="288" t="s">
        <v>202</v>
      </c>
      <c r="D226" s="289"/>
      <c r="E226" s="62"/>
      <c r="F226" s="59"/>
      <c r="G226" s="84"/>
      <c r="H226" s="82"/>
      <c r="I226" s="82"/>
      <c r="J226" s="82"/>
      <c r="K226" s="327"/>
    </row>
    <row r="227" spans="1:11" ht="15.75" customHeight="1" x14ac:dyDescent="0.25">
      <c r="A227" s="39"/>
      <c r="B227" s="40"/>
      <c r="C227" s="34"/>
      <c r="D227" s="34"/>
      <c r="E227" s="292"/>
      <c r="F227" s="293"/>
      <c r="G227" s="84"/>
      <c r="H227" s="82"/>
      <c r="I227" s="82"/>
      <c r="J227" s="82"/>
      <c r="K227" s="327"/>
    </row>
    <row r="228" spans="1:11" ht="15.75" customHeight="1" x14ac:dyDescent="0.25">
      <c r="A228" s="39"/>
      <c r="B228" s="285" t="s">
        <v>203</v>
      </c>
      <c r="C228" s="127"/>
      <c r="D228" s="34"/>
      <c r="E228" s="103" t="e">
        <f>"(Note "&amp;#REF!&amp;")"</f>
        <v>#REF!</v>
      </c>
      <c r="F228" s="36"/>
      <c r="G228" s="84"/>
      <c r="H228" s="82"/>
      <c r="I228" s="82"/>
      <c r="J228" s="82"/>
      <c r="K228" s="327"/>
    </row>
    <row r="229" spans="1:11" ht="15.75" customHeight="1" x14ac:dyDescent="0.25">
      <c r="A229" s="39">
        <f>+A226+1</f>
        <v>142</v>
      </c>
      <c r="B229" s="40"/>
      <c r="C229" s="91" t="s">
        <v>204</v>
      </c>
      <c r="D229" s="57" t="e">
        <f>"(Note "&amp;#REF!&amp;")"</f>
        <v>#REF!</v>
      </c>
      <c r="E229" s="58" t="s">
        <v>205</v>
      </c>
      <c r="F229" s="171" t="s">
        <v>56</v>
      </c>
      <c r="G229" s="84"/>
      <c r="H229" s="295"/>
      <c r="I229" s="295"/>
      <c r="J229" s="82"/>
      <c r="K229" s="327"/>
    </row>
    <row r="230" spans="1:11" ht="15.75" customHeight="1" x14ac:dyDescent="0.25">
      <c r="A230" s="39">
        <f>+A229+1</f>
        <v>143</v>
      </c>
      <c r="B230" s="40"/>
      <c r="C230" s="91" t="s">
        <v>206</v>
      </c>
      <c r="D230" s="57"/>
      <c r="E230" s="40"/>
      <c r="F230" s="73" t="str">
        <f>"(1 / (1-Line "&amp;A225&amp;"))"</f>
        <v>(1 / (1-Line 140))</v>
      </c>
      <c r="G230" s="84"/>
      <c r="H230" s="82"/>
      <c r="I230" s="82"/>
      <c r="J230" s="82"/>
      <c r="K230" s="327"/>
    </row>
    <row r="231" spans="1:11" ht="15.75" customHeight="1" x14ac:dyDescent="0.2">
      <c r="A231" s="39">
        <f>+A230+1</f>
        <v>144</v>
      </c>
      <c r="B231" s="40"/>
      <c r="C231" s="127" t="s">
        <v>113</v>
      </c>
      <c r="D231" s="125"/>
      <c r="E231" s="269"/>
      <c r="F231" s="128" t="str">
        <f>"(Line "&amp;A$26&amp;")"</f>
        <v>(Line 14)</v>
      </c>
      <c r="G231" s="174"/>
      <c r="H231" s="109"/>
      <c r="I231" s="109"/>
      <c r="J231" s="109"/>
      <c r="K231" s="369"/>
    </row>
    <row r="232" spans="1:11" ht="15.75" customHeight="1" x14ac:dyDescent="0.25">
      <c r="A232" s="39">
        <f>+A231+1</f>
        <v>145</v>
      </c>
      <c r="B232" s="40"/>
      <c r="C232" s="297" t="s">
        <v>207</v>
      </c>
      <c r="D232" s="112"/>
      <c r="E232" s="103"/>
      <c r="F232" s="36" t="str">
        <f>"(Line "&amp;A229&amp;" *  "&amp;A230&amp;" * "&amp;A231&amp;")"</f>
        <v>(Line 142 *  143 * 144)</v>
      </c>
      <c r="G232" s="84"/>
      <c r="H232" s="82"/>
      <c r="I232" s="82"/>
      <c r="J232" s="82"/>
      <c r="K232" s="327"/>
    </row>
    <row r="233" spans="1:11" ht="15.75" customHeight="1" x14ac:dyDescent="0.25">
      <c r="A233" s="39"/>
      <c r="B233" s="40"/>
      <c r="C233" s="232"/>
      <c r="D233" s="57"/>
      <c r="E233" s="103"/>
      <c r="F233" s="36"/>
      <c r="G233" s="84"/>
      <c r="H233" s="82"/>
      <c r="I233" s="82"/>
      <c r="J233" s="82"/>
      <c r="K233" s="327"/>
    </row>
    <row r="234" spans="1:11" ht="15.75" customHeight="1" x14ac:dyDescent="0.25">
      <c r="A234" s="39"/>
      <c r="B234" s="285" t="s">
        <v>208</v>
      </c>
      <c r="C234" s="232"/>
      <c r="D234" s="57"/>
      <c r="E234" s="103"/>
      <c r="F234" s="36"/>
      <c r="G234" s="84"/>
      <c r="H234" s="82"/>
      <c r="I234" s="82"/>
      <c r="J234" s="82"/>
      <c r="K234" s="327"/>
    </row>
    <row r="235" spans="1:11" ht="15.75" customHeight="1" x14ac:dyDescent="0.25">
      <c r="A235" s="39" t="s">
        <v>209</v>
      </c>
      <c r="B235" s="285"/>
      <c r="C235" s="232" t="s">
        <v>210</v>
      </c>
      <c r="D235" s="57"/>
      <c r="E235" s="207"/>
      <c r="F235" s="63" t="s">
        <v>22</v>
      </c>
      <c r="G235" s="5"/>
      <c r="H235" s="82">
        <v>-3962122.5756236343</v>
      </c>
      <c r="I235" s="82">
        <v>-3549779.0332462043</v>
      </c>
      <c r="J235" s="82">
        <f t="shared" ref="J235:J286" si="16">H235-I235</f>
        <v>-412343.54237743001</v>
      </c>
      <c r="K235" s="327">
        <f t="shared" ref="K235:K286" si="17">(H235-I235)/I235</f>
        <v>0.1161603408312291</v>
      </c>
    </row>
    <row r="236" spans="1:11" ht="15.75" customHeight="1" x14ac:dyDescent="0.25">
      <c r="A236" s="39" t="s">
        <v>211</v>
      </c>
      <c r="B236" s="40"/>
      <c r="C236" s="232" t="s">
        <v>212</v>
      </c>
      <c r="D236" s="34" t="s">
        <v>213</v>
      </c>
      <c r="F236" s="36" t="s">
        <v>214</v>
      </c>
      <c r="G236" s="84"/>
      <c r="H236" s="82">
        <v>-5015345.0324349795</v>
      </c>
      <c r="I236" s="82">
        <v>-4493391.1813243087</v>
      </c>
      <c r="J236" s="82">
        <f t="shared" si="16"/>
        <v>-521953.85111067072</v>
      </c>
      <c r="K236" s="327">
        <f t="shared" si="17"/>
        <v>0.11616034083122907</v>
      </c>
    </row>
    <row r="237" spans="1:11" ht="15.75" customHeight="1" x14ac:dyDescent="0.25">
      <c r="A237" s="39"/>
      <c r="B237" s="40"/>
      <c r="C237" s="232"/>
      <c r="D237" s="57"/>
      <c r="E237" s="300"/>
      <c r="F237" s="301"/>
      <c r="G237" s="84"/>
      <c r="H237" s="82"/>
      <c r="I237" s="82"/>
      <c r="J237" s="82"/>
      <c r="K237" s="327"/>
    </row>
    <row r="238" spans="1:11" ht="15.75" customHeight="1" x14ac:dyDescent="0.25">
      <c r="A238" s="39">
        <f>+A232+1</f>
        <v>146</v>
      </c>
      <c r="B238" s="189" t="s">
        <v>215</v>
      </c>
      <c r="C238" s="4"/>
      <c r="D238" s="34" t="s">
        <v>216</v>
      </c>
      <c r="E238" s="35"/>
      <c r="F238" s="36" t="str">
        <f>"[Line "&amp;A226&amp;" * "&amp;A217&amp;" * (1-("&amp;A212&amp;" / "&amp;A215&amp;"))]"</f>
        <v>[Line 141 * 136 * (1-(132 / 135))]</v>
      </c>
      <c r="G238" s="84"/>
      <c r="H238" s="82">
        <v>15759359.816093279</v>
      </c>
      <c r="I238" s="82">
        <v>13564550.959910564</v>
      </c>
      <c r="J238" s="82">
        <f t="shared" si="16"/>
        <v>2194808.8561827149</v>
      </c>
      <c r="K238" s="327">
        <f t="shared" si="17"/>
        <v>0.16180475584259121</v>
      </c>
    </row>
    <row r="239" spans="1:11" ht="15.75" customHeight="1" x14ac:dyDescent="0.25">
      <c r="A239" s="39"/>
      <c r="B239" s="40"/>
      <c r="C239" s="304"/>
      <c r="D239" s="57"/>
      <c r="E239" s="102"/>
      <c r="F239" s="183"/>
      <c r="G239" s="84"/>
      <c r="H239" s="82"/>
      <c r="I239" s="82"/>
      <c r="J239" s="82"/>
      <c r="K239" s="327"/>
    </row>
    <row r="240" spans="1:11" ht="16.5" customHeight="1" thickBot="1" x14ac:dyDescent="0.3">
      <c r="A240" s="39">
        <f>+A238+1</f>
        <v>147</v>
      </c>
      <c r="B240" s="281" t="s">
        <v>217</v>
      </c>
      <c r="C240" s="281"/>
      <c r="D240" s="242"/>
      <c r="E240" s="132"/>
      <c r="F240" s="133" t="str">
        <f>"(Line "&amp;A232&amp;" + 145b + "&amp;A238&amp;")"</f>
        <v>(Line 145 + 145b + 146)</v>
      </c>
      <c r="G240" s="120"/>
      <c r="H240" s="223">
        <v>10194188.08371618</v>
      </c>
      <c r="I240" s="223">
        <v>8486607.8857557029</v>
      </c>
      <c r="J240" s="412">
        <f t="shared" si="16"/>
        <v>1707580.1979604773</v>
      </c>
      <c r="K240" s="397">
        <f t="shared" si="17"/>
        <v>0.20120880108371159</v>
      </c>
    </row>
    <row r="241" spans="1:11" ht="16.5" customHeight="1" thickTop="1" x14ac:dyDescent="0.25">
      <c r="A241" s="39"/>
      <c r="B241" s="40"/>
      <c r="C241" s="290"/>
      <c r="D241" s="34"/>
      <c r="E241" s="62"/>
      <c r="F241" s="152"/>
      <c r="G241" s="84"/>
      <c r="H241" s="82"/>
      <c r="I241" s="82"/>
      <c r="J241" s="82"/>
      <c r="K241" s="327"/>
    </row>
    <row r="242" spans="1:11" ht="15.75" customHeight="1" x14ac:dyDescent="0.25">
      <c r="A242" s="95" t="s">
        <v>218</v>
      </c>
      <c r="B242" s="17"/>
      <c r="C242" s="205"/>
      <c r="D242" s="18"/>
      <c r="E242" s="19"/>
      <c r="F242" s="96"/>
      <c r="G242" s="84"/>
      <c r="H242" s="82"/>
      <c r="I242" s="82"/>
      <c r="J242" s="82"/>
      <c r="K242" s="82"/>
    </row>
    <row r="243" spans="1:11" ht="15.75" customHeight="1" x14ac:dyDescent="0.25">
      <c r="A243" s="61"/>
      <c r="B243" s="4"/>
      <c r="C243" s="4"/>
      <c r="D243" s="4"/>
      <c r="E243" s="62"/>
      <c r="F243" s="63"/>
      <c r="G243" s="84"/>
      <c r="H243" s="82"/>
      <c r="I243" s="82"/>
      <c r="J243" s="82"/>
      <c r="K243" s="327"/>
    </row>
    <row r="244" spans="1:11" ht="15.75" customHeight="1" x14ac:dyDescent="0.25">
      <c r="A244" s="61"/>
      <c r="B244" s="189" t="s">
        <v>219</v>
      </c>
      <c r="C244" s="4"/>
      <c r="D244" s="4"/>
      <c r="E244" s="62"/>
      <c r="F244" s="63"/>
      <c r="G244" s="84"/>
      <c r="H244" s="82"/>
      <c r="I244" s="82"/>
      <c r="J244" s="82"/>
      <c r="K244" s="327"/>
    </row>
    <row r="245" spans="1:11" ht="15.75" customHeight="1" x14ac:dyDescent="0.25">
      <c r="A245" s="61">
        <f>+A240+1</f>
        <v>148</v>
      </c>
      <c r="B245" s="4"/>
      <c r="C245" s="4" t="s">
        <v>220</v>
      </c>
      <c r="D245" s="4"/>
      <c r="E245" s="62"/>
      <c r="F245" s="36" t="str">
        <f>"(Line "&amp;A61&amp;")"</f>
        <v>(Line 37)</v>
      </c>
      <c r="G245" s="84"/>
      <c r="H245" s="85">
        <v>1388076660.558022</v>
      </c>
      <c r="I245" s="85">
        <v>1190155068.2387519</v>
      </c>
      <c r="J245" s="82">
        <f t="shared" si="16"/>
        <v>197921592.31927013</v>
      </c>
      <c r="K245" s="327">
        <f t="shared" si="17"/>
        <v>0.16629899548481858</v>
      </c>
    </row>
    <row r="246" spans="1:11" ht="15.75" customHeight="1" x14ac:dyDescent="0.25">
      <c r="A246" s="39">
        <f>+A245+1</f>
        <v>149</v>
      </c>
      <c r="B246" s="4"/>
      <c r="C246" s="4" t="s">
        <v>221</v>
      </c>
      <c r="D246" s="4"/>
      <c r="E246" s="62"/>
      <c r="F246" s="128" t="str">
        <f>"(Line "&amp;A100&amp;")"</f>
        <v>(Line 58)</v>
      </c>
      <c r="G246" s="158"/>
      <c r="H246" s="85">
        <v>-210020104.95095354</v>
      </c>
      <c r="I246" s="85">
        <v>-210508758.97071892</v>
      </c>
      <c r="J246" s="109">
        <f t="shared" si="16"/>
        <v>488654.01976537704</v>
      </c>
      <c r="K246" s="369">
        <f t="shared" si="17"/>
        <v>-2.3213001784564567E-3</v>
      </c>
    </row>
    <row r="247" spans="1:11" ht="15.75" customHeight="1" x14ac:dyDescent="0.25">
      <c r="A247" s="39">
        <f>+A246+1</f>
        <v>150</v>
      </c>
      <c r="B247" s="40"/>
      <c r="C247" s="309" t="s">
        <v>84</v>
      </c>
      <c r="D247" s="180"/>
      <c r="E247" s="310"/>
      <c r="F247" s="36" t="str">
        <f>"(Line "&amp;A102&amp;")"</f>
        <v>(Line 59)</v>
      </c>
      <c r="G247" s="84"/>
      <c r="H247" s="422">
        <v>1178056555.6070685</v>
      </c>
      <c r="I247" s="422">
        <v>979646309.26803303</v>
      </c>
      <c r="J247" s="216">
        <f t="shared" si="16"/>
        <v>198410246.33903551</v>
      </c>
      <c r="K247" s="398">
        <f t="shared" si="17"/>
        <v>0.20253253083480979</v>
      </c>
    </row>
    <row r="248" spans="1:11" ht="15.75" customHeight="1" x14ac:dyDescent="0.25">
      <c r="A248" s="39"/>
      <c r="B248" s="40"/>
      <c r="C248" s="91"/>
      <c r="D248" s="57"/>
      <c r="E248" s="35"/>
      <c r="F248" s="59"/>
      <c r="G248" s="84"/>
      <c r="H248" s="82"/>
      <c r="I248" s="82"/>
      <c r="J248" s="82"/>
      <c r="K248" s="327"/>
    </row>
    <row r="249" spans="1:11" ht="15.75" customHeight="1" x14ac:dyDescent="0.25">
      <c r="A249" s="39">
        <f>+A247+1</f>
        <v>151</v>
      </c>
      <c r="B249" s="34"/>
      <c r="C249" s="91" t="s">
        <v>85</v>
      </c>
      <c r="D249" s="34"/>
      <c r="E249" s="62"/>
      <c r="F249" s="36" t="str">
        <f>"(Line "&amp;A135&amp;")"</f>
        <v>(Line 82)</v>
      </c>
      <c r="G249" s="84"/>
      <c r="H249" s="85">
        <v>39157186.684858277</v>
      </c>
      <c r="I249" s="85">
        <v>39710649.828976445</v>
      </c>
      <c r="J249" s="82">
        <f t="shared" si="16"/>
        <v>-553463.14411816746</v>
      </c>
      <c r="K249" s="327">
        <f t="shared" si="17"/>
        <v>-1.393739831762489E-2</v>
      </c>
    </row>
    <row r="250" spans="1:11" ht="15.75" customHeight="1" x14ac:dyDescent="0.25">
      <c r="A250" s="39">
        <f>+A249+1</f>
        <v>152</v>
      </c>
      <c r="B250" s="34"/>
      <c r="C250" s="304" t="s">
        <v>222</v>
      </c>
      <c r="D250" s="34"/>
      <c r="E250" s="62"/>
      <c r="F250" s="36" t="str">
        <f>"(Line "&amp;A152&amp;")"</f>
        <v>(Line 92)</v>
      </c>
      <c r="G250" s="84"/>
      <c r="H250" s="85">
        <v>54445332.776188783</v>
      </c>
      <c r="I250" s="85">
        <v>47447050.198540986</v>
      </c>
      <c r="J250" s="82">
        <f t="shared" si="16"/>
        <v>6998282.5776477978</v>
      </c>
      <c r="K250" s="327">
        <f t="shared" si="17"/>
        <v>0.14749668416400305</v>
      </c>
    </row>
    <row r="251" spans="1:11" ht="15.75" customHeight="1" x14ac:dyDescent="0.25">
      <c r="A251" s="39">
        <f>+A250+1</f>
        <v>153</v>
      </c>
      <c r="B251" s="40"/>
      <c r="C251" s="91" t="s">
        <v>223</v>
      </c>
      <c r="D251" s="57"/>
      <c r="E251" s="35"/>
      <c r="F251" s="36" t="str">
        <f>"(Line "&amp;A158&amp;")"</f>
        <v>(Line 94)</v>
      </c>
      <c r="G251" s="84"/>
      <c r="H251" s="85">
        <v>6634431.2309272019</v>
      </c>
      <c r="I251" s="85">
        <v>8342600.9054017793</v>
      </c>
      <c r="J251" s="82">
        <f t="shared" si="16"/>
        <v>-1708169.6744745774</v>
      </c>
      <c r="K251" s="327">
        <f t="shared" si="17"/>
        <v>-0.20475265373998039</v>
      </c>
    </row>
    <row r="252" spans="1:11" ht="15.75" customHeight="1" x14ac:dyDescent="0.25">
      <c r="A252" s="39">
        <f>+A251+1</f>
        <v>154</v>
      </c>
      <c r="B252" s="40"/>
      <c r="C252" s="290" t="s">
        <v>224</v>
      </c>
      <c r="D252" s="57"/>
      <c r="E252" s="35"/>
      <c r="F252" s="36" t="str">
        <f>"(Line "&amp;A217&amp;")"</f>
        <v>(Line 136)</v>
      </c>
      <c r="G252" s="84"/>
      <c r="H252" s="85">
        <v>87704604.340208024</v>
      </c>
      <c r="I252" s="85">
        <v>73171288.816106066</v>
      </c>
      <c r="J252" s="82">
        <f t="shared" si="16"/>
        <v>14533315.524101958</v>
      </c>
      <c r="K252" s="327">
        <f t="shared" si="17"/>
        <v>0.19862046656888957</v>
      </c>
    </row>
    <row r="253" spans="1:11" ht="15.75" customHeight="1" x14ac:dyDescent="0.25">
      <c r="A253" s="39">
        <f>+A252+1</f>
        <v>155</v>
      </c>
      <c r="B253" s="40"/>
      <c r="C253" s="290" t="s">
        <v>225</v>
      </c>
      <c r="D253" s="57"/>
      <c r="E253" s="35"/>
      <c r="F253" s="36" t="str">
        <f>"(Line "&amp;A240&amp;")"</f>
        <v>(Line 147)</v>
      </c>
      <c r="G253" s="84"/>
      <c r="H253" s="85">
        <v>10194188.08371618</v>
      </c>
      <c r="I253" s="85">
        <v>8486607.8857557029</v>
      </c>
      <c r="J253" s="82">
        <f t="shared" si="16"/>
        <v>1707580.1979604773</v>
      </c>
      <c r="K253" s="327">
        <f t="shared" si="17"/>
        <v>0.20120880108371159</v>
      </c>
    </row>
    <row r="254" spans="1:11" ht="16.5" customHeight="1" thickBot="1" x14ac:dyDescent="0.3">
      <c r="A254" s="39"/>
      <c r="B254" s="40"/>
      <c r="C254" s="290"/>
      <c r="D254" s="57"/>
      <c r="E254" s="35"/>
      <c r="F254" s="59"/>
      <c r="G254" s="84"/>
      <c r="H254" s="85"/>
      <c r="I254" s="85"/>
      <c r="J254" s="82"/>
      <c r="K254" s="327"/>
    </row>
    <row r="255" spans="1:11" ht="18.75" customHeight="1" thickBot="1" x14ac:dyDescent="0.3">
      <c r="A255" s="312">
        <f>+A253+1</f>
        <v>156</v>
      </c>
      <c r="B255" s="313"/>
      <c r="C255" s="314" t="s">
        <v>226</v>
      </c>
      <c r="D255" s="315"/>
      <c r="E255" s="316"/>
      <c r="F255" s="317" t="str">
        <f>"(Sum Lines "&amp;A249&amp;" to "&amp;A253&amp;")"</f>
        <v>(Sum Lines 151 to 155)</v>
      </c>
      <c r="G255" s="391"/>
      <c r="H255" s="414">
        <v>198135743.11589849</v>
      </c>
      <c r="I255" s="414">
        <v>177158197.634781</v>
      </c>
      <c r="J255" s="413">
        <f t="shared" si="16"/>
        <v>20977545.481117487</v>
      </c>
      <c r="K255" s="436">
        <f t="shared" si="17"/>
        <v>0.11841137334419924</v>
      </c>
    </row>
    <row r="256" spans="1:11" ht="18" customHeight="1" x14ac:dyDescent="0.25">
      <c r="A256" s="318"/>
      <c r="B256" s="319"/>
      <c r="C256" s="320"/>
      <c r="D256" s="321"/>
      <c r="E256" s="322"/>
      <c r="F256" s="279"/>
      <c r="G256" s="84"/>
      <c r="H256" s="82"/>
      <c r="I256" s="82"/>
      <c r="J256" s="82"/>
      <c r="K256" s="327"/>
    </row>
    <row r="257" spans="1:11" ht="18" customHeight="1" x14ac:dyDescent="0.25">
      <c r="A257" s="318"/>
      <c r="B257" s="232" t="s">
        <v>227</v>
      </c>
      <c r="C257" s="320"/>
      <c r="D257" s="321"/>
      <c r="E257" s="322"/>
      <c r="F257" s="279"/>
      <c r="G257" s="84"/>
      <c r="H257" s="82"/>
      <c r="I257" s="82"/>
      <c r="J257" s="82"/>
      <c r="K257" s="327"/>
    </row>
    <row r="258" spans="1:11" ht="18" customHeight="1" x14ac:dyDescent="0.25">
      <c r="A258" s="65">
        <f>+A255+1</f>
        <v>157</v>
      </c>
      <c r="B258" s="102"/>
      <c r="C258" s="91" t="str">
        <f>+C31</f>
        <v>Transmission Plant In Service</v>
      </c>
      <c r="D258" s="321"/>
      <c r="E258" s="322"/>
      <c r="F258" s="73" t="str">
        <f>"(Line "&amp;A33&amp;")"</f>
        <v>(Line 17)</v>
      </c>
      <c r="G258" s="84"/>
      <c r="H258" s="85">
        <v>1888261883.8910255</v>
      </c>
      <c r="I258" s="85">
        <v>1660391062.0384614</v>
      </c>
      <c r="J258" s="82">
        <f t="shared" si="16"/>
        <v>227870821.8525641</v>
      </c>
      <c r="K258" s="327">
        <f t="shared" si="17"/>
        <v>0.13723924867001341</v>
      </c>
    </row>
    <row r="259" spans="1:11" ht="18" customHeight="1" x14ac:dyDescent="0.25">
      <c r="A259" s="65">
        <f>+A258+1</f>
        <v>158</v>
      </c>
      <c r="B259" s="102"/>
      <c r="C259" s="104" t="s">
        <v>228</v>
      </c>
      <c r="D259" s="324"/>
      <c r="E259" s="68" t="e">
        <f>"(Note "&amp;#REF!&amp;")"</f>
        <v>#REF!</v>
      </c>
      <c r="F259" s="83" t="s">
        <v>22</v>
      </c>
      <c r="G259" s="158"/>
      <c r="H259" s="325">
        <v>177711000</v>
      </c>
      <c r="I259" s="325">
        <v>176930000</v>
      </c>
      <c r="J259" s="109">
        <f t="shared" si="16"/>
        <v>781000</v>
      </c>
      <c r="K259" s="369">
        <f t="shared" si="17"/>
        <v>4.414175097496185E-3</v>
      </c>
    </row>
    <row r="260" spans="1:11" ht="18" customHeight="1" x14ac:dyDescent="0.25">
      <c r="A260" s="65">
        <f>+A259+1</f>
        <v>159</v>
      </c>
      <c r="B260" s="102"/>
      <c r="C260" s="91" t="s">
        <v>229</v>
      </c>
      <c r="D260" s="321"/>
      <c r="E260" s="326"/>
      <c r="F260" s="73" t="str">
        <f>"(Line "&amp;A258&amp;" - "&amp;A259&amp;")"</f>
        <v>(Line 157 - 158)</v>
      </c>
      <c r="G260" s="84"/>
      <c r="H260" s="85">
        <v>1710550883.8910255</v>
      </c>
      <c r="I260" s="85">
        <v>1483461062.0384614</v>
      </c>
      <c r="J260" s="82">
        <f t="shared" si="16"/>
        <v>227089821.8525641</v>
      </c>
      <c r="K260" s="327">
        <f t="shared" si="17"/>
        <v>0.15308108022769013</v>
      </c>
    </row>
    <row r="261" spans="1:11" s="5" customFormat="1" ht="18" customHeight="1" x14ac:dyDescent="0.25">
      <c r="A261" s="65">
        <f>+A260+1</f>
        <v>160</v>
      </c>
      <c r="B261" s="102"/>
      <c r="C261" s="91" t="s">
        <v>230</v>
      </c>
      <c r="D261" s="321"/>
      <c r="E261" s="326"/>
      <c r="F261" s="73" t="str">
        <f>"(Line "&amp;A260&amp;" / "&amp;A258&amp;")"</f>
        <v>(Line 159 / 157)</v>
      </c>
      <c r="G261" s="84"/>
      <c r="H261" s="327">
        <v>0.90588646547596363</v>
      </c>
      <c r="I261" s="327">
        <v>0.89344076582610421</v>
      </c>
      <c r="J261" s="327">
        <f t="shared" si="16"/>
        <v>1.2445699649859421E-2</v>
      </c>
      <c r="K261" s="327">
        <f t="shared" si="17"/>
        <v>1.3930078104676278E-2</v>
      </c>
    </row>
    <row r="262" spans="1:11" ht="18" customHeight="1" x14ac:dyDescent="0.25">
      <c r="A262" s="65">
        <f>+A261+1</f>
        <v>161</v>
      </c>
      <c r="B262" s="102"/>
      <c r="C262" s="104" t="s">
        <v>226</v>
      </c>
      <c r="D262" s="324"/>
      <c r="E262" s="328"/>
      <c r="F262" s="83" t="str">
        <f>"(Line "&amp;A255&amp;")"</f>
        <v>(Line 156)</v>
      </c>
      <c r="G262" s="158"/>
      <c r="H262" s="325">
        <v>198135743.11589849</v>
      </c>
      <c r="I262" s="325">
        <v>177158197.634781</v>
      </c>
      <c r="J262" s="109">
        <f t="shared" si="16"/>
        <v>20977545.481117487</v>
      </c>
      <c r="K262" s="369">
        <f t="shared" si="17"/>
        <v>0.11841137334419924</v>
      </c>
    </row>
    <row r="263" spans="1:11" ht="18" customHeight="1" x14ac:dyDescent="0.25">
      <c r="A263" s="65">
        <f>+A262+1</f>
        <v>162</v>
      </c>
      <c r="B263" s="102"/>
      <c r="C263" s="33" t="s">
        <v>231</v>
      </c>
      <c r="D263" s="321"/>
      <c r="E263" s="329"/>
      <c r="F263" s="73" t="str">
        <f>"(Line "&amp;A261&amp;" * "&amp;A262&amp;")"</f>
        <v>(Line 160 * 161)</v>
      </c>
      <c r="G263" s="84"/>
      <c r="H263" s="161">
        <v>179488488.01571476</v>
      </c>
      <c r="I263" s="161">
        <v>158280355.76719105</v>
      </c>
      <c r="J263" s="216">
        <f t="shared" si="16"/>
        <v>21208132.248523712</v>
      </c>
      <c r="K263" s="398">
        <f t="shared" si="17"/>
        <v>0.1339909311280422</v>
      </c>
    </row>
    <row r="264" spans="1:11" ht="15.75" customHeight="1" x14ac:dyDescent="0.25">
      <c r="A264" s="135"/>
      <c r="B264" s="40"/>
      <c r="C264" s="91"/>
      <c r="D264" s="57"/>
      <c r="E264" s="330"/>
      <c r="F264" s="59"/>
      <c r="G264" s="84"/>
      <c r="H264" s="82"/>
      <c r="I264" s="82"/>
      <c r="J264" s="82"/>
      <c r="K264" s="327"/>
    </row>
    <row r="265" spans="1:11" ht="15.75" customHeight="1" x14ac:dyDescent="0.25">
      <c r="A265" s="135"/>
      <c r="B265" s="232" t="s">
        <v>232</v>
      </c>
      <c r="C265" s="91"/>
      <c r="D265" s="57"/>
      <c r="E265" s="330"/>
      <c r="F265" s="59"/>
      <c r="G265" s="84"/>
      <c r="H265" s="82"/>
      <c r="I265" s="82"/>
      <c r="J265" s="82"/>
      <c r="K265" s="327"/>
    </row>
    <row r="266" spans="1:11" x14ac:dyDescent="0.25">
      <c r="A266" s="65">
        <f>+A263+1</f>
        <v>163</v>
      </c>
      <c r="B266" s="4"/>
      <c r="C266" s="144" t="s">
        <v>233</v>
      </c>
      <c r="D266" s="57"/>
      <c r="E266" s="331"/>
      <c r="F266" s="59" t="s">
        <v>234</v>
      </c>
      <c r="G266" s="84"/>
      <c r="H266" s="82">
        <v>46015085.604698166</v>
      </c>
      <c r="I266" s="82">
        <v>77464074.568868577</v>
      </c>
      <c r="J266" s="82">
        <f t="shared" si="16"/>
        <v>-31448988.964170411</v>
      </c>
      <c r="K266" s="327">
        <f t="shared" si="17"/>
        <v>-0.40598160036380526</v>
      </c>
    </row>
    <row r="267" spans="1:11" ht="15.75" customHeight="1" x14ac:dyDescent="0.25">
      <c r="A267" s="65">
        <f>+A266+1</f>
        <v>164</v>
      </c>
      <c r="B267" s="4"/>
      <c r="C267" s="232" t="s">
        <v>235</v>
      </c>
      <c r="D267" s="57"/>
      <c r="E267" s="103" t="e">
        <f>"(Note "&amp;#REF!&amp;")"</f>
        <v>#REF!</v>
      </c>
      <c r="F267" s="59" t="s">
        <v>22</v>
      </c>
      <c r="G267" s="84"/>
      <c r="H267" s="82">
        <v>0</v>
      </c>
      <c r="I267" s="82">
        <v>0</v>
      </c>
      <c r="J267" s="82"/>
      <c r="K267" s="327"/>
    </row>
    <row r="268" spans="1:11" ht="16.5" customHeight="1" thickBot="1" x14ac:dyDescent="0.3">
      <c r="A268" s="39"/>
      <c r="B268" s="40"/>
      <c r="C268" s="41"/>
      <c r="D268" s="41"/>
      <c r="E268" s="333"/>
      <c r="F268" s="59"/>
      <c r="G268" s="84"/>
      <c r="H268" s="82"/>
      <c r="I268" s="82"/>
      <c r="J268" s="82"/>
      <c r="K268" s="327"/>
    </row>
    <row r="269" spans="1:11" s="8" customFormat="1" ht="18.75" customHeight="1" thickBot="1" x14ac:dyDescent="0.3">
      <c r="A269" s="312">
        <f>+A267+1</f>
        <v>165</v>
      </c>
      <c r="B269" s="334"/>
      <c r="C269" s="335" t="s">
        <v>236</v>
      </c>
      <c r="D269" s="336"/>
      <c r="E269" s="337"/>
      <c r="F269" s="338" t="str">
        <f>"(Line "&amp;A263&amp;" - "&amp;A266&amp;" + "&amp;A267&amp;")"</f>
        <v>(Line 162 - 163 + 164)</v>
      </c>
      <c r="G269" s="391"/>
      <c r="H269" s="414">
        <v>133473402.4110166</v>
      </c>
      <c r="I269" s="414">
        <v>80816281.198322475</v>
      </c>
      <c r="J269" s="414">
        <f t="shared" si="16"/>
        <v>52657121.212694123</v>
      </c>
      <c r="K269" s="436">
        <f t="shared" si="17"/>
        <v>0.65156575422561192</v>
      </c>
    </row>
    <row r="270" spans="1:11" ht="15.75" customHeight="1" x14ac:dyDescent="0.25">
      <c r="A270" s="135"/>
      <c r="B270" s="40"/>
      <c r="C270" s="41"/>
      <c r="D270" s="41"/>
      <c r="E270" s="62"/>
      <c r="F270" s="59"/>
      <c r="G270" s="84"/>
      <c r="H270" s="82"/>
      <c r="I270" s="82"/>
      <c r="J270" s="82"/>
      <c r="K270" s="327"/>
    </row>
    <row r="271" spans="1:11" ht="15.75" customHeight="1" x14ac:dyDescent="0.25">
      <c r="A271" s="65"/>
      <c r="B271" s="9" t="s">
        <v>237</v>
      </c>
      <c r="C271" s="41"/>
      <c r="D271" s="41"/>
      <c r="E271" s="62"/>
      <c r="F271" s="59"/>
      <c r="G271" s="84"/>
      <c r="H271" s="82"/>
      <c r="I271" s="82"/>
      <c r="J271" s="82"/>
      <c r="K271" s="327"/>
    </row>
    <row r="272" spans="1:11" ht="15.75" customHeight="1" x14ac:dyDescent="0.25">
      <c r="A272" s="65">
        <f>+A269+1</f>
        <v>166</v>
      </c>
      <c r="B272" s="102"/>
      <c r="C272" s="41" t="str">
        <f>+C255</f>
        <v>Gross Revenue Requirement</v>
      </c>
      <c r="D272" s="41"/>
      <c r="E272" s="43"/>
      <c r="F272" s="209" t="str">
        <f>"(Line "&amp;A255&amp;")"</f>
        <v>(Line 156)</v>
      </c>
      <c r="G272" s="84"/>
      <c r="H272" s="303">
        <v>179488488.01571476</v>
      </c>
      <c r="I272" s="303">
        <v>158280355.76719105</v>
      </c>
      <c r="J272" s="82">
        <f t="shared" si="16"/>
        <v>21208132.248523712</v>
      </c>
      <c r="K272" s="327">
        <f t="shared" si="17"/>
        <v>0.1339909311280422</v>
      </c>
    </row>
    <row r="273" spans="1:11" ht="15.75" customHeight="1" x14ac:dyDescent="0.25">
      <c r="A273" s="65">
        <f>+A272+1</f>
        <v>167</v>
      </c>
      <c r="B273" s="102"/>
      <c r="C273" s="41" t="s">
        <v>238</v>
      </c>
      <c r="D273" s="41"/>
      <c r="E273" s="43"/>
      <c r="F273" s="209" t="str">
        <f>"(Line "&amp;A31&amp;" - "&amp;A47&amp;")"</f>
        <v>(Line 15 - 26)</v>
      </c>
      <c r="G273" s="84"/>
      <c r="H273" s="303">
        <v>1264921733.516923</v>
      </c>
      <c r="I273" s="303">
        <v>1035921824.8246152</v>
      </c>
      <c r="J273" s="82">
        <f t="shared" si="16"/>
        <v>228999908.69230771</v>
      </c>
      <c r="K273" s="327">
        <f t="shared" si="17"/>
        <v>0.22105906372913622</v>
      </c>
    </row>
    <row r="274" spans="1:11" ht="15.75" customHeight="1" x14ac:dyDescent="0.25">
      <c r="A274" s="65">
        <f>+A273+1</f>
        <v>168</v>
      </c>
      <c r="B274" s="102"/>
      <c r="C274" s="41" t="s">
        <v>239</v>
      </c>
      <c r="D274" s="41"/>
      <c r="E274" s="43"/>
      <c r="F274" s="209" t="str">
        <f>"(Line "&amp;A255&amp;" / "&amp;A273&amp;")"</f>
        <v>(Line 156 / 167)</v>
      </c>
      <c r="G274" s="84"/>
      <c r="H274" s="60">
        <v>0.1418969120853622</v>
      </c>
      <c r="I274" s="60">
        <v>0.15279179564924061</v>
      </c>
      <c r="J274" s="82">
        <f t="shared" si="16"/>
        <v>-1.089488356387841E-2</v>
      </c>
      <c r="K274" s="327">
        <f t="shared" si="17"/>
        <v>-7.1305422634664606E-2</v>
      </c>
    </row>
    <row r="275" spans="1:11" ht="15.75" customHeight="1" x14ac:dyDescent="0.25">
      <c r="A275" s="65">
        <f>+A274+1</f>
        <v>169</v>
      </c>
      <c r="B275" s="102"/>
      <c r="C275" s="41" t="s">
        <v>240</v>
      </c>
      <c r="D275" s="41"/>
      <c r="E275" s="43"/>
      <c r="F275" s="209" t="str">
        <f>"(Line "&amp;A255&amp;" - "&amp;A140&amp;") / "&amp;A273</f>
        <v>(Line 156 - 83) / 167</v>
      </c>
      <c r="G275" s="84"/>
      <c r="H275" s="60">
        <v>0.11033443167086478</v>
      </c>
      <c r="I275" s="60">
        <v>0.11980112378480137</v>
      </c>
      <c r="J275" s="82">
        <f t="shared" si="16"/>
        <v>-9.466692113936595E-3</v>
      </c>
      <c r="K275" s="327">
        <f t="shared" si="17"/>
        <v>-7.9020061038338876E-2</v>
      </c>
    </row>
    <row r="276" spans="1:11" ht="15.75" customHeight="1" x14ac:dyDescent="0.25">
      <c r="A276" s="65">
        <f>+A275+1</f>
        <v>170</v>
      </c>
      <c r="B276" s="102"/>
      <c r="C276" s="41" t="s">
        <v>241</v>
      </c>
      <c r="D276" s="41"/>
      <c r="E276" s="43"/>
      <c r="F276" s="209" t="str">
        <f>"(Line "&amp;A255&amp;" - "&amp;A140&amp;" - "&amp;A217&amp;" - "&amp;A240&amp;") / "&amp;A273</f>
        <v>(Line 156 - 83 - 136 - 147) / 167</v>
      </c>
      <c r="G276" s="84"/>
      <c r="H276" s="60">
        <v>3.2939293434342064E-2</v>
      </c>
      <c r="I276" s="60">
        <v>4.0974812044833248E-2</v>
      </c>
      <c r="J276" s="82">
        <f t="shared" si="16"/>
        <v>-8.0355186104911838E-3</v>
      </c>
      <c r="K276" s="327">
        <f t="shared" si="17"/>
        <v>-0.19610873630607487</v>
      </c>
    </row>
    <row r="277" spans="1:11" ht="15.75" customHeight="1" x14ac:dyDescent="0.25">
      <c r="A277" s="65"/>
      <c r="B277" s="102"/>
      <c r="C277" s="41"/>
      <c r="D277" s="41"/>
      <c r="E277" s="43"/>
      <c r="F277" s="209"/>
      <c r="G277" s="84"/>
      <c r="H277" s="82"/>
      <c r="I277" s="82"/>
      <c r="J277" s="82"/>
      <c r="K277" s="327"/>
    </row>
    <row r="278" spans="1:11" ht="15.75" customHeight="1" x14ac:dyDescent="0.25">
      <c r="A278" s="65"/>
      <c r="B278" s="9" t="s">
        <v>242</v>
      </c>
      <c r="C278" s="41"/>
      <c r="D278" s="41"/>
      <c r="E278" s="43"/>
      <c r="F278" s="209"/>
      <c r="G278" s="84"/>
      <c r="H278" s="82"/>
      <c r="I278" s="82"/>
      <c r="J278" s="82"/>
      <c r="K278" s="327"/>
    </row>
    <row r="279" spans="1:11" ht="15.75" customHeight="1" x14ac:dyDescent="0.25">
      <c r="A279" s="65">
        <f>+A276+1</f>
        <v>171</v>
      </c>
      <c r="B279" s="102"/>
      <c r="C279" s="41" t="s">
        <v>243</v>
      </c>
      <c r="D279" s="41"/>
      <c r="E279" s="43"/>
      <c r="F279" s="209" t="str">
        <f>"(Line "&amp;A255&amp;" - "&amp;A252&amp;" - "&amp;A253&amp;")"</f>
        <v>(Line 156 - 154 - 155)</v>
      </c>
      <c r="G279" s="84"/>
      <c r="H279" s="303">
        <v>81589695.591790557</v>
      </c>
      <c r="I279" s="303">
        <v>76622459.065329283</v>
      </c>
      <c r="J279" s="82">
        <f t="shared" si="16"/>
        <v>4967236.5264612734</v>
      </c>
      <c r="K279" s="327">
        <f t="shared" si="17"/>
        <v>6.4827422495356668E-2</v>
      </c>
    </row>
    <row r="280" spans="1:11" ht="16.5" customHeight="1" x14ac:dyDescent="0.25">
      <c r="A280" s="65">
        <f>+A279+1</f>
        <v>172</v>
      </c>
      <c r="B280" s="102"/>
      <c r="C280" s="41" t="s">
        <v>244</v>
      </c>
      <c r="D280" s="41"/>
      <c r="E280" s="62"/>
      <c r="F280" s="209" t="s">
        <v>245</v>
      </c>
      <c r="G280" s="84"/>
      <c r="H280" s="303">
        <v>105164522.2685774</v>
      </c>
      <c r="I280" s="303">
        <v>87824292.129738539</v>
      </c>
      <c r="J280" s="82">
        <f t="shared" si="16"/>
        <v>17340230.138838857</v>
      </c>
      <c r="K280" s="327">
        <f t="shared" si="17"/>
        <v>0.19744229891683024</v>
      </c>
    </row>
    <row r="281" spans="1:11" ht="16.5" customHeight="1" x14ac:dyDescent="0.25">
      <c r="A281" s="65">
        <f>+A280+1</f>
        <v>173</v>
      </c>
      <c r="B281" s="102"/>
      <c r="C281" s="41" t="s">
        <v>246</v>
      </c>
      <c r="D281" s="41"/>
      <c r="E281" s="62"/>
      <c r="F281" s="209" t="str">
        <f>"(Line "&amp;A279&amp;" + "&amp;A280&amp;")"</f>
        <v>(Line 171 + 172)</v>
      </c>
      <c r="G281" s="84"/>
      <c r="H281" s="303">
        <v>186754217.86036795</v>
      </c>
      <c r="I281" s="303">
        <v>164446751.19506782</v>
      </c>
      <c r="J281" s="82">
        <f t="shared" si="16"/>
        <v>22307466.665300131</v>
      </c>
      <c r="K281" s="327">
        <f t="shared" si="17"/>
        <v>0.1356516106471381</v>
      </c>
    </row>
    <row r="282" spans="1:11" ht="15.75" customHeight="1" x14ac:dyDescent="0.25">
      <c r="A282" s="65">
        <f>+A281+1</f>
        <v>174</v>
      </c>
      <c r="B282" s="102"/>
      <c r="C282" s="41" t="str">
        <f>+C273</f>
        <v>Net Transmission Plant</v>
      </c>
      <c r="D282" s="41"/>
      <c r="E282" s="62"/>
      <c r="F282" s="59" t="str">
        <f>"(Line "&amp;A31&amp;" - "&amp;A47&amp;")"</f>
        <v>(Line 15 - 26)</v>
      </c>
      <c r="G282" s="84"/>
      <c r="H282" s="303">
        <v>1264921733.516923</v>
      </c>
      <c r="I282" s="303">
        <v>1035921824.8246152</v>
      </c>
      <c r="J282" s="82">
        <f t="shared" si="16"/>
        <v>228999908.69230771</v>
      </c>
      <c r="K282" s="327">
        <f t="shared" si="17"/>
        <v>0.22105906372913622</v>
      </c>
    </row>
    <row r="283" spans="1:11" ht="15.75" customHeight="1" x14ac:dyDescent="0.25">
      <c r="A283" s="65">
        <f>+A282+1</f>
        <v>175</v>
      </c>
      <c r="B283" s="102"/>
      <c r="C283" s="41" t="s">
        <v>247</v>
      </c>
      <c r="D283" s="41"/>
      <c r="E283" s="62"/>
      <c r="F283" s="59" t="str">
        <f>"(Line "&amp;A281&amp;" / "&amp;A282&amp;")"</f>
        <v>(Line 173 / 174)</v>
      </c>
      <c r="G283" s="84"/>
      <c r="H283" s="60">
        <v>0.14764092742807589</v>
      </c>
      <c r="I283" s="60">
        <v>0.158744363960967</v>
      </c>
      <c r="J283" s="82">
        <f t="shared" si="16"/>
        <v>-1.1103436532891114E-2</v>
      </c>
      <c r="K283" s="327">
        <f t="shared" si="17"/>
        <v>-6.9945390537589691E-2</v>
      </c>
    </row>
    <row r="284" spans="1:11" ht="15.75" customHeight="1" x14ac:dyDescent="0.25">
      <c r="A284" s="65">
        <f>+A283+1</f>
        <v>176</v>
      </c>
      <c r="B284" s="102"/>
      <c r="C284" s="41" t="s">
        <v>248</v>
      </c>
      <c r="D284" s="41"/>
      <c r="E284" s="62"/>
      <c r="F284" s="59" t="str">
        <f>"(Line "&amp;A281&amp;" - "&amp;A140&amp;") / "&amp;A282</f>
        <v>(Line 173 - 83) / 174</v>
      </c>
      <c r="G284" s="84"/>
      <c r="H284" s="60">
        <v>0.11607844701357846</v>
      </c>
      <c r="I284" s="60">
        <v>0.12575369209652776</v>
      </c>
      <c r="J284" s="82">
        <f t="shared" si="16"/>
        <v>-9.6752450829492992E-3</v>
      </c>
      <c r="K284" s="327">
        <f t="shared" si="17"/>
        <v>-7.6938059802829806E-2</v>
      </c>
    </row>
    <row r="285" spans="1:11" ht="15.75" customHeight="1" x14ac:dyDescent="0.25">
      <c r="A285" s="65"/>
      <c r="B285" s="102"/>
      <c r="C285" s="41"/>
      <c r="D285" s="41"/>
      <c r="E285" s="62"/>
      <c r="F285" s="59"/>
      <c r="G285" s="84"/>
      <c r="H285" s="82"/>
      <c r="I285" s="82"/>
      <c r="J285" s="82"/>
      <c r="K285" s="327"/>
    </row>
    <row r="286" spans="1:11" ht="15.75" customHeight="1" x14ac:dyDescent="0.25">
      <c r="A286" s="65">
        <f>+A284+1</f>
        <v>177</v>
      </c>
      <c r="B286" s="102"/>
      <c r="C286" s="9" t="s">
        <v>236</v>
      </c>
      <c r="D286" s="41"/>
      <c r="E286" s="43"/>
      <c r="F286" s="59" t="str">
        <f>"(Line "&amp;A269&amp;")"</f>
        <v>(Line 165)</v>
      </c>
      <c r="G286" s="84"/>
      <c r="H286" s="303">
        <v>133473402.4110166</v>
      </c>
      <c r="I286" s="303">
        <v>80816281.198322475</v>
      </c>
      <c r="J286" s="82">
        <f t="shared" si="16"/>
        <v>52657121.212694123</v>
      </c>
      <c r="K286" s="327">
        <f t="shared" si="17"/>
        <v>0.65156575422561192</v>
      </c>
    </row>
    <row r="287" spans="1:11" x14ac:dyDescent="0.25">
      <c r="A287" s="65">
        <f>+A286+1</f>
        <v>178</v>
      </c>
      <c r="B287" s="102"/>
      <c r="C287" s="41" t="s">
        <v>249</v>
      </c>
      <c r="D287" s="41"/>
      <c r="E287" s="35"/>
      <c r="F287" s="123" t="s">
        <v>34</v>
      </c>
      <c r="G287" s="84"/>
      <c r="H287" s="303">
        <v>43128929.049361326</v>
      </c>
      <c r="I287" s="303">
        <v>-39138940.381424129</v>
      </c>
      <c r="J287" s="82">
        <f t="shared" ref="J287:J295" si="18">H287-I287</f>
        <v>82267869.430785447</v>
      </c>
      <c r="K287" s="327">
        <f>(H287-I287)/I287</f>
        <v>-2.1019442179336796</v>
      </c>
    </row>
    <row r="288" spans="1:11" ht="15.75" customHeight="1" x14ac:dyDescent="0.25">
      <c r="A288" s="65">
        <f>+A287+1</f>
        <v>179</v>
      </c>
      <c r="B288" s="102"/>
      <c r="C288" s="340" t="s">
        <v>250</v>
      </c>
      <c r="D288" s="41"/>
      <c r="E288" s="35"/>
      <c r="F288" s="123" t="s">
        <v>251</v>
      </c>
      <c r="G288" s="84"/>
      <c r="H288" s="303">
        <v>0</v>
      </c>
      <c r="I288" s="303">
        <v>0</v>
      </c>
      <c r="J288" s="82"/>
      <c r="K288" s="327"/>
    </row>
    <row r="289" spans="1:152" ht="15.75" customHeight="1" x14ac:dyDescent="0.25">
      <c r="A289" s="65">
        <f>+A288+1</f>
        <v>180</v>
      </c>
      <c r="B289" s="102"/>
      <c r="C289" s="57" t="s">
        <v>252</v>
      </c>
      <c r="D289" s="341"/>
      <c r="E289" s="103"/>
      <c r="F289" s="209" t="s">
        <v>253</v>
      </c>
      <c r="G289" s="84"/>
      <c r="H289" s="303">
        <v>0</v>
      </c>
      <c r="I289" s="303">
        <v>0</v>
      </c>
      <c r="J289" s="82"/>
      <c r="K289" s="327"/>
      <c r="EV289" s="3">
        <f>SUM(A289:EU289)</f>
        <v>180</v>
      </c>
    </row>
    <row r="290" spans="1:152" ht="15.75" customHeight="1" x14ac:dyDescent="0.25">
      <c r="A290" s="65">
        <f>+A289+1</f>
        <v>181</v>
      </c>
      <c r="B290" s="102"/>
      <c r="C290" s="9" t="s">
        <v>254</v>
      </c>
      <c r="D290" s="41"/>
      <c r="E290" s="43"/>
      <c r="F290" s="59" t="str">
        <f>"(Line "&amp;A286&amp;" - "&amp;A287&amp;" + "&amp;A288&amp;" + "&amp;A289&amp;")"</f>
        <v>(Line 177 - 178 + 179 + 180)</v>
      </c>
      <c r="G290" s="84"/>
      <c r="H290" s="303">
        <v>176602331.46037793</v>
      </c>
      <c r="I290" s="303">
        <v>41677340.816898346</v>
      </c>
      <c r="J290" s="82">
        <f t="shared" si="18"/>
        <v>134924990.64347959</v>
      </c>
      <c r="K290" s="327">
        <f t="shared" ref="K290:K295" si="19">(H290-I290)/I290</f>
        <v>3.2373704271644264</v>
      </c>
    </row>
    <row r="291" spans="1:152" ht="15.75" customHeight="1" x14ac:dyDescent="0.25">
      <c r="A291" s="65"/>
      <c r="B291" s="40"/>
      <c r="C291" s="41"/>
      <c r="D291" s="41"/>
      <c r="E291" s="62"/>
      <c r="F291" s="59"/>
      <c r="G291" s="84"/>
      <c r="H291" s="82"/>
      <c r="I291" s="82"/>
      <c r="J291" s="82"/>
      <c r="K291" s="327"/>
    </row>
    <row r="292" spans="1:152" ht="15.75" customHeight="1" x14ac:dyDescent="0.25">
      <c r="A292" s="65"/>
      <c r="B292" s="144" t="s">
        <v>255</v>
      </c>
      <c r="C292" s="41"/>
      <c r="D292" s="41"/>
      <c r="E292" s="62"/>
      <c r="F292" s="59"/>
      <c r="G292" s="84"/>
      <c r="H292" s="82"/>
      <c r="I292" s="82"/>
      <c r="J292" s="82"/>
      <c r="K292" s="327"/>
    </row>
    <row r="293" spans="1:152" ht="15.75" customHeight="1" x14ac:dyDescent="0.25">
      <c r="A293" s="65">
        <f>+A290+1</f>
        <v>182</v>
      </c>
      <c r="B293" s="102"/>
      <c r="C293" s="304" t="s">
        <v>256</v>
      </c>
      <c r="D293" s="343" t="s">
        <v>193</v>
      </c>
      <c r="E293" s="103" t="s">
        <v>257</v>
      </c>
      <c r="F293" s="45" t="s">
        <v>258</v>
      </c>
      <c r="G293" s="84"/>
      <c r="H293" s="148">
        <v>4477421.2729633236</v>
      </c>
      <c r="I293" s="148">
        <v>4453205.3016066216</v>
      </c>
      <c r="J293" s="82">
        <f t="shared" si="18"/>
        <v>24215.971356702037</v>
      </c>
      <c r="K293" s="327">
        <f t="shared" si="19"/>
        <v>5.4378744559487142E-3</v>
      </c>
    </row>
    <row r="294" spans="1:152" ht="15.75" customHeight="1" x14ac:dyDescent="0.25">
      <c r="A294" s="101">
        <f>+A293+1</f>
        <v>183</v>
      </c>
      <c r="B294" s="57"/>
      <c r="C294" s="304" t="s">
        <v>255</v>
      </c>
      <c r="D294" s="345"/>
      <c r="E294" s="346"/>
      <c r="F294" s="36" t="str">
        <f>"(Line "&amp;A290&amp;" / "&amp;A293&amp;")"</f>
        <v>(Line 181 / 182)</v>
      </c>
      <c r="G294" s="84"/>
      <c r="H294" s="347">
        <v>39.442866930298017</v>
      </c>
      <c r="I294" s="347">
        <v>9.3589533817050938</v>
      </c>
      <c r="J294" s="372">
        <f t="shared" si="18"/>
        <v>30.083913548592925</v>
      </c>
      <c r="K294" s="327">
        <f t="shared" si="19"/>
        <v>3.214452762143365</v>
      </c>
    </row>
    <row r="295" spans="1:152" ht="15.75" customHeight="1" thickBot="1" x14ac:dyDescent="0.3">
      <c r="A295" s="349">
        <f>+A294+1</f>
        <v>184</v>
      </c>
      <c r="B295" s="350"/>
      <c r="C295" s="351" t="s">
        <v>259</v>
      </c>
      <c r="D295" s="352"/>
      <c r="E295" s="353"/>
      <c r="F295" s="399" t="str">
        <f>"(Line "&amp;A293&amp;" / 12)"</f>
        <v>(Line 182 / 12)</v>
      </c>
      <c r="G295" s="392"/>
      <c r="H295" s="427">
        <v>3.2869055775248346</v>
      </c>
      <c r="I295" s="427">
        <v>0.77991278180875778</v>
      </c>
      <c r="J295" s="427">
        <f t="shared" si="18"/>
        <v>2.5069927957160769</v>
      </c>
      <c r="K295" s="428">
        <f t="shared" si="19"/>
        <v>3.214452762143365</v>
      </c>
    </row>
  </sheetData>
  <mergeCells count="1">
    <mergeCell ref="H3:K3"/>
  </mergeCells>
  <pageMargins left="0.7" right="0.7" top="0.75" bottom="0.75" header="0.3" footer="0.3"/>
  <pageSetup scale="10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296"/>
  <sheetViews>
    <sheetView zoomScale="85" zoomScaleNormal="85" workbookViewId="0">
      <pane ySplit="6" topLeftCell="A269" activePane="bottomLeft" state="frozen"/>
      <selection pane="bottomLeft" activeCell="L288" sqref="L288"/>
    </sheetView>
  </sheetViews>
  <sheetFormatPr defaultColWidth="11.5703125" defaultRowHeight="15" x14ac:dyDescent="0.2"/>
  <cols>
    <col min="1" max="1" width="6.140625" style="2" customWidth="1"/>
    <col min="2" max="2" width="3.5703125" style="2" customWidth="1"/>
    <col min="3" max="3" width="54.42578125" style="360" customWidth="1"/>
    <col min="4" max="4" width="27.28515625" style="3" hidden="1" customWidth="1"/>
    <col min="5" max="5" width="22.7109375" style="3" hidden="1" customWidth="1"/>
    <col min="6" max="6" width="34.5703125" style="3" customWidth="1"/>
    <col min="7" max="7" width="24.7109375" style="361" customWidth="1"/>
    <col min="8" max="9" width="24.7109375" style="4" customWidth="1"/>
    <col min="10" max="10" width="24.7109375" style="41" customWidth="1"/>
    <col min="11" max="16384" width="11.5703125" style="3"/>
  </cols>
  <sheetData>
    <row r="1" spans="1:10" ht="23.25" customHeight="1" x14ac:dyDescent="0.35">
      <c r="A1" s="1" t="s">
        <v>0</v>
      </c>
      <c r="C1" s="2"/>
      <c r="G1" s="4"/>
    </row>
    <row r="2" spans="1:10" ht="24" customHeight="1" thickBot="1" x14ac:dyDescent="0.25">
      <c r="A2" s="6"/>
      <c r="C2" s="2"/>
      <c r="G2" s="7"/>
      <c r="H2" s="7"/>
      <c r="I2" s="7"/>
      <c r="J2" s="368"/>
    </row>
    <row r="3" spans="1:10" ht="68.25" customHeight="1" thickBot="1" x14ac:dyDescent="0.4">
      <c r="A3" s="401" t="s">
        <v>1</v>
      </c>
      <c r="B3" s="410"/>
      <c r="C3" s="402"/>
      <c r="D3" s="402"/>
      <c r="E3" s="403"/>
      <c r="F3" s="404" t="s">
        <v>2</v>
      </c>
      <c r="G3" s="432" t="s">
        <v>5</v>
      </c>
      <c r="H3" s="433"/>
      <c r="I3" s="433"/>
      <c r="J3" s="434"/>
    </row>
    <row r="4" spans="1:10" s="8" customFormat="1" ht="42" customHeight="1" thickBot="1" x14ac:dyDescent="0.4">
      <c r="A4" s="405" t="s">
        <v>7</v>
      </c>
      <c r="B4" s="411"/>
      <c r="C4" s="406"/>
      <c r="D4" s="406"/>
      <c r="E4" s="407" t="s">
        <v>8</v>
      </c>
      <c r="F4" s="408"/>
      <c r="G4" s="395">
        <v>2024</v>
      </c>
      <c r="H4" s="395">
        <v>2023</v>
      </c>
      <c r="I4" s="409" t="s">
        <v>260</v>
      </c>
      <c r="J4" s="435" t="s">
        <v>261</v>
      </c>
    </row>
    <row r="5" spans="1:10" s="14" customFormat="1" ht="0.75" customHeight="1" x14ac:dyDescent="0.35">
      <c r="A5" s="10" t="s">
        <v>9</v>
      </c>
      <c r="B5" s="11"/>
      <c r="C5" s="11"/>
      <c r="D5" s="11"/>
      <c r="E5" s="12"/>
      <c r="F5" s="13"/>
    </row>
    <row r="6" spans="1:10" s="5" customFormat="1" ht="15.75" customHeight="1" thickBot="1" x14ac:dyDescent="0.3">
      <c r="A6" s="16" t="s">
        <v>10</v>
      </c>
      <c r="B6" s="17"/>
      <c r="C6" s="18"/>
      <c r="D6" s="18"/>
      <c r="E6" s="19"/>
      <c r="F6" s="20"/>
      <c r="G6" s="21"/>
      <c r="H6" s="21"/>
      <c r="I6" s="21"/>
    </row>
    <row r="7" spans="1:10" s="5" customFormat="1" ht="15.75" customHeight="1" x14ac:dyDescent="0.25">
      <c r="A7" s="24"/>
      <c r="B7" s="25"/>
      <c r="C7" s="25"/>
      <c r="D7" s="25"/>
      <c r="E7" s="26"/>
      <c r="F7" s="27"/>
      <c r="G7" s="31"/>
      <c r="H7" s="362"/>
      <c r="I7" s="362"/>
      <c r="J7" s="31"/>
    </row>
    <row r="8" spans="1:10" ht="15.75" customHeight="1" x14ac:dyDescent="0.25">
      <c r="A8" s="32"/>
      <c r="B8" s="33" t="s">
        <v>11</v>
      </c>
      <c r="C8" s="34"/>
      <c r="D8" s="34"/>
      <c r="E8" s="35"/>
      <c r="F8" s="36"/>
      <c r="G8" s="82"/>
      <c r="H8" s="363"/>
      <c r="I8" s="363"/>
      <c r="J8" s="82"/>
    </row>
    <row r="9" spans="1:10" ht="15.75" customHeight="1" x14ac:dyDescent="0.2">
      <c r="A9" s="39">
        <v>1</v>
      </c>
      <c r="B9" s="40"/>
      <c r="C9" s="41" t="s">
        <v>12</v>
      </c>
      <c r="D9" s="42"/>
      <c r="E9" s="43"/>
      <c r="F9" s="36" t="s">
        <v>13</v>
      </c>
      <c r="G9" s="82">
        <v>0</v>
      </c>
      <c r="H9" s="82">
        <v>0</v>
      </c>
      <c r="I9" s="82">
        <f>G9-H9</f>
        <v>0</v>
      </c>
      <c r="J9" s="327">
        <v>0</v>
      </c>
    </row>
    <row r="10" spans="1:10" x14ac:dyDescent="0.2">
      <c r="A10" s="39">
        <f>+A9+1</f>
        <v>2</v>
      </c>
      <c r="B10" s="40"/>
      <c r="C10" s="41" t="s">
        <v>14</v>
      </c>
      <c r="D10" s="41"/>
      <c r="E10" s="43"/>
      <c r="F10" s="45" t="s">
        <v>15</v>
      </c>
      <c r="G10" s="82">
        <v>0</v>
      </c>
      <c r="H10" s="82">
        <v>0</v>
      </c>
      <c r="I10" s="82">
        <f t="shared" ref="I10:I12" si="0">G10-H10</f>
        <v>0</v>
      </c>
      <c r="J10" s="327">
        <v>0</v>
      </c>
    </row>
    <row r="11" spans="1:10" ht="15.75" customHeight="1" x14ac:dyDescent="0.2">
      <c r="A11" s="39">
        <f>+A10+1</f>
        <v>3</v>
      </c>
      <c r="B11" s="40"/>
      <c r="C11" s="41" t="s">
        <v>16</v>
      </c>
      <c r="D11" s="41"/>
      <c r="E11" s="43"/>
      <c r="F11" s="45" t="s">
        <v>17</v>
      </c>
      <c r="G11" s="82">
        <v>0.01</v>
      </c>
      <c r="H11" s="82">
        <v>0.1</v>
      </c>
      <c r="I11" s="109">
        <f t="shared" si="0"/>
        <v>-9.0000000000000011E-2</v>
      </c>
      <c r="J11" s="369">
        <f t="shared" ref="J11:J12" si="1">(G11-H11)/H11</f>
        <v>-0.9</v>
      </c>
    </row>
    <row r="12" spans="1:10" ht="15.75" customHeight="1" x14ac:dyDescent="0.2">
      <c r="A12" s="39">
        <f>+A11+1</f>
        <v>4</v>
      </c>
      <c r="B12" s="40"/>
      <c r="C12" s="46" t="s">
        <v>18</v>
      </c>
      <c r="D12" s="47"/>
      <c r="E12" s="48"/>
      <c r="F12" s="49" t="str">
        <f>"(Line "&amp;A10&amp;" - "&amp;A11&amp;")"</f>
        <v>(Line 2 - 3)</v>
      </c>
      <c r="G12" s="50">
        <v>-0.01</v>
      </c>
      <c r="H12" s="50">
        <v>-0.1</v>
      </c>
      <c r="I12" s="82">
        <f t="shared" si="0"/>
        <v>9.0000000000000011E-2</v>
      </c>
      <c r="J12" s="327">
        <f t="shared" si="1"/>
        <v>-0.9</v>
      </c>
    </row>
    <row r="13" spans="1:10" ht="32.25" customHeight="1" thickBot="1" x14ac:dyDescent="0.3">
      <c r="A13" s="39">
        <v>5</v>
      </c>
      <c r="B13" s="51" t="s">
        <v>19</v>
      </c>
      <c r="C13" s="51"/>
      <c r="D13" s="52"/>
      <c r="E13" s="53"/>
      <c r="F13" s="54" t="str">
        <f>"(Line "&amp;A9&amp;" / "&amp;A12&amp;")"</f>
        <v>(Line 1 / 4)</v>
      </c>
      <c r="G13" s="56">
        <v>0</v>
      </c>
      <c r="H13" s="56">
        <v>0</v>
      </c>
      <c r="I13" s="56"/>
      <c r="J13" s="56"/>
    </row>
    <row r="14" spans="1:10" ht="16.5" customHeight="1" thickTop="1" x14ac:dyDescent="0.25">
      <c r="A14" s="39"/>
      <c r="B14" s="40"/>
      <c r="C14" s="33"/>
      <c r="D14" s="57"/>
      <c r="E14" s="58"/>
      <c r="F14" s="59"/>
      <c r="G14" s="82"/>
      <c r="H14" s="82"/>
      <c r="I14" s="82"/>
      <c r="J14" s="82"/>
    </row>
    <row r="15" spans="1:10" ht="15.75" customHeight="1" x14ac:dyDescent="0.25">
      <c r="A15" s="61"/>
      <c r="B15" s="33" t="s">
        <v>20</v>
      </c>
      <c r="C15" s="34"/>
      <c r="D15" s="4"/>
      <c r="E15" s="62"/>
      <c r="F15" s="63"/>
      <c r="G15" s="82"/>
      <c r="H15" s="82"/>
      <c r="I15" s="82"/>
      <c r="J15" s="82"/>
    </row>
    <row r="16" spans="1:10" ht="15.75" customHeight="1" x14ac:dyDescent="0.25">
      <c r="A16" s="65">
        <f>+A13+1</f>
        <v>6</v>
      </c>
      <c r="B16" s="4"/>
      <c r="C16" s="66" t="s">
        <v>21</v>
      </c>
      <c r="D16" s="67"/>
      <c r="E16" s="68" t="e">
        <f>"(Note "&amp;#REF!&amp;")"</f>
        <v>#REF!</v>
      </c>
      <c r="F16" s="69" t="s">
        <v>22</v>
      </c>
      <c r="G16" s="71">
        <v>12174573796.538462</v>
      </c>
      <c r="H16" s="71">
        <v>11434852507.76923</v>
      </c>
      <c r="I16" s="71">
        <f t="shared" ref="I16:I26" si="2">G16-H16</f>
        <v>739721288.7692318</v>
      </c>
      <c r="J16" s="378">
        <f t="shared" ref="J16:J26" si="3">(G16-H16)/H16</f>
        <v>6.4690059470958614E-2</v>
      </c>
    </row>
    <row r="17" spans="1:10" ht="15.75" customHeight="1" x14ac:dyDescent="0.2">
      <c r="A17" s="65">
        <f>+A16+1</f>
        <v>7</v>
      </c>
      <c r="B17" s="4"/>
      <c r="C17" s="41" t="s">
        <v>23</v>
      </c>
      <c r="D17" s="72"/>
      <c r="E17" s="43"/>
      <c r="F17" s="73" t="str">
        <f>"(Sum Line "&amp;A16&amp;")"</f>
        <v>(Sum Line 6)</v>
      </c>
      <c r="G17" s="74">
        <v>12174573796.538462</v>
      </c>
      <c r="H17" s="74">
        <v>11434852507.76923</v>
      </c>
      <c r="I17" s="82">
        <f t="shared" si="2"/>
        <v>739721288.7692318</v>
      </c>
      <c r="J17" s="327">
        <f t="shared" si="3"/>
        <v>6.4690059470958614E-2</v>
      </c>
    </row>
    <row r="18" spans="1:10" ht="15.75" customHeight="1" x14ac:dyDescent="0.25">
      <c r="A18" s="65">
        <f>+A17+1</f>
        <v>8</v>
      </c>
      <c r="B18" s="4"/>
      <c r="C18" s="41" t="s">
        <v>24</v>
      </c>
      <c r="D18" s="34"/>
      <c r="E18" s="62"/>
      <c r="F18" s="45" t="s">
        <v>22</v>
      </c>
      <c r="G18" s="75">
        <v>5527770204.867692</v>
      </c>
      <c r="H18" s="75">
        <v>5237494085.3292313</v>
      </c>
      <c r="I18" s="75">
        <f t="shared" si="2"/>
        <v>290276119.53846073</v>
      </c>
      <c r="J18" s="378">
        <f t="shared" si="3"/>
        <v>5.5422710710367099E-2</v>
      </c>
    </row>
    <row r="19" spans="1:10" ht="15.75" customHeight="1" x14ac:dyDescent="0.2">
      <c r="A19" s="65">
        <f>+A18+1</f>
        <v>9</v>
      </c>
      <c r="B19" s="34"/>
      <c r="C19" s="76" t="s">
        <v>25</v>
      </c>
      <c r="D19" s="77"/>
      <c r="E19" s="78"/>
      <c r="F19" s="79" t="str">
        <f>"(Line "&amp;A18&amp;")"</f>
        <v>(Line 8)</v>
      </c>
      <c r="G19" s="80">
        <v>5527770204.867692</v>
      </c>
      <c r="H19" s="80">
        <v>5237494085.3292313</v>
      </c>
      <c r="I19" s="80">
        <f t="shared" si="2"/>
        <v>290276119.53846073</v>
      </c>
      <c r="J19" s="396">
        <f t="shared" si="3"/>
        <v>5.5422710710367099E-2</v>
      </c>
    </row>
    <row r="20" spans="1:10" ht="15.75" customHeight="1" x14ac:dyDescent="0.2">
      <c r="A20" s="39">
        <f>+A19+1</f>
        <v>10</v>
      </c>
      <c r="B20" s="4"/>
      <c r="C20" s="81" t="s">
        <v>26</v>
      </c>
      <c r="D20" s="81"/>
      <c r="E20" s="78"/>
      <c r="F20" s="36" t="str">
        <f>"(Line "&amp;A17&amp;" - "&amp;A19&amp;")"</f>
        <v>(Line 7 - 9)</v>
      </c>
      <c r="G20" s="74">
        <v>6646803591.6707697</v>
      </c>
      <c r="H20" s="74">
        <v>6197358422.4399986</v>
      </c>
      <c r="I20" s="82">
        <f t="shared" si="2"/>
        <v>449445169.23077106</v>
      </c>
      <c r="J20" s="327">
        <f t="shared" si="3"/>
        <v>7.2522055139392333E-2</v>
      </c>
    </row>
    <row r="21" spans="1:10" ht="15.75" customHeight="1" x14ac:dyDescent="0.2">
      <c r="A21" s="61"/>
      <c r="B21" s="4"/>
      <c r="C21" s="4"/>
      <c r="D21" s="4"/>
      <c r="E21" s="62"/>
      <c r="F21" s="63"/>
      <c r="G21" s="82"/>
      <c r="H21" s="82"/>
      <c r="I21" s="82"/>
      <c r="J21" s="327"/>
    </row>
    <row r="22" spans="1:10" ht="15.75" customHeight="1" x14ac:dyDescent="0.2">
      <c r="A22" s="65">
        <f>+A20+1</f>
        <v>11</v>
      </c>
      <c r="B22" s="4"/>
      <c r="C22" s="4" t="s">
        <v>27</v>
      </c>
      <c r="D22" s="72"/>
      <c r="E22" s="62"/>
      <c r="F22" s="83" t="str">
        <f>"(Line "&amp;A43&amp;")"</f>
        <v>(Line 25)</v>
      </c>
      <c r="G22" s="82">
        <v>99262153.84615384</v>
      </c>
      <c r="H22" s="82">
        <v>100969769.23076923</v>
      </c>
      <c r="I22" s="82">
        <f t="shared" si="2"/>
        <v>-1707615.3846153915</v>
      </c>
      <c r="J22" s="327">
        <f t="shared" si="3"/>
        <v>-1.6912145067030794E-2</v>
      </c>
    </row>
    <row r="23" spans="1:10" ht="16.5" customHeight="1" thickBot="1" x14ac:dyDescent="0.3">
      <c r="A23" s="39">
        <f>+A22+1</f>
        <v>12</v>
      </c>
      <c r="B23" s="86" t="s">
        <v>28</v>
      </c>
      <c r="C23" s="86"/>
      <c r="D23" s="87"/>
      <c r="E23" s="88"/>
      <c r="F23" s="89" t="str">
        <f>"(Line "&amp;A22&amp;" / "&amp;A17&amp;")"</f>
        <v>(Line 11 / 7)</v>
      </c>
      <c r="G23" s="56">
        <v>8.153234396950846E-3</v>
      </c>
      <c r="H23" s="56">
        <v>8.8300018878395611E-3</v>
      </c>
      <c r="I23" s="56">
        <f t="shared" si="2"/>
        <v>-6.7676749088871509E-4</v>
      </c>
      <c r="J23" s="56">
        <f t="shared" si="3"/>
        <v>-7.6644093567039995E-2</v>
      </c>
    </row>
    <row r="24" spans="1:10" ht="16.5" customHeight="1" thickTop="1" x14ac:dyDescent="0.2">
      <c r="A24" s="61"/>
      <c r="B24" s="34"/>
      <c r="C24" s="34"/>
      <c r="D24" s="34"/>
      <c r="E24" s="62"/>
      <c r="F24" s="45"/>
      <c r="G24" s="82"/>
      <c r="H24" s="82"/>
      <c r="I24" s="82"/>
      <c r="J24" s="327"/>
    </row>
    <row r="25" spans="1:10" ht="15.75" customHeight="1" x14ac:dyDescent="0.2">
      <c r="A25" s="65">
        <f>+A23+1</f>
        <v>13</v>
      </c>
      <c r="B25" s="40"/>
      <c r="C25" s="91" t="s">
        <v>29</v>
      </c>
      <c r="D25" s="57"/>
      <c r="E25" s="58"/>
      <c r="F25" s="83" t="str">
        <f>"(Line "&amp;A61&amp;"-44)"</f>
        <v>(Line 37-44)</v>
      </c>
      <c r="G25" s="85">
        <v>21336000</v>
      </c>
      <c r="H25" s="85">
        <v>23657846.15384616</v>
      </c>
      <c r="I25" s="82">
        <f t="shared" si="2"/>
        <v>-2321846.1538461596</v>
      </c>
      <c r="J25" s="327">
        <f t="shared" si="3"/>
        <v>-9.8142753095411719E-2</v>
      </c>
    </row>
    <row r="26" spans="1:10" ht="16.5" customHeight="1" thickBot="1" x14ac:dyDescent="0.3">
      <c r="A26" s="39">
        <f>+A25+1</f>
        <v>14</v>
      </c>
      <c r="B26" s="86" t="s">
        <v>30</v>
      </c>
      <c r="C26" s="86"/>
      <c r="D26" s="87"/>
      <c r="E26" s="88"/>
      <c r="F26" s="92" t="str">
        <f>"(Line "&amp;A25&amp;" / "&amp;A20&amp;")"</f>
        <v>(Line 13 / 10)</v>
      </c>
      <c r="G26" s="56">
        <v>3.2099639632403956E-3</v>
      </c>
      <c r="H26" s="56">
        <v>3.8174080860296101E-3</v>
      </c>
      <c r="I26" s="56">
        <f t="shared" si="2"/>
        <v>-6.0744412278921451E-4</v>
      </c>
      <c r="J26" s="56">
        <f t="shared" si="3"/>
        <v>-0.15912475404771351</v>
      </c>
    </row>
    <row r="27" spans="1:10" ht="16.5" customHeight="1" thickTop="1" x14ac:dyDescent="0.25">
      <c r="A27" s="93"/>
      <c r="B27" s="40"/>
      <c r="C27" s="33"/>
      <c r="D27" s="57"/>
      <c r="E27" s="58"/>
      <c r="F27" s="59"/>
      <c r="G27" s="82"/>
      <c r="H27" s="82"/>
      <c r="I27" s="370"/>
      <c r="J27" s="370"/>
    </row>
    <row r="28" spans="1:10" s="5" customFormat="1" ht="15.75" customHeight="1" x14ac:dyDescent="0.25">
      <c r="A28" s="95" t="s">
        <v>31</v>
      </c>
      <c r="B28" s="17"/>
      <c r="C28" s="18"/>
      <c r="D28" s="18"/>
      <c r="E28" s="19"/>
      <c r="F28" s="96"/>
      <c r="G28" s="82"/>
      <c r="H28" s="82"/>
      <c r="I28" s="82"/>
      <c r="J28" s="82"/>
    </row>
    <row r="29" spans="1:10" s="5" customFormat="1" ht="15.75" customHeight="1" x14ac:dyDescent="0.25">
      <c r="A29" s="98"/>
      <c r="B29" s="99"/>
      <c r="C29" s="57"/>
      <c r="D29" s="57"/>
      <c r="E29" s="12"/>
      <c r="F29" s="45"/>
      <c r="G29" s="82"/>
      <c r="H29" s="82"/>
      <c r="I29" s="82"/>
      <c r="J29" s="82"/>
    </row>
    <row r="30" spans="1:10" ht="15.75" customHeight="1" x14ac:dyDescent="0.25">
      <c r="A30" s="101"/>
      <c r="B30" s="33"/>
      <c r="C30" s="57"/>
      <c r="D30" s="57"/>
      <c r="E30" s="58"/>
      <c r="F30" s="73"/>
      <c r="G30" s="82"/>
      <c r="H30" s="82"/>
      <c r="I30" s="82"/>
      <c r="J30" s="82"/>
    </row>
    <row r="31" spans="1:10" ht="15.75" customHeight="1" x14ac:dyDescent="0.2">
      <c r="A31" s="65">
        <f>+A26+1</f>
        <v>15</v>
      </c>
      <c r="B31" s="102"/>
      <c r="C31" s="91" t="s">
        <v>32</v>
      </c>
      <c r="D31" s="57"/>
      <c r="E31" s="103" t="e">
        <f>"(Note "&amp;#REF!&amp;")"</f>
        <v>#REF!</v>
      </c>
      <c r="F31" s="73" t="s">
        <v>22</v>
      </c>
      <c r="G31" s="82">
        <v>99262153.84615384</v>
      </c>
      <c r="H31" s="82">
        <v>100969769.23076923</v>
      </c>
      <c r="I31" s="82">
        <f t="shared" ref="I31:J91" si="4">G31-H31</f>
        <v>-1707615.3846153915</v>
      </c>
      <c r="J31" s="327">
        <f t="shared" ref="J31:J61" si="5">(G31-H31)/H31</f>
        <v>-1.6912145067030794E-2</v>
      </c>
    </row>
    <row r="32" spans="1:10" ht="15.75" customHeight="1" x14ac:dyDescent="0.2">
      <c r="A32" s="65">
        <f>+A31+1</f>
        <v>16</v>
      </c>
      <c r="B32" s="102"/>
      <c r="C32" s="104" t="s">
        <v>33</v>
      </c>
      <c r="D32" s="105"/>
      <c r="E32" s="106"/>
      <c r="F32" s="107" t="s">
        <v>34</v>
      </c>
      <c r="G32" s="109">
        <v>0</v>
      </c>
      <c r="H32" s="109">
        <v>0</v>
      </c>
      <c r="I32" s="109"/>
      <c r="J32" s="369"/>
    </row>
    <row r="33" spans="1:10" ht="15.75" customHeight="1" x14ac:dyDescent="0.25">
      <c r="A33" s="65">
        <f>+A32+1</f>
        <v>17</v>
      </c>
      <c r="B33" s="102"/>
      <c r="C33" s="33" t="s">
        <v>35</v>
      </c>
      <c r="D33" s="57"/>
      <c r="E33" s="103"/>
      <c r="F33" s="73" t="str">
        <f>"(Line "&amp;A31&amp;" + "&amp;A32&amp;")"</f>
        <v>(Line 15 + 16)</v>
      </c>
      <c r="G33" s="75">
        <v>99262153.84615384</v>
      </c>
      <c r="H33" s="75">
        <v>100969769.23076923</v>
      </c>
      <c r="I33" s="75">
        <f t="shared" si="4"/>
        <v>-1707615.3846153915</v>
      </c>
      <c r="J33" s="377">
        <f t="shared" si="5"/>
        <v>-1.6912145067030794E-2</v>
      </c>
    </row>
    <row r="34" spans="1:10" ht="15.75" customHeight="1" x14ac:dyDescent="0.25">
      <c r="A34" s="65"/>
      <c r="B34" s="102"/>
      <c r="C34" s="33"/>
      <c r="D34" s="57"/>
      <c r="E34" s="103"/>
      <c r="F34" s="73"/>
      <c r="G34" s="82"/>
      <c r="H34" s="82"/>
      <c r="I34" s="82"/>
      <c r="J34" s="327"/>
    </row>
    <row r="35" spans="1:10" ht="15.75" customHeight="1" x14ac:dyDescent="0.2">
      <c r="A35" s="65">
        <f>+A33+1</f>
        <v>18</v>
      </c>
      <c r="B35" s="102"/>
      <c r="C35" s="91" t="s">
        <v>36</v>
      </c>
      <c r="D35" s="57"/>
      <c r="E35" s="103"/>
      <c r="F35" s="73" t="s">
        <v>22</v>
      </c>
      <c r="G35" s="82">
        <v>655035931.95659995</v>
      </c>
      <c r="H35" s="82">
        <v>638697811.50559998</v>
      </c>
      <c r="I35" s="82">
        <f t="shared" si="4"/>
        <v>16338120.450999975</v>
      </c>
      <c r="J35" s="327">
        <f t="shared" si="5"/>
        <v>2.5580360785151565E-2</v>
      </c>
    </row>
    <row r="36" spans="1:10" ht="15.75" customHeight="1" x14ac:dyDescent="0.2">
      <c r="A36" s="65">
        <f>A35+1</f>
        <v>19</v>
      </c>
      <c r="B36" s="102"/>
      <c r="C36" s="104" t="s">
        <v>37</v>
      </c>
      <c r="D36" s="105"/>
      <c r="E36" s="68"/>
      <c r="F36" s="83"/>
      <c r="G36" s="111"/>
      <c r="H36" s="111"/>
      <c r="I36" s="111"/>
      <c r="J36" s="111"/>
    </row>
    <row r="37" spans="1:10" ht="15.75" customHeight="1" x14ac:dyDescent="0.2">
      <c r="A37" s="65">
        <f>A36+1</f>
        <v>20</v>
      </c>
      <c r="B37" s="102"/>
      <c r="C37" s="91" t="s">
        <v>38</v>
      </c>
      <c r="D37" s="57"/>
      <c r="E37" s="103"/>
      <c r="F37" s="73"/>
      <c r="G37" s="74">
        <v>0</v>
      </c>
      <c r="H37" s="74">
        <v>0</v>
      </c>
      <c r="I37" s="82">
        <f t="shared" si="4"/>
        <v>0</v>
      </c>
      <c r="J37" s="327">
        <v>0</v>
      </c>
    </row>
    <row r="38" spans="1:10" ht="15.75" customHeight="1" x14ac:dyDescent="0.2">
      <c r="A38" s="65">
        <f>A37+1</f>
        <v>21</v>
      </c>
      <c r="B38" s="102"/>
      <c r="C38" s="91" t="s">
        <v>39</v>
      </c>
      <c r="D38" s="57"/>
      <c r="E38" s="43"/>
      <c r="F38" s="83" t="s">
        <v>22</v>
      </c>
      <c r="G38" s="109">
        <v>509773724</v>
      </c>
      <c r="H38" s="109">
        <v>472498704</v>
      </c>
      <c r="I38" s="109">
        <f t="shared" si="4"/>
        <v>37275020</v>
      </c>
      <c r="J38" s="369">
        <f t="shared" si="5"/>
        <v>7.8889147598593196E-2</v>
      </c>
    </row>
    <row r="39" spans="1:10" ht="15.75" customHeight="1" x14ac:dyDescent="0.2">
      <c r="A39" s="65">
        <f>+A38+1</f>
        <v>22</v>
      </c>
      <c r="B39" s="102"/>
      <c r="C39" s="46" t="s">
        <v>40</v>
      </c>
      <c r="D39" s="112"/>
      <c r="E39" s="113"/>
      <c r="F39" s="73" t="str">
        <f>"(Line"&amp;A38&amp;")"</f>
        <v>(Line21)</v>
      </c>
      <c r="G39" s="74">
        <v>509773724</v>
      </c>
      <c r="H39" s="74">
        <v>472498704</v>
      </c>
      <c r="I39" s="82">
        <f t="shared" si="4"/>
        <v>37275020</v>
      </c>
      <c r="J39" s="327">
        <f t="shared" si="5"/>
        <v>7.8889147598593196E-2</v>
      </c>
    </row>
    <row r="40" spans="1:10" ht="15.75" customHeight="1" x14ac:dyDescent="0.2">
      <c r="A40" s="65">
        <f>+A39+1</f>
        <v>23</v>
      </c>
      <c r="B40" s="102"/>
      <c r="C40" s="114" t="s">
        <v>41</v>
      </c>
      <c r="D40" s="91"/>
      <c r="E40" s="58"/>
      <c r="F40" s="83" t="str">
        <f>"(Line "&amp;A$13&amp;")"</f>
        <v>(Line 5)</v>
      </c>
      <c r="G40" s="116">
        <v>0</v>
      </c>
      <c r="H40" s="116">
        <v>0</v>
      </c>
      <c r="I40" s="109">
        <f t="shared" si="4"/>
        <v>0</v>
      </c>
      <c r="J40" s="369">
        <v>0</v>
      </c>
    </row>
    <row r="41" spans="1:10" ht="15.75" customHeight="1" x14ac:dyDescent="0.25">
      <c r="A41" s="65">
        <f>+A40+1</f>
        <v>24</v>
      </c>
      <c r="B41" s="41"/>
      <c r="C41" s="117" t="s">
        <v>42</v>
      </c>
      <c r="D41" s="76"/>
      <c r="E41" s="48"/>
      <c r="F41" s="73" t="str">
        <f>"(Line  + ("&amp;A39&amp;" * "&amp;A40&amp;"))"</f>
        <v>(Line  + (22 * 23))</v>
      </c>
      <c r="G41" s="75">
        <v>0</v>
      </c>
      <c r="H41" s="75">
        <v>0</v>
      </c>
      <c r="I41" s="75">
        <f t="shared" si="4"/>
        <v>0</v>
      </c>
      <c r="J41" s="377">
        <v>0</v>
      </c>
    </row>
    <row r="42" spans="1:10" ht="15.75" customHeight="1" x14ac:dyDescent="0.25">
      <c r="A42" s="101"/>
      <c r="B42" s="41"/>
      <c r="C42" s="33"/>
      <c r="D42" s="41"/>
      <c r="E42" s="43"/>
      <c r="F42" s="45"/>
      <c r="G42" s="82"/>
      <c r="H42" s="82"/>
      <c r="I42" s="82"/>
      <c r="J42" s="327"/>
    </row>
    <row r="43" spans="1:10" s="8" customFormat="1" ht="16.5" customHeight="1" thickBot="1" x14ac:dyDescent="0.3">
      <c r="A43" s="65">
        <f>+A41+1</f>
        <v>25</v>
      </c>
      <c r="B43" s="118" t="s">
        <v>43</v>
      </c>
      <c r="C43" s="118"/>
      <c r="D43" s="118"/>
      <c r="E43" s="119"/>
      <c r="F43" s="120" t="str">
        <f>"(Line "&amp;A33&amp;" + "&amp;A37&amp;" + "&amp;A41&amp;")"</f>
        <v>(Line 17 + 20 + 24)</v>
      </c>
      <c r="G43" s="121">
        <v>99262153.84615384</v>
      </c>
      <c r="H43" s="121">
        <v>100969769.23076923</v>
      </c>
      <c r="I43" s="121">
        <f t="shared" si="4"/>
        <v>-1707615.3846153915</v>
      </c>
      <c r="J43" s="397">
        <f t="shared" si="5"/>
        <v>-1.6912145067030794E-2</v>
      </c>
    </row>
    <row r="44" spans="1:10" ht="16.5" customHeight="1" thickTop="1" x14ac:dyDescent="0.2">
      <c r="A44" s="101"/>
      <c r="B44" s="41"/>
      <c r="C44" s="41"/>
      <c r="D44" s="41"/>
      <c r="E44" s="43"/>
      <c r="F44" s="45"/>
      <c r="G44" s="82"/>
      <c r="H44" s="82"/>
      <c r="I44" s="82"/>
      <c r="J44" s="327"/>
    </row>
    <row r="45" spans="1:10" ht="15.75" customHeight="1" x14ac:dyDescent="0.25">
      <c r="A45" s="65"/>
      <c r="B45" s="33" t="s">
        <v>44</v>
      </c>
      <c r="C45" s="33"/>
      <c r="D45" s="122"/>
      <c r="E45" s="58"/>
      <c r="F45" s="73"/>
      <c r="G45" s="82"/>
      <c r="H45" s="82"/>
      <c r="I45" s="82"/>
      <c r="J45" s="327"/>
    </row>
    <row r="46" spans="1:10" ht="15.75" customHeight="1" x14ac:dyDescent="0.2">
      <c r="A46" s="101"/>
      <c r="B46" s="57"/>
      <c r="C46" s="57"/>
      <c r="D46" s="57"/>
      <c r="E46" s="43"/>
      <c r="F46" s="73"/>
      <c r="G46" s="82"/>
      <c r="H46" s="82"/>
      <c r="I46" s="82"/>
      <c r="J46" s="327"/>
    </row>
    <row r="47" spans="1:10" ht="15.75" customHeight="1" x14ac:dyDescent="0.2">
      <c r="A47" s="65">
        <f>+A43+1</f>
        <v>26</v>
      </c>
      <c r="B47" s="102"/>
      <c r="C47" s="104" t="s">
        <v>45</v>
      </c>
      <c r="D47" s="105"/>
      <c r="E47" s="68" t="e">
        <f>"(Note "&amp;#REF!&amp;")"</f>
        <v>#REF!</v>
      </c>
      <c r="F47" s="83" t="s">
        <v>22</v>
      </c>
      <c r="G47" s="109">
        <v>77926153.84615384</v>
      </c>
      <c r="H47" s="109">
        <v>77311923.076923072</v>
      </c>
      <c r="I47" s="109">
        <f t="shared" si="4"/>
        <v>614230.76923076808</v>
      </c>
      <c r="J47" s="369">
        <f t="shared" si="5"/>
        <v>7.944838839665477E-3</v>
      </c>
    </row>
    <row r="48" spans="1:10" s="5" customFormat="1" ht="15.75" customHeight="1" x14ac:dyDescent="0.25">
      <c r="A48" s="65">
        <f>A47+1</f>
        <v>27</v>
      </c>
      <c r="B48" s="102"/>
      <c r="C48" s="33" t="s">
        <v>46</v>
      </c>
      <c r="D48" s="103"/>
      <c r="E48" s="41"/>
      <c r="F48" s="123" t="str">
        <f>"(Line "&amp;A47&amp;")"</f>
        <v>(Line 26)</v>
      </c>
      <c r="G48" s="74">
        <v>77926153.84615384</v>
      </c>
      <c r="H48" s="74">
        <v>77311923.076923072</v>
      </c>
      <c r="I48" s="82">
        <f t="shared" si="4"/>
        <v>614230.76923076808</v>
      </c>
      <c r="J48" s="327">
        <f t="shared" si="5"/>
        <v>7.944838839665477E-3</v>
      </c>
    </row>
    <row r="49" spans="1:10" s="5" customFormat="1" ht="15.75" customHeight="1" x14ac:dyDescent="0.2">
      <c r="A49" s="65"/>
      <c r="B49" s="102"/>
      <c r="C49" s="91"/>
      <c r="D49" s="103"/>
      <c r="E49" s="41"/>
      <c r="F49" s="73"/>
      <c r="G49" s="74"/>
      <c r="H49" s="74"/>
      <c r="I49" s="82"/>
      <c r="J49" s="327"/>
    </row>
    <row r="50" spans="1:10" s="5" customFormat="1" ht="15.75" customHeight="1" x14ac:dyDescent="0.2">
      <c r="A50" s="65">
        <f>A48+1</f>
        <v>28</v>
      </c>
      <c r="B50" s="102"/>
      <c r="C50" s="91" t="s">
        <v>47</v>
      </c>
      <c r="D50" s="103"/>
      <c r="E50" s="124"/>
      <c r="F50" s="73" t="s">
        <v>22</v>
      </c>
      <c r="G50" s="82"/>
      <c r="H50" s="82"/>
      <c r="I50" s="82">
        <f t="shared" si="4"/>
        <v>0</v>
      </c>
      <c r="J50" s="327"/>
    </row>
    <row r="51" spans="1:10" s="5" customFormat="1" ht="15.75" customHeight="1" x14ac:dyDescent="0.2">
      <c r="A51" s="65">
        <f>A50+1</f>
        <v>29</v>
      </c>
      <c r="B51" s="102"/>
      <c r="C51" s="104" t="s">
        <v>37</v>
      </c>
      <c r="D51" s="68"/>
      <c r="E51" s="125"/>
      <c r="F51" s="83"/>
      <c r="G51" s="109"/>
      <c r="H51" s="109"/>
      <c r="I51" s="109">
        <f t="shared" si="4"/>
        <v>0</v>
      </c>
      <c r="J51" s="369"/>
    </row>
    <row r="52" spans="1:10" s="5" customFormat="1" ht="15.75" customHeight="1" x14ac:dyDescent="0.2">
      <c r="A52" s="65">
        <f>A51+1</f>
        <v>30</v>
      </c>
      <c r="B52" s="102"/>
      <c r="C52" s="91" t="s">
        <v>38</v>
      </c>
      <c r="D52" s="103"/>
      <c r="E52" s="124"/>
      <c r="F52" s="73"/>
      <c r="G52" s="82"/>
      <c r="H52" s="82"/>
      <c r="I52" s="82">
        <f t="shared" si="4"/>
        <v>0</v>
      </c>
      <c r="J52" s="327"/>
    </row>
    <row r="53" spans="1:10" ht="15.75" customHeight="1" x14ac:dyDescent="0.2">
      <c r="A53" s="65">
        <f>+A52+1</f>
        <v>31</v>
      </c>
      <c r="B53" s="102"/>
      <c r="C53" s="91" t="s">
        <v>48</v>
      </c>
      <c r="D53" s="57"/>
      <c r="E53" s="43"/>
      <c r="F53" s="73" t="s">
        <v>22</v>
      </c>
      <c r="G53" s="82">
        <v>212736630</v>
      </c>
      <c r="H53" s="82">
        <v>199145541</v>
      </c>
      <c r="I53" s="82">
        <f t="shared" si="4"/>
        <v>13591089</v>
      </c>
      <c r="J53" s="327">
        <f t="shared" si="5"/>
        <v>6.8247016386874568E-2</v>
      </c>
    </row>
    <row r="54" spans="1:10" ht="15.75" customHeight="1" x14ac:dyDescent="0.2">
      <c r="A54" s="65">
        <f>+A53+1</f>
        <v>32</v>
      </c>
      <c r="B54" s="102"/>
      <c r="C54" s="104" t="s">
        <v>49</v>
      </c>
      <c r="D54" s="105"/>
      <c r="E54" s="106"/>
      <c r="F54" s="83" t="s">
        <v>22</v>
      </c>
      <c r="G54" s="109">
        <v>65925780</v>
      </c>
      <c r="H54" s="109">
        <v>48948753</v>
      </c>
      <c r="I54" s="109">
        <f t="shared" si="4"/>
        <v>16977027</v>
      </c>
      <c r="J54" s="369">
        <f t="shared" si="5"/>
        <v>0.34683267620729785</v>
      </c>
    </row>
    <row r="55" spans="1:10" ht="15.75" customHeight="1" x14ac:dyDescent="0.2">
      <c r="A55" s="65">
        <f>+A54+1</f>
        <v>33</v>
      </c>
      <c r="B55" s="40"/>
      <c r="C55" s="127" t="s">
        <v>25</v>
      </c>
      <c r="D55" s="34"/>
      <c r="E55" s="35"/>
      <c r="F55" s="36" t="str">
        <f>"(Sum Lines "&amp;A53&amp;" to "&amp;A54&amp;")"</f>
        <v>(Sum Lines 31 to 32)</v>
      </c>
      <c r="G55" s="74">
        <v>278662410</v>
      </c>
      <c r="H55" s="74">
        <v>248094294</v>
      </c>
      <c r="I55" s="82">
        <f t="shared" si="4"/>
        <v>30568116</v>
      </c>
      <c r="J55" s="327">
        <f t="shared" si="5"/>
        <v>0.12321168498941777</v>
      </c>
    </row>
    <row r="56" spans="1:10" ht="15.75" customHeight="1" x14ac:dyDescent="0.2">
      <c r="A56" s="65">
        <f>+A55+1</f>
        <v>34</v>
      </c>
      <c r="B56" s="40"/>
      <c r="C56" s="127" t="str">
        <f>+C40</f>
        <v>Wage &amp; Salary Allocation Factor</v>
      </c>
      <c r="D56" s="34"/>
      <c r="E56" s="35"/>
      <c r="F56" s="128" t="str">
        <f>"(Line "&amp;A$13&amp;")"</f>
        <v>(Line 5)</v>
      </c>
      <c r="G56" s="116">
        <v>0</v>
      </c>
      <c r="H56" s="116">
        <v>0</v>
      </c>
      <c r="I56" s="369">
        <f t="shared" si="4"/>
        <v>0</v>
      </c>
      <c r="J56" s="369">
        <v>0</v>
      </c>
    </row>
    <row r="57" spans="1:10" ht="15.75" customHeight="1" x14ac:dyDescent="0.25">
      <c r="A57" s="65">
        <f>+A56+1</f>
        <v>35</v>
      </c>
      <c r="B57" s="4"/>
      <c r="C57" s="129" t="s">
        <v>50</v>
      </c>
      <c r="D57" s="81"/>
      <c r="E57" s="78"/>
      <c r="F57" s="36" t="str">
        <f>"(Line "&amp;A55&amp;" * "&amp;A56&amp;")"</f>
        <v>(Line 33 * 34)</v>
      </c>
      <c r="G57" s="130">
        <v>0</v>
      </c>
      <c r="H57" s="130">
        <v>0</v>
      </c>
      <c r="I57" s="216">
        <f t="shared" si="4"/>
        <v>0</v>
      </c>
      <c r="J57" s="398">
        <v>0</v>
      </c>
    </row>
    <row r="58" spans="1:10" ht="15.75" customHeight="1" x14ac:dyDescent="0.2">
      <c r="A58" s="101"/>
      <c r="B58" s="4"/>
      <c r="C58" s="4"/>
      <c r="D58" s="4"/>
      <c r="E58" s="62"/>
      <c r="F58" s="63"/>
      <c r="G58" s="82"/>
      <c r="H58" s="82"/>
      <c r="I58" s="82"/>
      <c r="J58" s="327"/>
    </row>
    <row r="59" spans="1:10" ht="16.5" customHeight="1" thickBot="1" x14ac:dyDescent="0.3">
      <c r="A59" s="65">
        <f>+A57+1</f>
        <v>36</v>
      </c>
      <c r="B59" s="86" t="s">
        <v>51</v>
      </c>
      <c r="C59" s="86"/>
      <c r="D59" s="86"/>
      <c r="E59" s="132"/>
      <c r="F59" s="133" t="str">
        <f>"(Line "&amp;A48&amp;" + "&amp;A57&amp;")"</f>
        <v>(Line 27 + 35)</v>
      </c>
      <c r="G59" s="121">
        <v>77926153.84615384</v>
      </c>
      <c r="H59" s="121">
        <v>77311923.076923072</v>
      </c>
      <c r="I59" s="121">
        <f t="shared" si="4"/>
        <v>614230.76923076808</v>
      </c>
      <c r="J59" s="397">
        <f t="shared" si="5"/>
        <v>7.944838839665477E-3</v>
      </c>
    </row>
    <row r="60" spans="1:10" ht="16.5" customHeight="1" thickTop="1" x14ac:dyDescent="0.2">
      <c r="A60" s="101"/>
      <c r="B60" s="4"/>
      <c r="C60" s="4"/>
      <c r="D60" s="4"/>
      <c r="E60" s="62"/>
      <c r="F60" s="63"/>
      <c r="G60" s="64"/>
      <c r="H60" s="64"/>
      <c r="I60" s="82"/>
      <c r="J60" s="327"/>
    </row>
    <row r="61" spans="1:10" ht="16.5" customHeight="1" thickBot="1" x14ac:dyDescent="0.3">
      <c r="A61" s="65">
        <f>+A59+1</f>
        <v>37</v>
      </c>
      <c r="B61" s="86" t="s">
        <v>52</v>
      </c>
      <c r="C61" s="86"/>
      <c r="D61" s="86"/>
      <c r="E61" s="132"/>
      <c r="F61" s="133" t="str">
        <f>"(Line "&amp;A43&amp;" - "&amp;A59&amp;")"</f>
        <v>(Line 25 - 36)</v>
      </c>
      <c r="G61" s="121">
        <v>21336000</v>
      </c>
      <c r="H61" s="121">
        <v>23657846.15384616</v>
      </c>
      <c r="I61" s="121">
        <f t="shared" si="4"/>
        <v>-2321846.1538461596</v>
      </c>
      <c r="J61" s="397">
        <f t="shared" si="5"/>
        <v>-9.8142753095411719E-2</v>
      </c>
    </row>
    <row r="62" spans="1:10" ht="16.5" customHeight="1" thickTop="1" x14ac:dyDescent="0.2">
      <c r="A62" s="61"/>
      <c r="B62" s="4"/>
      <c r="C62" s="4"/>
      <c r="D62" s="4"/>
      <c r="E62" s="62"/>
      <c r="F62" s="63"/>
      <c r="G62" s="82"/>
      <c r="H62" s="82"/>
      <c r="I62" s="82"/>
      <c r="J62" s="327"/>
    </row>
    <row r="63" spans="1:10" ht="16.5" customHeight="1" x14ac:dyDescent="0.25">
      <c r="A63" s="95" t="s">
        <v>53</v>
      </c>
      <c r="B63" s="18"/>
      <c r="C63" s="18"/>
      <c r="D63" s="18"/>
      <c r="E63" s="19"/>
      <c r="F63" s="96"/>
      <c r="G63" s="82"/>
      <c r="H63" s="82"/>
      <c r="I63" s="82"/>
      <c r="J63" s="82"/>
    </row>
    <row r="64" spans="1:10" ht="15.75" customHeight="1" thickBot="1" x14ac:dyDescent="0.25">
      <c r="A64" s="135"/>
      <c r="B64" s="136"/>
      <c r="C64" s="136"/>
      <c r="D64" s="136"/>
      <c r="E64" s="62"/>
      <c r="F64" s="63"/>
      <c r="G64" s="82"/>
      <c r="H64" s="82"/>
      <c r="I64" s="82"/>
      <c r="J64" s="82"/>
    </row>
    <row r="65" spans="1:10" ht="15.75" customHeight="1" x14ac:dyDescent="0.25">
      <c r="A65" s="138"/>
      <c r="B65" s="139" t="s">
        <v>54</v>
      </c>
      <c r="C65" s="140"/>
      <c r="D65" s="28"/>
      <c r="E65" s="141"/>
      <c r="F65" s="142"/>
      <c r="G65" s="31"/>
      <c r="H65" s="31"/>
      <c r="I65" s="31"/>
      <c r="J65" s="31"/>
    </row>
    <row r="66" spans="1:10" ht="15.75" customHeight="1" x14ac:dyDescent="0.25">
      <c r="A66" s="101">
        <f>+A61+1</f>
        <v>38</v>
      </c>
      <c r="B66" s="144"/>
      <c r="C66" s="34" t="s">
        <v>55</v>
      </c>
      <c r="D66" s="41"/>
      <c r="E66" s="145"/>
      <c r="F66" s="107" t="s">
        <v>56</v>
      </c>
      <c r="G66" s="109"/>
      <c r="H66" s="109"/>
      <c r="I66" s="109">
        <f t="shared" si="4"/>
        <v>0</v>
      </c>
      <c r="J66" s="369">
        <v>0</v>
      </c>
    </row>
    <row r="67" spans="1:10" s="5" customFormat="1" ht="15.75" customHeight="1" x14ac:dyDescent="0.25">
      <c r="A67" s="65">
        <f>+A66+1</f>
        <v>39</v>
      </c>
      <c r="B67" s="41"/>
      <c r="C67" s="146" t="s">
        <v>57</v>
      </c>
      <c r="D67" s="76"/>
      <c r="E67" s="147"/>
      <c r="F67" s="73" t="str">
        <f>"(Line "&amp;A66&amp;")"</f>
        <v>(Line 38)</v>
      </c>
      <c r="G67" s="82">
        <v>0</v>
      </c>
      <c r="H67" s="82">
        <v>0</v>
      </c>
      <c r="I67" s="82">
        <f t="shared" si="4"/>
        <v>0</v>
      </c>
      <c r="J67" s="327">
        <v>0</v>
      </c>
    </row>
    <row r="68" spans="1:10" ht="16.5" customHeight="1" x14ac:dyDescent="0.25">
      <c r="A68" s="101"/>
      <c r="B68" s="41"/>
      <c r="C68" s="144"/>
      <c r="D68" s="41"/>
      <c r="E68" s="43"/>
      <c r="F68" s="45"/>
      <c r="G68" s="82"/>
      <c r="H68" s="82"/>
      <c r="I68" s="82"/>
      <c r="J68" s="327"/>
    </row>
    <row r="69" spans="1:10" ht="16.5" customHeight="1" x14ac:dyDescent="0.25">
      <c r="A69" s="101">
        <f>+A67+1</f>
        <v>40</v>
      </c>
      <c r="B69" s="9" t="s">
        <v>58</v>
      </c>
      <c r="C69" s="144"/>
      <c r="D69" s="43" t="s">
        <v>59</v>
      </c>
      <c r="E69" s="57" t="e">
        <f>"(Notes "&amp;#REF!&amp;" &amp; "&amp;#REF!&amp;")"</f>
        <v>#REF!</v>
      </c>
      <c r="F69" s="45" t="s">
        <v>56</v>
      </c>
      <c r="G69" s="82">
        <v>0</v>
      </c>
      <c r="H69" s="82">
        <v>0</v>
      </c>
      <c r="I69" s="82"/>
      <c r="J69" s="327"/>
    </row>
    <row r="70" spans="1:10" ht="16.5" customHeight="1" x14ac:dyDescent="0.25">
      <c r="A70" s="101"/>
      <c r="B70" s="41"/>
      <c r="C70" s="144"/>
      <c r="D70" s="41"/>
      <c r="E70" s="43"/>
      <c r="F70" s="45"/>
      <c r="G70" s="82"/>
      <c r="H70" s="82"/>
      <c r="I70" s="82"/>
      <c r="J70" s="327"/>
    </row>
    <row r="71" spans="1:10" s="5" customFormat="1" ht="15.75" customHeight="1" x14ac:dyDescent="0.25">
      <c r="A71" s="65"/>
      <c r="B71" s="9" t="s">
        <v>60</v>
      </c>
      <c r="C71" s="144"/>
      <c r="D71" s="41"/>
      <c r="E71" s="43"/>
      <c r="F71" s="73"/>
      <c r="G71" s="82"/>
      <c r="H71" s="82"/>
      <c r="I71" s="82"/>
      <c r="J71" s="327"/>
    </row>
    <row r="72" spans="1:10" ht="15.75" customHeight="1" x14ac:dyDescent="0.25">
      <c r="A72" s="101">
        <f>+A69+1</f>
        <v>41</v>
      </c>
      <c r="B72" s="41"/>
      <c r="C72" s="144" t="s">
        <v>61</v>
      </c>
      <c r="D72" s="41"/>
      <c r="E72" s="43" t="s">
        <v>59</v>
      </c>
      <c r="F72" s="45" t="s">
        <v>22</v>
      </c>
      <c r="G72" s="82">
        <v>0</v>
      </c>
      <c r="H72" s="82">
        <v>0</v>
      </c>
      <c r="I72" s="82">
        <f t="shared" si="4"/>
        <v>0</v>
      </c>
      <c r="J72" s="327">
        <v>0</v>
      </c>
    </row>
    <row r="73" spans="1:10" x14ac:dyDescent="0.2">
      <c r="A73" s="65"/>
      <c r="B73" s="151"/>
      <c r="C73" s="57"/>
      <c r="D73" s="57"/>
      <c r="E73" s="43"/>
      <c r="F73" s="152"/>
      <c r="G73" s="82"/>
      <c r="H73" s="82"/>
      <c r="I73" s="82"/>
      <c r="J73" s="327"/>
    </row>
    <row r="74" spans="1:10" ht="15.75" x14ac:dyDescent="0.25">
      <c r="A74" s="65"/>
      <c r="B74" s="144" t="s">
        <v>62</v>
      </c>
      <c r="C74" s="114"/>
      <c r="D74" s="57"/>
      <c r="E74" s="43"/>
      <c r="F74" s="153"/>
      <c r="G74" s="82"/>
      <c r="H74" s="82"/>
      <c r="I74" s="82"/>
      <c r="J74" s="327"/>
    </row>
    <row r="75" spans="1:10" ht="15.75" customHeight="1" x14ac:dyDescent="0.25">
      <c r="A75" s="65">
        <f>+A72+1</f>
        <v>42</v>
      </c>
      <c r="B75" s="154"/>
      <c r="C75" s="155" t="s">
        <v>63</v>
      </c>
      <c r="D75" s="68"/>
      <c r="E75" s="156" t="s">
        <v>64</v>
      </c>
      <c r="F75" s="157" t="s">
        <v>22</v>
      </c>
      <c r="G75" s="109"/>
      <c r="H75" s="109"/>
      <c r="I75" s="109">
        <f t="shared" si="4"/>
        <v>0</v>
      </c>
      <c r="J75" s="369">
        <v>0</v>
      </c>
    </row>
    <row r="76" spans="1:10" ht="15.75" customHeight="1" x14ac:dyDescent="0.25">
      <c r="A76" s="65">
        <f>+A75+1</f>
        <v>43</v>
      </c>
      <c r="B76" s="151"/>
      <c r="C76" s="9" t="s">
        <v>65</v>
      </c>
      <c r="D76" s="57"/>
      <c r="E76" s="102"/>
      <c r="F76" s="73" t="str">
        <f>"(Line "&amp;A75&amp;")"</f>
        <v>(Line 42)</v>
      </c>
      <c r="G76" s="82">
        <v>0</v>
      </c>
      <c r="H76" s="82">
        <v>0</v>
      </c>
      <c r="I76" s="82">
        <f t="shared" si="4"/>
        <v>0</v>
      </c>
      <c r="J76" s="327"/>
    </row>
    <row r="77" spans="1:10" ht="16.5" customHeight="1" x14ac:dyDescent="0.25">
      <c r="A77" s="65"/>
      <c r="B77" s="151"/>
      <c r="C77" s="9"/>
      <c r="D77" s="57"/>
      <c r="E77" s="102"/>
      <c r="F77" s="73"/>
      <c r="G77" s="82"/>
      <c r="H77" s="82"/>
      <c r="I77" s="82"/>
      <c r="J77" s="327"/>
    </row>
    <row r="78" spans="1:10" ht="15.75" x14ac:dyDescent="0.25">
      <c r="A78" s="65">
        <f>+A76+1</f>
        <v>44</v>
      </c>
      <c r="B78" s="33" t="s">
        <v>66</v>
      </c>
      <c r="C78" s="57"/>
      <c r="D78" s="160"/>
      <c r="E78" s="103" t="e">
        <f>"(Note "&amp;#REF!&amp;")"</f>
        <v>#REF!</v>
      </c>
      <c r="F78" s="73" t="str">
        <f>+F72</f>
        <v>Attachment 5</v>
      </c>
      <c r="G78" s="82">
        <v>0</v>
      </c>
      <c r="H78" s="82">
        <v>0</v>
      </c>
      <c r="I78" s="82">
        <f t="shared" si="4"/>
        <v>0</v>
      </c>
      <c r="J78" s="327"/>
    </row>
    <row r="79" spans="1:10" ht="15.75" x14ac:dyDescent="0.25">
      <c r="A79" s="65"/>
      <c r="B79" s="33"/>
      <c r="C79" s="57"/>
      <c r="D79" s="160"/>
      <c r="E79" s="103"/>
      <c r="F79" s="73"/>
      <c r="G79" s="82"/>
      <c r="H79" s="82"/>
      <c r="I79" s="82"/>
      <c r="J79" s="327"/>
    </row>
    <row r="80" spans="1:10" ht="15.75" x14ac:dyDescent="0.25">
      <c r="A80" s="65">
        <f>+A78+1</f>
        <v>45</v>
      </c>
      <c r="B80" s="33" t="s">
        <v>67</v>
      </c>
      <c r="C80" s="57"/>
      <c r="D80" s="160"/>
      <c r="E80" s="103"/>
      <c r="F80" s="73"/>
      <c r="G80" s="82"/>
      <c r="H80" s="82"/>
      <c r="I80" s="82"/>
      <c r="J80" s="327"/>
    </row>
    <row r="81" spans="1:10" ht="15.75" x14ac:dyDescent="0.25">
      <c r="A81" s="65">
        <f>+A80+1</f>
        <v>46</v>
      </c>
      <c r="B81" s="33" t="s">
        <v>68</v>
      </c>
      <c r="C81" s="57"/>
      <c r="D81" s="160"/>
      <c r="E81" s="103"/>
      <c r="F81" s="73"/>
      <c r="G81" s="167"/>
      <c r="H81" s="167"/>
      <c r="I81" s="82"/>
      <c r="J81" s="327"/>
    </row>
    <row r="82" spans="1:10" ht="15.75" customHeight="1" x14ac:dyDescent="0.25">
      <c r="A82" s="65"/>
      <c r="B82" s="151"/>
      <c r="C82" s="9"/>
      <c r="D82" s="57"/>
      <c r="E82" s="102"/>
      <c r="F82" s="73"/>
      <c r="G82" s="82"/>
      <c r="H82" s="82"/>
      <c r="I82" s="82"/>
      <c r="J82" s="327"/>
    </row>
    <row r="83" spans="1:10" ht="15.75" customHeight="1" x14ac:dyDescent="0.25">
      <c r="A83" s="65"/>
      <c r="B83" s="144" t="s">
        <v>69</v>
      </c>
      <c r="C83" s="41"/>
      <c r="D83" s="41"/>
      <c r="E83" s="168"/>
      <c r="F83" s="169"/>
      <c r="G83" s="82"/>
      <c r="H83" s="82"/>
      <c r="I83" s="82"/>
      <c r="J83" s="327"/>
    </row>
    <row r="84" spans="1:10" ht="15.75" customHeight="1" x14ac:dyDescent="0.2">
      <c r="A84" s="101">
        <f>+A81+1</f>
        <v>47</v>
      </c>
      <c r="B84" s="41"/>
      <c r="C84" s="41" t="s">
        <v>70</v>
      </c>
      <c r="D84" s="57"/>
      <c r="E84" s="103" t="e">
        <f>"(Note "&amp;#REF!&amp;")"</f>
        <v>#REF!</v>
      </c>
      <c r="F84" s="171" t="s">
        <v>22</v>
      </c>
      <c r="G84" s="82">
        <v>0</v>
      </c>
      <c r="H84" s="82">
        <v>0</v>
      </c>
      <c r="I84" s="82">
        <f t="shared" si="4"/>
        <v>0</v>
      </c>
      <c r="J84" s="327">
        <v>0</v>
      </c>
    </row>
    <row r="85" spans="1:10" s="5" customFormat="1" ht="15.75" customHeight="1" x14ac:dyDescent="0.2">
      <c r="A85" s="65">
        <f>+A84+1</f>
        <v>48</v>
      </c>
      <c r="B85" s="151"/>
      <c r="C85" s="155" t="s">
        <v>41</v>
      </c>
      <c r="D85" s="125"/>
      <c r="E85" s="173"/>
      <c r="F85" s="83" t="str">
        <f>"(Line "&amp;A$13&amp;")"</f>
        <v>(Line 5)</v>
      </c>
      <c r="G85" s="116"/>
      <c r="H85" s="116"/>
      <c r="I85" s="369">
        <f t="shared" si="4"/>
        <v>0</v>
      </c>
      <c r="J85" s="369">
        <f t="shared" si="4"/>
        <v>0</v>
      </c>
    </row>
    <row r="86" spans="1:10" ht="15.75" customHeight="1" x14ac:dyDescent="0.2">
      <c r="A86" s="65">
        <f>+A85+1</f>
        <v>49</v>
      </c>
      <c r="B86" s="151"/>
      <c r="C86" s="114" t="s">
        <v>71</v>
      </c>
      <c r="D86" s="57"/>
      <c r="E86" s="43"/>
      <c r="F86" s="73" t="str">
        <f>"(Line "&amp;A84&amp;" * "&amp;A85&amp;")"</f>
        <v>(Line 47 * 48)</v>
      </c>
      <c r="G86" s="176">
        <v>0</v>
      </c>
      <c r="H86" s="176">
        <v>0</v>
      </c>
      <c r="I86" s="82">
        <f t="shared" si="4"/>
        <v>0</v>
      </c>
      <c r="J86" s="327"/>
    </row>
    <row r="87" spans="1:10" ht="15.75" customHeight="1" x14ac:dyDescent="0.2">
      <c r="A87" s="65">
        <f>+A86+1</f>
        <v>50</v>
      </c>
      <c r="B87" s="151"/>
      <c r="C87" s="114" t="s">
        <v>72</v>
      </c>
      <c r="D87" s="57"/>
      <c r="E87" s="177"/>
      <c r="F87" s="157" t="s">
        <v>22</v>
      </c>
      <c r="G87" s="178">
        <v>0</v>
      </c>
      <c r="H87" s="178">
        <v>0</v>
      </c>
      <c r="I87" s="109">
        <f t="shared" si="4"/>
        <v>0</v>
      </c>
      <c r="J87" s="369"/>
    </row>
    <row r="88" spans="1:10" ht="18" customHeight="1" x14ac:dyDescent="0.25">
      <c r="A88" s="65">
        <f>+A87+1</f>
        <v>51</v>
      </c>
      <c r="B88" s="151"/>
      <c r="C88" s="179" t="s">
        <v>73</v>
      </c>
      <c r="D88" s="180"/>
      <c r="E88" s="181"/>
      <c r="F88" s="73" t="str">
        <f>"(Line "&amp;A86&amp;" + "&amp;A87&amp;")"</f>
        <v>(Line 49 + 50)</v>
      </c>
      <c r="G88" s="182">
        <v>0</v>
      </c>
      <c r="H88" s="182">
        <v>0</v>
      </c>
      <c r="I88" s="216">
        <f t="shared" si="4"/>
        <v>0</v>
      </c>
      <c r="J88" s="398"/>
    </row>
    <row r="89" spans="1:10" ht="15.75" customHeight="1" x14ac:dyDescent="0.2">
      <c r="A89" s="65"/>
      <c r="B89" s="151"/>
      <c r="C89" s="114"/>
      <c r="D89" s="34"/>
      <c r="E89" s="40"/>
      <c r="F89" s="183"/>
      <c r="G89" s="163"/>
      <c r="H89" s="163"/>
      <c r="I89" s="82"/>
      <c r="J89" s="327"/>
    </row>
    <row r="90" spans="1:10" ht="15.75" customHeight="1" x14ac:dyDescent="0.25">
      <c r="A90" s="65"/>
      <c r="B90" s="144" t="s">
        <v>74</v>
      </c>
      <c r="C90" s="41"/>
      <c r="D90" s="57"/>
      <c r="E90" s="43"/>
      <c r="F90" s="169"/>
      <c r="G90" s="163"/>
      <c r="H90" s="163"/>
      <c r="I90" s="82"/>
      <c r="J90" s="327"/>
    </row>
    <row r="91" spans="1:10" ht="15.75" customHeight="1" x14ac:dyDescent="0.2">
      <c r="A91" s="65">
        <f>+A88+1</f>
        <v>52</v>
      </c>
      <c r="B91" s="151"/>
      <c r="C91" s="114" t="s">
        <v>75</v>
      </c>
      <c r="D91" s="124"/>
      <c r="E91" s="43"/>
      <c r="F91" s="73" t="str">
        <f>"(Line "&amp;A$135&amp;")"</f>
        <v>(Line 82)</v>
      </c>
      <c r="G91" s="163">
        <v>0</v>
      </c>
      <c r="H91" s="163">
        <v>0</v>
      </c>
      <c r="I91" s="82">
        <f t="shared" si="4"/>
        <v>0</v>
      </c>
      <c r="J91" s="327"/>
    </row>
    <row r="92" spans="1:10" ht="15.75" customHeight="1" x14ac:dyDescent="0.2">
      <c r="A92" s="65">
        <f>+A91+1</f>
        <v>53</v>
      </c>
      <c r="B92" s="151"/>
      <c r="C92" s="124" t="s">
        <v>76</v>
      </c>
      <c r="D92" s="124"/>
      <c r="E92" s="103" t="s">
        <v>77</v>
      </c>
      <c r="F92" s="157"/>
      <c r="G92" s="178">
        <v>0</v>
      </c>
      <c r="H92" s="178">
        <v>0</v>
      </c>
      <c r="I92" s="109"/>
      <c r="J92" s="369"/>
    </row>
    <row r="93" spans="1:10" s="8" customFormat="1" ht="16.5" customHeight="1" x14ac:dyDescent="0.25">
      <c r="A93" s="65">
        <f>+A92+1</f>
        <v>54</v>
      </c>
      <c r="B93" s="186"/>
      <c r="C93" s="146" t="s">
        <v>78</v>
      </c>
      <c r="D93" s="187"/>
      <c r="E93" s="188"/>
      <c r="F93" s="73" t="str">
        <f>"(Line "&amp;A91&amp;" * "&amp;A92&amp;")"</f>
        <v>(Line 52 * 53)</v>
      </c>
      <c r="G93" s="190">
        <v>0</v>
      </c>
      <c r="H93" s="190">
        <v>0</v>
      </c>
      <c r="I93" s="82"/>
      <c r="J93" s="327"/>
    </row>
    <row r="94" spans="1:10" s="8" customFormat="1" ht="15.75" customHeight="1" x14ac:dyDescent="0.25">
      <c r="A94" s="65"/>
      <c r="B94" s="186"/>
      <c r="C94" s="144"/>
      <c r="D94" s="191"/>
      <c r="E94" s="192"/>
      <c r="F94" s="36"/>
      <c r="G94" s="182"/>
      <c r="H94" s="182"/>
      <c r="I94" s="82"/>
      <c r="J94" s="327"/>
    </row>
    <row r="95" spans="1:10" s="8" customFormat="1" ht="15.75" customHeight="1" x14ac:dyDescent="0.25">
      <c r="A95" s="193"/>
      <c r="B95" s="144" t="s">
        <v>79</v>
      </c>
      <c r="C95" s="189"/>
      <c r="D95" s="191"/>
      <c r="E95" s="189"/>
      <c r="F95" s="36"/>
      <c r="G95" s="182"/>
      <c r="H95" s="182"/>
      <c r="I95" s="82"/>
      <c r="J95" s="327"/>
    </row>
    <row r="96" spans="1:10" ht="15.75" customHeight="1" x14ac:dyDescent="0.2">
      <c r="A96" s="65">
        <f>+A93+1</f>
        <v>55</v>
      </c>
      <c r="B96" s="4"/>
      <c r="C96" s="41" t="s">
        <v>80</v>
      </c>
      <c r="D96" s="4"/>
      <c r="E96" s="103" t="e">
        <f>"(Note "&amp;#REF!&amp;")"</f>
        <v>#REF!</v>
      </c>
      <c r="F96" s="45" t="s">
        <v>22</v>
      </c>
      <c r="G96" s="163">
        <v>0</v>
      </c>
      <c r="H96" s="163">
        <v>0</v>
      </c>
      <c r="I96" s="82"/>
      <c r="J96" s="327"/>
    </row>
    <row r="97" spans="1:10" ht="15.75" customHeight="1" x14ac:dyDescent="0.2">
      <c r="A97" s="61">
        <f>+A96+1</f>
        <v>56</v>
      </c>
      <c r="B97" s="4"/>
      <c r="C97" s="66" t="s">
        <v>81</v>
      </c>
      <c r="D97" s="194"/>
      <c r="E97" s="195" t="e">
        <f>+E96</f>
        <v>#REF!</v>
      </c>
      <c r="F97" s="69" t="s">
        <v>22</v>
      </c>
      <c r="G97" s="178">
        <v>0</v>
      </c>
      <c r="H97" s="178">
        <v>0</v>
      </c>
      <c r="I97" s="109"/>
      <c r="J97" s="369"/>
    </row>
    <row r="98" spans="1:10" ht="15.75" customHeight="1" x14ac:dyDescent="0.25">
      <c r="A98" s="61">
        <f>+A97+1</f>
        <v>57</v>
      </c>
      <c r="B98" s="4"/>
      <c r="C98" s="4" t="s">
        <v>82</v>
      </c>
      <c r="D98" s="4"/>
      <c r="E98" s="62"/>
      <c r="F98" s="36" t="str">
        <f>"(Line "&amp;A96&amp;" - "&amp;A97&amp;")"</f>
        <v>(Line 55 - 56)</v>
      </c>
      <c r="G98" s="182">
        <v>0</v>
      </c>
      <c r="H98" s="182">
        <v>0</v>
      </c>
      <c r="I98" s="82"/>
      <c r="J98" s="327"/>
    </row>
    <row r="99" spans="1:10" ht="15.75" customHeight="1" x14ac:dyDescent="0.2">
      <c r="A99" s="61"/>
      <c r="B99" s="4"/>
      <c r="C99" s="4"/>
      <c r="D99" s="4"/>
      <c r="E99" s="62"/>
      <c r="F99" s="63"/>
      <c r="G99" s="163"/>
      <c r="H99" s="163"/>
      <c r="I99" s="82"/>
      <c r="J99" s="327"/>
    </row>
    <row r="100" spans="1:10" ht="16.5" customHeight="1" thickBot="1" x14ac:dyDescent="0.3">
      <c r="A100" s="61">
        <f>+A98+1</f>
        <v>58</v>
      </c>
      <c r="B100" s="86" t="s">
        <v>83</v>
      </c>
      <c r="C100" s="86"/>
      <c r="D100" s="86"/>
      <c r="E100" s="132"/>
      <c r="F100" s="196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G100" s="197">
        <v>0</v>
      </c>
      <c r="H100" s="197">
        <v>0</v>
      </c>
      <c r="I100" s="121">
        <f t="shared" ref="I100:J158" si="6">G100-H100</f>
        <v>0</v>
      </c>
      <c r="J100" s="397">
        <v>0</v>
      </c>
    </row>
    <row r="101" spans="1:10" ht="16.5" customHeight="1" thickTop="1" x14ac:dyDescent="0.2">
      <c r="A101" s="61"/>
      <c r="B101" s="4"/>
      <c r="C101" s="4"/>
      <c r="D101" s="4"/>
      <c r="E101" s="62"/>
      <c r="F101" s="63"/>
      <c r="G101" s="82"/>
      <c r="H101" s="82"/>
      <c r="I101" s="82"/>
      <c r="J101" s="327"/>
    </row>
    <row r="102" spans="1:10" ht="16.5" customHeight="1" thickBot="1" x14ac:dyDescent="0.3">
      <c r="A102" s="39">
        <f>+A100+1</f>
        <v>59</v>
      </c>
      <c r="B102" s="86" t="s">
        <v>84</v>
      </c>
      <c r="C102" s="86"/>
      <c r="D102" s="86"/>
      <c r="E102" s="132"/>
      <c r="F102" s="92" t="str">
        <f>"(Line "&amp;A61&amp;" + "&amp;A100&amp;")"</f>
        <v>(Line 37 + 58)</v>
      </c>
      <c r="G102" s="121">
        <v>21336000</v>
      </c>
      <c r="H102" s="121">
        <v>23657846.15384616</v>
      </c>
      <c r="I102" s="121">
        <f t="shared" si="6"/>
        <v>-2321846.1538461596</v>
      </c>
      <c r="J102" s="397">
        <f t="shared" ref="J102:J158" si="7">(G102-H102)/H102</f>
        <v>-9.8142753095411719E-2</v>
      </c>
    </row>
    <row r="103" spans="1:10" ht="16.5" customHeight="1" thickTop="1" thickBot="1" x14ac:dyDescent="0.25">
      <c r="A103" s="200"/>
      <c r="B103" s="201"/>
      <c r="C103" s="201"/>
      <c r="D103" s="201"/>
      <c r="E103" s="202"/>
      <c r="F103" s="203"/>
      <c r="G103" s="419">
        <v>1.7364570863056986E-2</v>
      </c>
      <c r="H103" s="419">
        <v>2.2593172413191642E-2</v>
      </c>
      <c r="I103" s="327">
        <f>G103-H103</f>
        <v>-5.228601550134656E-3</v>
      </c>
      <c r="J103" s="327">
        <f t="shared" si="7"/>
        <v>-0.23142396536936946</v>
      </c>
    </row>
    <row r="104" spans="1:10" s="5" customFormat="1" ht="15.75" customHeight="1" thickBot="1" x14ac:dyDescent="0.3">
      <c r="A104" s="95" t="s">
        <v>85</v>
      </c>
      <c r="B104" s="17"/>
      <c r="C104" s="205"/>
      <c r="D104" s="18"/>
      <c r="E104" s="19"/>
      <c r="F104" s="96"/>
      <c r="G104" s="82"/>
      <c r="H104" s="82"/>
      <c r="I104" s="82"/>
      <c r="J104" s="82"/>
    </row>
    <row r="105" spans="1:10" s="5" customFormat="1" ht="15.75" customHeight="1" x14ac:dyDescent="0.25">
      <c r="A105" s="206"/>
      <c r="B105" s="25"/>
      <c r="C105" s="25"/>
      <c r="D105" s="25"/>
      <c r="E105" s="26"/>
      <c r="F105" s="27"/>
      <c r="G105" s="31"/>
      <c r="H105" s="31"/>
      <c r="I105" s="82"/>
      <c r="J105" s="327"/>
    </row>
    <row r="106" spans="1:10" ht="15.75" customHeight="1" x14ac:dyDescent="0.25">
      <c r="A106" s="39"/>
      <c r="B106" s="33" t="s">
        <v>86</v>
      </c>
      <c r="C106" s="34"/>
      <c r="D106" s="207"/>
      <c r="E106" s="35"/>
      <c r="F106" s="63"/>
      <c r="G106" s="82"/>
      <c r="H106" s="82"/>
      <c r="I106" s="82"/>
      <c r="J106" s="327"/>
    </row>
    <row r="107" spans="1:10" ht="15.75" customHeight="1" x14ac:dyDescent="0.2">
      <c r="A107" s="65">
        <f>+A102+1</f>
        <v>60</v>
      </c>
      <c r="B107" s="40"/>
      <c r="C107" s="91" t="s">
        <v>86</v>
      </c>
      <c r="D107" s="57"/>
      <c r="E107" s="43"/>
      <c r="F107" s="73" t="s">
        <v>87</v>
      </c>
      <c r="G107" s="82">
        <v>6301064.5999999996</v>
      </c>
      <c r="H107" s="82">
        <v>6128020</v>
      </c>
      <c r="I107" s="82">
        <f t="shared" si="6"/>
        <v>173044.59999999963</v>
      </c>
      <c r="J107" s="327">
        <f t="shared" si="7"/>
        <v>2.8238256402557373E-2</v>
      </c>
    </row>
    <row r="108" spans="1:10" ht="15.75" customHeight="1" x14ac:dyDescent="0.2">
      <c r="A108" s="65">
        <f>+A107+1</f>
        <v>61</v>
      </c>
      <c r="B108" s="102"/>
      <c r="C108" s="91" t="s">
        <v>88</v>
      </c>
      <c r="D108" s="57"/>
      <c r="E108" s="43"/>
      <c r="F108" s="73" t="s">
        <v>89</v>
      </c>
      <c r="G108" s="82"/>
      <c r="H108" s="82"/>
      <c r="I108" s="82"/>
      <c r="J108" s="327"/>
    </row>
    <row r="109" spans="1:10" ht="15.75" customHeight="1" x14ac:dyDescent="0.2">
      <c r="A109" s="65">
        <f>+A108+1</f>
        <v>62</v>
      </c>
      <c r="B109" s="102"/>
      <c r="C109" s="91" t="s">
        <v>90</v>
      </c>
      <c r="D109" s="57"/>
      <c r="E109" s="43"/>
      <c r="F109" s="73" t="s">
        <v>91</v>
      </c>
      <c r="G109" s="82"/>
      <c r="H109" s="82"/>
      <c r="I109" s="82"/>
      <c r="J109" s="327"/>
    </row>
    <row r="110" spans="1:10" ht="15.75" customHeight="1" x14ac:dyDescent="0.2">
      <c r="A110" s="65">
        <f>+A109+1</f>
        <v>63</v>
      </c>
      <c r="B110" s="40"/>
      <c r="C110" s="91" t="s">
        <v>92</v>
      </c>
      <c r="D110" s="34"/>
      <c r="E110" s="208" t="s">
        <v>93</v>
      </c>
      <c r="F110" s="83" t="s">
        <v>22</v>
      </c>
      <c r="G110" s="109">
        <v>5043640</v>
      </c>
      <c r="H110" s="109">
        <v>4930732</v>
      </c>
      <c r="I110" s="109">
        <f t="shared" si="6"/>
        <v>112908</v>
      </c>
      <c r="J110" s="369">
        <f t="shared" si="7"/>
        <v>2.2898831248585404E-2</v>
      </c>
    </row>
    <row r="111" spans="1:10" ht="15.75" customHeight="1" x14ac:dyDescent="0.25">
      <c r="A111" s="65">
        <f>+A110+1</f>
        <v>64</v>
      </c>
      <c r="B111" s="57"/>
      <c r="C111" s="117" t="s">
        <v>86</v>
      </c>
      <c r="D111" s="112"/>
      <c r="E111" s="113"/>
      <c r="F111" s="73" t="str">
        <f>"(Line "&amp;A107&amp;" - "&amp;A110&amp;")"</f>
        <v>(Line 60 - 63)</v>
      </c>
      <c r="G111" s="75">
        <v>1257424.5999999996</v>
      </c>
      <c r="H111" s="75">
        <v>1197288</v>
      </c>
      <c r="I111" s="82">
        <f t="shared" si="6"/>
        <v>60136.599999999627</v>
      </c>
      <c r="J111" s="327">
        <f t="shared" si="7"/>
        <v>5.02273471378646E-2</v>
      </c>
    </row>
    <row r="112" spans="1:10" ht="15.75" customHeight="1" x14ac:dyDescent="0.25">
      <c r="A112" s="65"/>
      <c r="B112" s="102"/>
      <c r="C112" s="33"/>
      <c r="D112" s="57"/>
      <c r="E112" s="58"/>
      <c r="F112" s="209"/>
      <c r="G112" s="82"/>
      <c r="H112" s="82"/>
      <c r="I112" s="82"/>
      <c r="J112" s="327"/>
    </row>
    <row r="113" spans="1:10" ht="15.75" customHeight="1" x14ac:dyDescent="0.25">
      <c r="A113" s="65"/>
      <c r="B113" s="33" t="s">
        <v>94</v>
      </c>
      <c r="C113" s="57"/>
      <c r="D113" s="57"/>
      <c r="E113" s="58"/>
      <c r="F113" s="209"/>
      <c r="G113" s="82"/>
      <c r="H113" s="82"/>
      <c r="I113" s="82"/>
      <c r="J113" s="327"/>
    </row>
    <row r="114" spans="1:10" ht="15.75" customHeight="1" x14ac:dyDescent="0.2">
      <c r="A114" s="65">
        <f>+A111+1</f>
        <v>65</v>
      </c>
      <c r="B114" s="102"/>
      <c r="C114" s="91" t="s">
        <v>95</v>
      </c>
      <c r="D114" s="57"/>
      <c r="E114" s="43"/>
      <c r="F114" s="73" t="s">
        <v>96</v>
      </c>
      <c r="G114" s="82"/>
      <c r="H114" s="82"/>
      <c r="I114" s="82">
        <f t="shared" si="6"/>
        <v>0</v>
      </c>
      <c r="J114" s="327"/>
    </row>
    <row r="115" spans="1:10" ht="15.75" customHeight="1" x14ac:dyDescent="0.2">
      <c r="A115" s="65">
        <f>+A114+1</f>
        <v>66</v>
      </c>
      <c r="B115" s="102"/>
      <c r="C115" s="91" t="s">
        <v>97</v>
      </c>
      <c r="D115" s="57"/>
      <c r="E115" s="43"/>
      <c r="F115" s="73" t="s">
        <v>22</v>
      </c>
      <c r="G115" s="82"/>
      <c r="H115" s="82"/>
      <c r="I115" s="82">
        <f t="shared" si="6"/>
        <v>0</v>
      </c>
      <c r="J115" s="327"/>
    </row>
    <row r="116" spans="1:10" ht="15.75" customHeight="1" x14ac:dyDescent="0.2">
      <c r="A116" s="65">
        <f>+A115+1</f>
        <v>67</v>
      </c>
      <c r="B116" s="102"/>
      <c r="C116" s="91" t="s">
        <v>98</v>
      </c>
      <c r="D116" s="122"/>
      <c r="E116" s="43"/>
      <c r="F116" s="210" t="s">
        <v>99</v>
      </c>
      <c r="G116" s="82"/>
      <c r="H116" s="82"/>
      <c r="I116" s="82">
        <f t="shared" si="6"/>
        <v>0</v>
      </c>
      <c r="J116" s="327"/>
    </row>
    <row r="117" spans="1:10" ht="15.75" customHeight="1" x14ac:dyDescent="0.2">
      <c r="A117" s="65">
        <f t="shared" ref="A117:A122" si="8">+A116+1</f>
        <v>68</v>
      </c>
      <c r="B117" s="102"/>
      <c r="C117" s="91" t="s">
        <v>100</v>
      </c>
      <c r="D117" s="122"/>
      <c r="E117" s="103" t="e">
        <f>"(Note "&amp;#REF!&amp;")"</f>
        <v>#REF!</v>
      </c>
      <c r="F117" s="210" t="s">
        <v>101</v>
      </c>
      <c r="G117" s="82"/>
      <c r="H117" s="82"/>
      <c r="I117" s="82">
        <f t="shared" si="6"/>
        <v>0</v>
      </c>
      <c r="J117" s="327"/>
    </row>
    <row r="118" spans="1:10" ht="15.75" customHeight="1" x14ac:dyDescent="0.2">
      <c r="A118" s="65">
        <f t="shared" si="8"/>
        <v>69</v>
      </c>
      <c r="B118" s="102"/>
      <c r="C118" s="91" t="s">
        <v>102</v>
      </c>
      <c r="D118" s="122"/>
      <c r="E118" s="43"/>
      <c r="F118" s="210" t="s">
        <v>103</v>
      </c>
      <c r="G118" s="82"/>
      <c r="H118" s="82"/>
      <c r="I118" s="82">
        <f t="shared" si="6"/>
        <v>0</v>
      </c>
      <c r="J118" s="327"/>
    </row>
    <row r="119" spans="1:10" x14ac:dyDescent="0.2">
      <c r="A119" s="65">
        <f t="shared" si="8"/>
        <v>70</v>
      </c>
      <c r="B119" s="102"/>
      <c r="C119" s="91" t="s">
        <v>104</v>
      </c>
      <c r="D119" s="4"/>
      <c r="E119" s="103" t="e">
        <f>"(Note "&amp;#REF!&amp;")"</f>
        <v>#REF!</v>
      </c>
      <c r="F119" s="83" t="s">
        <v>105</v>
      </c>
      <c r="G119" s="82"/>
      <c r="H119" s="82"/>
      <c r="I119" s="109"/>
      <c r="J119" s="369"/>
    </row>
    <row r="120" spans="1:10" ht="15.75" customHeight="1" x14ac:dyDescent="0.25">
      <c r="A120" s="65">
        <f t="shared" si="8"/>
        <v>71</v>
      </c>
      <c r="B120" s="102"/>
      <c r="C120" s="117" t="s">
        <v>106</v>
      </c>
      <c r="D120" s="112"/>
      <c r="E120" s="48"/>
      <c r="F120" s="36" t="str">
        <f>"(Line "&amp;A114&amp;") -  Sum ("&amp;A115&amp;" to "&amp;A119&amp;")"</f>
        <v>(Line 65) -  Sum (66 to 70)</v>
      </c>
      <c r="G120" s="50">
        <v>150097191</v>
      </c>
      <c r="H120" s="50">
        <v>149526591.05000001</v>
      </c>
      <c r="I120" s="82">
        <f t="shared" si="6"/>
        <v>570599.94999998808</v>
      </c>
      <c r="J120" s="327">
        <f t="shared" si="7"/>
        <v>3.8160433270974918E-3</v>
      </c>
    </row>
    <row r="121" spans="1:10" ht="15.75" customHeight="1" x14ac:dyDescent="0.2">
      <c r="A121" s="65">
        <f t="shared" si="8"/>
        <v>72</v>
      </c>
      <c r="B121" s="102"/>
      <c r="C121" s="91" t="s">
        <v>41</v>
      </c>
      <c r="D121" s="125"/>
      <c r="E121" s="106"/>
      <c r="F121" s="212" t="str">
        <f>"(Line "&amp;A$13&amp;")"</f>
        <v>(Line 5)</v>
      </c>
      <c r="G121" s="116"/>
      <c r="H121" s="116"/>
      <c r="I121" s="369">
        <f t="shared" si="6"/>
        <v>0</v>
      </c>
      <c r="J121" s="369">
        <f t="shared" si="6"/>
        <v>0</v>
      </c>
    </row>
    <row r="122" spans="1:10" ht="15.75" customHeight="1" x14ac:dyDescent="0.25">
      <c r="A122" s="65">
        <f t="shared" si="8"/>
        <v>73</v>
      </c>
      <c r="B122" s="102"/>
      <c r="C122" s="117" t="s">
        <v>107</v>
      </c>
      <c r="D122" s="57"/>
      <c r="E122" s="160"/>
      <c r="F122" s="73" t="str">
        <f>"(Line "&amp;A120&amp;" * "&amp;A121&amp;")"</f>
        <v>(Line 71 * 72)</v>
      </c>
      <c r="G122" s="213">
        <v>0</v>
      </c>
      <c r="H122" s="213">
        <v>0</v>
      </c>
      <c r="I122" s="216">
        <f t="shared" si="6"/>
        <v>0</v>
      </c>
      <c r="J122" s="216">
        <f t="shared" si="6"/>
        <v>0</v>
      </c>
    </row>
    <row r="123" spans="1:10" ht="15.75" customHeight="1" x14ac:dyDescent="0.25">
      <c r="A123" s="65"/>
      <c r="B123" s="102"/>
      <c r="C123" s="33"/>
      <c r="D123" s="57"/>
      <c r="E123" s="58"/>
      <c r="F123" s="209"/>
      <c r="G123" s="82"/>
      <c r="H123" s="82"/>
      <c r="I123" s="82"/>
      <c r="J123" s="327"/>
    </row>
    <row r="124" spans="1:10" ht="15.75" customHeight="1" x14ac:dyDescent="0.25">
      <c r="A124" s="65"/>
      <c r="B124" s="33" t="s">
        <v>108</v>
      </c>
      <c r="C124" s="41"/>
      <c r="D124" s="57"/>
      <c r="E124" s="58"/>
      <c r="F124" s="209"/>
      <c r="G124" s="82"/>
      <c r="H124" s="82"/>
      <c r="I124" s="82"/>
      <c r="J124" s="327"/>
    </row>
    <row r="125" spans="1:10" ht="15.75" customHeight="1" x14ac:dyDescent="0.2">
      <c r="A125" s="65">
        <f>+A122+1</f>
        <v>74</v>
      </c>
      <c r="B125" s="151"/>
      <c r="C125" s="114" t="s">
        <v>109</v>
      </c>
      <c r="D125" s="103"/>
      <c r="E125" s="103" t="e">
        <f>"(Note "&amp;#REF!&amp;")"</f>
        <v>#REF!</v>
      </c>
      <c r="F125" s="171" t="s">
        <v>22</v>
      </c>
      <c r="G125" s="82">
        <v>749308.64760277886</v>
      </c>
      <c r="H125" s="82">
        <v>556275.57618301036</v>
      </c>
      <c r="I125" s="82">
        <f t="shared" si="6"/>
        <v>193033.0714197685</v>
      </c>
      <c r="J125" s="327">
        <f t="shared" si="7"/>
        <v>0.34700979098219858</v>
      </c>
    </row>
    <row r="126" spans="1:10" ht="15.75" customHeight="1" x14ac:dyDescent="0.2">
      <c r="A126" s="65">
        <f>+A125+1</f>
        <v>75</v>
      </c>
      <c r="B126" s="151"/>
      <c r="C126" s="155" t="s">
        <v>110</v>
      </c>
      <c r="D126" s="214"/>
      <c r="E126" s="68" t="e">
        <f>"(Note "&amp;#REF!&amp;")"</f>
        <v>#REF!</v>
      </c>
      <c r="F126" s="157" t="s">
        <v>22</v>
      </c>
      <c r="G126" s="109">
        <v>0</v>
      </c>
      <c r="H126" s="109">
        <v>0</v>
      </c>
      <c r="I126" s="109"/>
      <c r="J126" s="369"/>
    </row>
    <row r="127" spans="1:10" ht="15.75" customHeight="1" x14ac:dyDescent="0.25">
      <c r="A127" s="65">
        <f>+A126+1</f>
        <v>76</v>
      </c>
      <c r="B127" s="151"/>
      <c r="C127" s="114" t="s">
        <v>111</v>
      </c>
      <c r="D127" s="215"/>
      <c r="E127" s="168"/>
      <c r="F127" s="73" t="str">
        <f>"(Line "&amp;A125&amp;" + "&amp;A126&amp;")"</f>
        <v>(Line 74 + 75)</v>
      </c>
      <c r="G127" s="82">
        <v>749308.64760277886</v>
      </c>
      <c r="H127" s="82">
        <v>556275.57618301036</v>
      </c>
      <c r="I127" s="216">
        <f t="shared" si="6"/>
        <v>193033.0714197685</v>
      </c>
      <c r="J127" s="398">
        <f t="shared" si="7"/>
        <v>0.34700979098219858</v>
      </c>
    </row>
    <row r="128" spans="1:10" ht="15.75" customHeight="1" x14ac:dyDescent="0.2">
      <c r="A128" s="65"/>
      <c r="B128" s="151"/>
      <c r="C128" s="114"/>
      <c r="D128" s="215"/>
      <c r="E128" s="168"/>
      <c r="F128" s="171"/>
      <c r="G128" s="82"/>
      <c r="H128" s="82"/>
      <c r="I128" s="82"/>
      <c r="J128" s="327"/>
    </row>
    <row r="129" spans="1:10" ht="15.75" customHeight="1" x14ac:dyDescent="0.2">
      <c r="A129" s="65">
        <f>+A127+1</f>
        <v>77</v>
      </c>
      <c r="B129" s="151"/>
      <c r="C129" s="114" t="s">
        <v>112</v>
      </c>
      <c r="D129" s="215"/>
      <c r="E129" s="103" t="e">
        <f>"(Note "&amp;#REF!&amp;")"</f>
        <v>#REF!</v>
      </c>
      <c r="F129" s="123" t="str">
        <f>"(Line "&amp;A116&amp;")"</f>
        <v>(Line 67)</v>
      </c>
      <c r="G129" s="82"/>
      <c r="H129" s="82"/>
      <c r="I129" s="82">
        <f t="shared" si="6"/>
        <v>0</v>
      </c>
      <c r="J129" s="327"/>
    </row>
    <row r="130" spans="1:10" ht="16.5" customHeight="1" x14ac:dyDescent="0.2">
      <c r="A130" s="65">
        <f>+A129+1</f>
        <v>78</v>
      </c>
      <c r="B130" s="151"/>
      <c r="C130" s="114" t="s">
        <v>110</v>
      </c>
      <c r="D130" s="215"/>
      <c r="E130" s="103"/>
      <c r="F130" s="157" t="s">
        <v>22</v>
      </c>
      <c r="G130" s="109"/>
      <c r="H130" s="109"/>
      <c r="I130" s="109"/>
      <c r="J130" s="369"/>
    </row>
    <row r="131" spans="1:10" ht="15.75" customHeight="1" x14ac:dyDescent="0.2">
      <c r="A131" s="65">
        <f>+A130+1</f>
        <v>79</v>
      </c>
      <c r="B131" s="151"/>
      <c r="C131" s="218" t="s">
        <v>18</v>
      </c>
      <c r="D131" s="219"/>
      <c r="E131" s="113"/>
      <c r="F131" s="73" t="str">
        <f>"(Line "&amp;A129&amp;" + "&amp;A130&amp;")"</f>
        <v>(Line 77 + 78)</v>
      </c>
      <c r="G131" s="82"/>
      <c r="H131" s="82"/>
      <c r="I131" s="82">
        <f t="shared" si="6"/>
        <v>0</v>
      </c>
      <c r="J131" s="327"/>
    </row>
    <row r="132" spans="1:10" ht="15.75" customHeight="1" x14ac:dyDescent="0.2">
      <c r="A132" s="65">
        <f>+A131+1</f>
        <v>80</v>
      </c>
      <c r="B132" s="102"/>
      <c r="C132" s="218" t="s">
        <v>113</v>
      </c>
      <c r="D132" s="124"/>
      <c r="E132" s="173"/>
      <c r="F132" s="83" t="str">
        <f>"(Line "&amp;A$26&amp;")"</f>
        <v>(Line 14)</v>
      </c>
      <c r="G132" s="109"/>
      <c r="H132" s="109"/>
      <c r="I132" s="369"/>
      <c r="J132" s="369"/>
    </row>
    <row r="133" spans="1:10" ht="15.75" customHeight="1" x14ac:dyDescent="0.25">
      <c r="A133" s="65">
        <f>+A132+1</f>
        <v>81</v>
      </c>
      <c r="B133" s="102"/>
      <c r="C133" s="117" t="s">
        <v>114</v>
      </c>
      <c r="D133" s="112"/>
      <c r="E133" s="103" t="s">
        <v>115</v>
      </c>
      <c r="F133" s="73" t="str">
        <f>"(Line "&amp;A131&amp;" * "&amp;A132&amp;")"</f>
        <v>(Line 79 * 80)</v>
      </c>
      <c r="G133" s="221">
        <v>0</v>
      </c>
      <c r="H133" s="221">
        <v>0</v>
      </c>
      <c r="I133" s="216">
        <f t="shared" si="6"/>
        <v>0</v>
      </c>
      <c r="J133" s="398"/>
    </row>
    <row r="134" spans="1:10" ht="15.75" customHeight="1" x14ac:dyDescent="0.25">
      <c r="A134" s="39"/>
      <c r="B134" s="40"/>
      <c r="C134" s="33"/>
      <c r="D134" s="57"/>
      <c r="E134" s="35"/>
      <c r="F134" s="59"/>
      <c r="G134" s="82"/>
      <c r="H134" s="82"/>
      <c r="I134" s="82"/>
      <c r="J134" s="327"/>
    </row>
    <row r="135" spans="1:10" ht="16.5" customHeight="1" thickBot="1" x14ac:dyDescent="0.3">
      <c r="A135" s="39">
        <f>+A133+1</f>
        <v>82</v>
      </c>
      <c r="B135" s="40"/>
      <c r="C135" s="51" t="s">
        <v>116</v>
      </c>
      <c r="D135" s="52"/>
      <c r="E135" s="222"/>
      <c r="F135" s="198" t="str">
        <f>"(Line "&amp;A111&amp;" + "&amp;A122&amp;" + "&amp;A127&amp;" + "&amp;A133&amp;")"</f>
        <v>(Line 64 + 73 + 76 + 81)</v>
      </c>
      <c r="G135" s="223">
        <v>2006733.2476027785</v>
      </c>
      <c r="H135" s="223">
        <v>1753563.5761830104</v>
      </c>
      <c r="I135" s="412">
        <f t="shared" si="6"/>
        <v>253169.67141976813</v>
      </c>
      <c r="J135" s="397">
        <f t="shared" si="7"/>
        <v>0.14437438987575443</v>
      </c>
    </row>
    <row r="136" spans="1:10" ht="16.5" customHeight="1" thickTop="1" thickBot="1" x14ac:dyDescent="0.3">
      <c r="A136" s="224"/>
      <c r="B136" s="225"/>
      <c r="C136" s="226"/>
      <c r="D136" s="227"/>
      <c r="E136" s="228"/>
      <c r="F136" s="229"/>
      <c r="G136" s="420"/>
      <c r="H136" s="420"/>
      <c r="I136" s="82"/>
      <c r="J136" s="327"/>
    </row>
    <row r="137" spans="1:10" ht="15.75" customHeight="1" x14ac:dyDescent="0.25">
      <c r="A137" s="95" t="s">
        <v>117</v>
      </c>
      <c r="B137" s="17"/>
      <c r="C137" s="205"/>
      <c r="D137" s="18"/>
      <c r="E137" s="19"/>
      <c r="F137" s="96"/>
      <c r="G137" s="82"/>
      <c r="H137" s="82"/>
      <c r="I137" s="82"/>
      <c r="J137" s="82"/>
    </row>
    <row r="138" spans="1:10" ht="15.75" customHeight="1" x14ac:dyDescent="0.25">
      <c r="A138" s="231"/>
      <c r="B138" s="40"/>
      <c r="C138" s="33"/>
      <c r="D138" s="57"/>
      <c r="E138" s="35"/>
      <c r="F138" s="59"/>
      <c r="G138" s="82"/>
      <c r="H138" s="82"/>
      <c r="I138" s="82"/>
      <c r="J138" s="327"/>
    </row>
    <row r="139" spans="1:10" ht="15.75" customHeight="1" x14ac:dyDescent="0.25">
      <c r="A139" s="61"/>
      <c r="B139" s="232" t="e">
        <f>"Depreciation Expense  (Note "&amp;#REF!&amp;")"</f>
        <v>#REF!</v>
      </c>
      <c r="C139" s="41"/>
      <c r="D139" s="57"/>
      <c r="E139" s="43"/>
      <c r="F139" s="233"/>
      <c r="G139" s="82"/>
      <c r="H139" s="82"/>
      <c r="I139" s="82"/>
      <c r="J139" s="327"/>
    </row>
    <row r="140" spans="1:10" ht="15.75" customHeight="1" x14ac:dyDescent="0.2">
      <c r="A140" s="39">
        <f>+A135+1</f>
        <v>83</v>
      </c>
      <c r="B140" s="235"/>
      <c r="C140" s="155" t="s">
        <v>118</v>
      </c>
      <c r="D140" s="105"/>
      <c r="E140" s="173"/>
      <c r="F140" s="157" t="s">
        <v>119</v>
      </c>
      <c r="G140" s="109">
        <v>1486166.4000000004</v>
      </c>
      <c r="H140" s="109">
        <v>1538038</v>
      </c>
      <c r="I140" s="109">
        <f t="shared" si="6"/>
        <v>-51871.599999999627</v>
      </c>
      <c r="J140" s="369">
        <f t="shared" si="7"/>
        <v>-3.372582471954505E-2</v>
      </c>
    </row>
    <row r="141" spans="1:10" ht="15.75" customHeight="1" x14ac:dyDescent="0.25">
      <c r="A141" s="39">
        <f>A140+1</f>
        <v>84</v>
      </c>
      <c r="B141" s="235"/>
      <c r="C141" s="33" t="s">
        <v>120</v>
      </c>
      <c r="D141" s="102"/>
      <c r="E141" s="41"/>
      <c r="F141" s="123" t="str">
        <f>"(Line "&amp;A140&amp;")"</f>
        <v>(Line 83)</v>
      </c>
      <c r="G141" s="148">
        <v>1486166.4000000004</v>
      </c>
      <c r="H141" s="148">
        <v>1538038</v>
      </c>
      <c r="I141" s="82">
        <f t="shared" si="6"/>
        <v>-51871.599999999627</v>
      </c>
      <c r="J141" s="327">
        <f t="shared" si="7"/>
        <v>-3.372582471954505E-2</v>
      </c>
    </row>
    <row r="142" spans="1:10" ht="15.75" customHeight="1" x14ac:dyDescent="0.2">
      <c r="A142" s="39"/>
      <c r="B142" s="235"/>
      <c r="C142" s="114"/>
      <c r="D142" s="57"/>
      <c r="E142" s="102"/>
      <c r="F142" s="171"/>
      <c r="G142" s="82"/>
      <c r="H142" s="82"/>
      <c r="I142" s="82"/>
      <c r="J142" s="327"/>
    </row>
    <row r="143" spans="1:10" ht="15.75" customHeight="1" x14ac:dyDescent="0.2">
      <c r="A143" s="39">
        <f>+A140+1</f>
        <v>84</v>
      </c>
      <c r="B143" s="235"/>
      <c r="C143" s="114" t="s">
        <v>121</v>
      </c>
      <c r="D143" s="57"/>
      <c r="E143" s="102"/>
      <c r="F143" s="171" t="s">
        <v>122</v>
      </c>
      <c r="G143" s="82"/>
      <c r="H143" s="82"/>
      <c r="I143" s="82"/>
      <c r="J143" s="327"/>
    </row>
    <row r="144" spans="1:10" ht="15.75" customHeight="1" x14ac:dyDescent="0.2">
      <c r="A144" s="39">
        <f t="shared" ref="A144:A150" si="9">+A143+1</f>
        <v>85</v>
      </c>
      <c r="B144" s="235"/>
      <c r="C144" s="104" t="s">
        <v>37</v>
      </c>
      <c r="D144" s="105"/>
      <c r="E144" s="173"/>
      <c r="F144" s="157"/>
      <c r="G144" s="423"/>
      <c r="H144" s="423"/>
      <c r="I144" s="109"/>
      <c r="J144" s="369"/>
    </row>
    <row r="145" spans="1:10" ht="15.75" customHeight="1" x14ac:dyDescent="0.2">
      <c r="A145" s="39">
        <f t="shared" si="9"/>
        <v>86</v>
      </c>
      <c r="B145" s="4"/>
      <c r="C145" s="91" t="s">
        <v>123</v>
      </c>
      <c r="D145" s="41"/>
      <c r="E145" s="41"/>
      <c r="F145" s="45"/>
      <c r="G145" s="82"/>
      <c r="H145" s="82"/>
      <c r="I145" s="82"/>
      <c r="J145" s="327"/>
    </row>
    <row r="146" spans="1:10" s="5" customFormat="1" ht="15.75" customHeight="1" x14ac:dyDescent="0.2">
      <c r="A146" s="39">
        <f t="shared" si="9"/>
        <v>87</v>
      </c>
      <c r="B146" s="235"/>
      <c r="C146" s="114" t="s">
        <v>124</v>
      </c>
      <c r="D146" s="57"/>
      <c r="E146" s="102"/>
      <c r="F146" s="171" t="s">
        <v>125</v>
      </c>
      <c r="G146" s="82"/>
      <c r="H146" s="82"/>
      <c r="I146" s="82"/>
      <c r="J146" s="327"/>
    </row>
    <row r="147" spans="1:10" ht="15.75" customHeight="1" x14ac:dyDescent="0.2">
      <c r="A147" s="39">
        <f t="shared" si="9"/>
        <v>88</v>
      </c>
      <c r="B147" s="235"/>
      <c r="C147" s="155" t="s">
        <v>126</v>
      </c>
      <c r="D147" s="105"/>
      <c r="E147" s="68" t="e">
        <f>"(Note "&amp;#REF!&amp;")"</f>
        <v>#REF!</v>
      </c>
      <c r="F147" s="157" t="s">
        <v>127</v>
      </c>
      <c r="G147" s="109"/>
      <c r="H147" s="109"/>
      <c r="I147" s="109"/>
      <c r="J147" s="369"/>
    </row>
    <row r="148" spans="1:10" ht="15.75" customHeight="1" x14ac:dyDescent="0.2">
      <c r="A148" s="39">
        <f t="shared" si="9"/>
        <v>89</v>
      </c>
      <c r="B148" s="235"/>
      <c r="C148" s="114" t="s">
        <v>18</v>
      </c>
      <c r="D148" s="57"/>
      <c r="E148" s="102"/>
      <c r="F148" s="73" t="str">
        <f>"(Line "&amp;A146&amp;" + "&amp;A147&amp;")"</f>
        <v>(Line 87 + 88)</v>
      </c>
      <c r="G148" s="82">
        <v>33751514</v>
      </c>
      <c r="H148" s="82">
        <v>27159924</v>
      </c>
      <c r="I148" s="82">
        <f>G148-H148</f>
        <v>6591590</v>
      </c>
      <c r="J148" s="327">
        <f t="shared" si="7"/>
        <v>0.24269545084146774</v>
      </c>
    </row>
    <row r="149" spans="1:10" ht="15.75" customHeight="1" x14ac:dyDescent="0.2">
      <c r="A149" s="39">
        <f t="shared" si="9"/>
        <v>90</v>
      </c>
      <c r="B149" s="235"/>
      <c r="C149" s="114" t="s">
        <v>41</v>
      </c>
      <c r="D149" s="125"/>
      <c r="E149" s="106"/>
      <c r="F149" s="212" t="str">
        <f>"(Line "&amp;A$13&amp;")"</f>
        <v>(Line 5)</v>
      </c>
      <c r="G149" s="116"/>
      <c r="H149" s="116"/>
      <c r="I149" s="369">
        <f t="shared" si="6"/>
        <v>0</v>
      </c>
      <c r="J149" s="369">
        <f t="shared" si="6"/>
        <v>0</v>
      </c>
    </row>
    <row r="150" spans="1:10" ht="15.75" customHeight="1" x14ac:dyDescent="0.25">
      <c r="A150" s="65">
        <f t="shared" si="9"/>
        <v>91</v>
      </c>
      <c r="B150" s="235"/>
      <c r="C150" s="232" t="s">
        <v>128</v>
      </c>
      <c r="D150" s="57"/>
      <c r="E150" s="160"/>
      <c r="F150" s="36" t="str">
        <f>"(Line "&amp;A148&amp;" * "&amp;A149&amp;"+"&amp;A145&amp;")"</f>
        <v>(Line 89 * 90+86)</v>
      </c>
      <c r="G150" s="190">
        <v>0</v>
      </c>
      <c r="H150" s="190">
        <v>0</v>
      </c>
      <c r="I150" s="216">
        <f t="shared" si="6"/>
        <v>0</v>
      </c>
      <c r="J150" s="216">
        <f t="shared" si="6"/>
        <v>0</v>
      </c>
    </row>
    <row r="151" spans="1:10" ht="15.75" customHeight="1" x14ac:dyDescent="0.2">
      <c r="A151" s="239"/>
      <c r="B151" s="240"/>
      <c r="C151" s="114"/>
      <c r="D151" s="57"/>
      <c r="E151" s="102"/>
      <c r="F151" s="171"/>
      <c r="G151" s="82"/>
      <c r="H151" s="82"/>
      <c r="I151" s="82"/>
      <c r="J151" s="327"/>
    </row>
    <row r="152" spans="1:10" s="8" customFormat="1" ht="16.5" customHeight="1" thickBot="1" x14ac:dyDescent="0.3">
      <c r="A152" s="65">
        <f>+A150+1</f>
        <v>92</v>
      </c>
      <c r="B152" s="241" t="s">
        <v>129</v>
      </c>
      <c r="C152" s="241"/>
      <c r="D152" s="242"/>
      <c r="E152" s="243"/>
      <c r="F152" s="198" t="str">
        <f>"(Line "&amp;A141&amp;" + "&amp;A150&amp;")"</f>
        <v>(Line 84 + 91)</v>
      </c>
      <c r="G152" s="198">
        <v>1486166.4000000004</v>
      </c>
      <c r="H152" s="198">
        <v>1538038</v>
      </c>
      <c r="I152" s="412">
        <f t="shared" si="6"/>
        <v>-51871.599999999627</v>
      </c>
      <c r="J152" s="397">
        <f t="shared" si="7"/>
        <v>-3.372582471954505E-2</v>
      </c>
    </row>
    <row r="153" spans="1:10" ht="16.5" customHeight="1" thickTop="1" x14ac:dyDescent="0.2">
      <c r="A153" s="244"/>
      <c r="B153" s="34"/>
      <c r="C153" s="34"/>
      <c r="D153" s="34"/>
      <c r="E153" s="62"/>
      <c r="F153" s="63"/>
      <c r="G153" s="82"/>
      <c r="H153" s="82"/>
      <c r="I153" s="82"/>
      <c r="J153" s="327"/>
    </row>
    <row r="154" spans="1:10" ht="16.5" customHeight="1" x14ac:dyDescent="0.25">
      <c r="A154" s="95" t="s">
        <v>130</v>
      </c>
      <c r="B154" s="17"/>
      <c r="C154" s="205"/>
      <c r="D154" s="18"/>
      <c r="E154" s="245"/>
      <c r="F154" s="96"/>
      <c r="G154" s="82"/>
      <c r="H154" s="82"/>
      <c r="I154" s="82"/>
      <c r="J154" s="82"/>
    </row>
    <row r="155" spans="1:10" ht="15.75" customHeight="1" x14ac:dyDescent="0.25">
      <c r="A155" s="135"/>
      <c r="B155" s="40"/>
      <c r="C155" s="33"/>
      <c r="D155" s="57"/>
      <c r="E155" s="35"/>
      <c r="F155" s="59"/>
      <c r="G155" s="82"/>
      <c r="H155" s="82"/>
      <c r="I155" s="82"/>
      <c r="J155" s="327"/>
    </row>
    <row r="156" spans="1:10" ht="15.75" customHeight="1" x14ac:dyDescent="0.25">
      <c r="A156" s="65">
        <f>+A152+1</f>
        <v>93</v>
      </c>
      <c r="B156" s="144" t="s">
        <v>131</v>
      </c>
      <c r="C156" s="154"/>
      <c r="D156" s="57"/>
      <c r="E156" s="208"/>
      <c r="F156" s="45" t="s">
        <v>132</v>
      </c>
      <c r="G156" s="82">
        <v>1242690.4688799998</v>
      </c>
      <c r="H156" s="82">
        <v>988777</v>
      </c>
      <c r="I156" s="82">
        <f t="shared" si="6"/>
        <v>253913.46887999983</v>
      </c>
      <c r="J156" s="327">
        <f t="shared" si="7"/>
        <v>0.25679548460370721</v>
      </c>
    </row>
    <row r="157" spans="1:10" ht="15.75" customHeight="1" x14ac:dyDescent="0.2">
      <c r="A157" s="101"/>
      <c r="B157" s="57"/>
      <c r="C157" s="34"/>
      <c r="D157" s="34"/>
      <c r="E157" s="40"/>
      <c r="F157" s="45"/>
      <c r="G157" s="82"/>
      <c r="H157" s="82"/>
      <c r="I157" s="82"/>
      <c r="J157" s="327"/>
    </row>
    <row r="158" spans="1:10" ht="16.5" customHeight="1" thickBot="1" x14ac:dyDescent="0.3">
      <c r="A158" s="65">
        <f>+A156+1</f>
        <v>94</v>
      </c>
      <c r="B158" s="51" t="s">
        <v>133</v>
      </c>
      <c r="C158" s="51"/>
      <c r="D158" s="242"/>
      <c r="E158" s="132"/>
      <c r="F158" s="133" t="str">
        <f>"(Line "&amp;A156&amp;")"</f>
        <v>(Line 93)</v>
      </c>
      <c r="G158" s="121">
        <v>1242690.4688799998</v>
      </c>
      <c r="H158" s="121">
        <v>988777</v>
      </c>
      <c r="I158" s="121">
        <f t="shared" si="6"/>
        <v>253913.46887999983</v>
      </c>
      <c r="J158" s="397">
        <f t="shared" si="7"/>
        <v>0.25679548460370721</v>
      </c>
    </row>
    <row r="159" spans="1:10" ht="17.25" customHeight="1" thickTop="1" x14ac:dyDescent="0.2">
      <c r="A159" s="61"/>
      <c r="B159" s="34"/>
      <c r="C159" s="34"/>
      <c r="D159" s="34"/>
      <c r="E159" s="62"/>
      <c r="F159" s="63"/>
      <c r="G159" s="82"/>
      <c r="H159" s="82"/>
      <c r="I159" s="82"/>
      <c r="J159" s="327"/>
    </row>
    <row r="160" spans="1:10" ht="15.75" customHeight="1" x14ac:dyDescent="0.25">
      <c r="A160" s="95" t="s">
        <v>134</v>
      </c>
      <c r="B160" s="17"/>
      <c r="C160" s="205"/>
      <c r="D160" s="18"/>
      <c r="E160" s="19"/>
      <c r="F160" s="96"/>
      <c r="G160" s="82"/>
      <c r="H160" s="82"/>
      <c r="I160" s="82"/>
      <c r="J160" s="82"/>
    </row>
    <row r="161" spans="1:10" ht="15.75" customHeight="1" x14ac:dyDescent="0.25">
      <c r="A161" s="93"/>
      <c r="B161" s="40"/>
      <c r="C161" s="33"/>
      <c r="D161" s="57"/>
      <c r="E161" s="35"/>
      <c r="F161" s="59"/>
      <c r="G161" s="82"/>
      <c r="H161" s="82"/>
      <c r="I161" s="82"/>
      <c r="J161" s="327"/>
    </row>
    <row r="162" spans="1:10" ht="15.75" customHeight="1" x14ac:dyDescent="0.25">
      <c r="A162" s="65"/>
      <c r="B162" s="247" t="s">
        <v>135</v>
      </c>
      <c r="C162" s="248"/>
      <c r="D162" s="249"/>
      <c r="E162" s="249"/>
      <c r="F162" s="250"/>
      <c r="G162" s="82"/>
      <c r="H162" s="82"/>
      <c r="I162" s="82"/>
      <c r="J162" s="327"/>
    </row>
    <row r="163" spans="1:10" ht="15.75" customHeight="1" x14ac:dyDescent="0.2">
      <c r="A163" s="65">
        <f>+A158+1</f>
        <v>95</v>
      </c>
      <c r="B163" s="251"/>
      <c r="C163" s="251" t="s">
        <v>136</v>
      </c>
      <c r="D163" s="251" t="s">
        <v>137</v>
      </c>
      <c r="E163" s="253"/>
      <c r="F163" s="254"/>
      <c r="G163" s="82">
        <v>5663090769.2307692</v>
      </c>
      <c r="H163" s="82">
        <v>5070013846.1538458</v>
      </c>
      <c r="I163" s="82">
        <f t="shared" ref="I163:I217" si="10">G163-H163</f>
        <v>593076923.07692337</v>
      </c>
      <c r="J163" s="327">
        <f t="shared" ref="J163:J217" si="11">(G163-H163)/H163</f>
        <v>0.11697737739450878</v>
      </c>
    </row>
    <row r="164" spans="1:10" ht="15.75" customHeight="1" x14ac:dyDescent="0.2">
      <c r="A164" s="65">
        <f>+A163+1</f>
        <v>96</v>
      </c>
      <c r="B164" s="251"/>
      <c r="C164" s="251" t="s">
        <v>138</v>
      </c>
      <c r="D164" s="251" t="s">
        <v>137</v>
      </c>
      <c r="E164" s="253"/>
      <c r="F164" s="254"/>
      <c r="G164" s="82">
        <v>0</v>
      </c>
      <c r="H164" s="82">
        <v>0</v>
      </c>
      <c r="I164" s="82"/>
      <c r="J164" s="327"/>
    </row>
    <row r="165" spans="1:10" ht="15.75" customHeight="1" x14ac:dyDescent="0.2">
      <c r="A165" s="65">
        <f t="shared" ref="A165:A201" si="12">+A164+1</f>
        <v>97</v>
      </c>
      <c r="B165" s="251"/>
      <c r="C165" s="251" t="s">
        <v>139</v>
      </c>
      <c r="D165" s="251" t="s">
        <v>137</v>
      </c>
      <c r="E165" s="253"/>
      <c r="F165" s="254"/>
      <c r="G165" s="82">
        <v>0</v>
      </c>
      <c r="H165" s="82">
        <v>0</v>
      </c>
      <c r="I165" s="82"/>
      <c r="J165" s="327"/>
    </row>
    <row r="166" spans="1:10" ht="15.75" customHeight="1" x14ac:dyDescent="0.2">
      <c r="A166" s="65">
        <f t="shared" si="12"/>
        <v>98</v>
      </c>
      <c r="B166" s="251"/>
      <c r="C166" s="256" t="s">
        <v>140</v>
      </c>
      <c r="D166" s="256" t="s">
        <v>137</v>
      </c>
      <c r="E166" s="257"/>
      <c r="F166" s="258"/>
      <c r="G166" s="109">
        <v>0</v>
      </c>
      <c r="H166" s="109">
        <v>0</v>
      </c>
      <c r="I166" s="109"/>
      <c r="J166" s="369"/>
    </row>
    <row r="167" spans="1:10" ht="15.75" customHeight="1" x14ac:dyDescent="0.2">
      <c r="A167" s="65">
        <f t="shared" si="12"/>
        <v>99</v>
      </c>
      <c r="B167" s="251"/>
      <c r="C167" s="251" t="s">
        <v>141</v>
      </c>
      <c r="D167" s="251" t="str">
        <f>"(Sum Ln "&amp;A163&amp;" through "&amp;A166&amp;""</f>
        <v>(Sum Ln 95 through 98</v>
      </c>
      <c r="E167" s="253"/>
      <c r="F167" s="254"/>
      <c r="G167" s="82">
        <v>5663090769.2307692</v>
      </c>
      <c r="H167" s="82">
        <v>5070013846.1538458</v>
      </c>
      <c r="I167" s="82">
        <f t="shared" si="10"/>
        <v>593076923.07692337</v>
      </c>
      <c r="J167" s="327">
        <f t="shared" si="11"/>
        <v>0.11697737739450878</v>
      </c>
    </row>
    <row r="168" spans="1:10" ht="15.75" customHeight="1" x14ac:dyDescent="0.2">
      <c r="A168" s="65"/>
      <c r="B168" s="251"/>
      <c r="C168" s="251"/>
      <c r="D168" s="251"/>
      <c r="E168" s="253"/>
      <c r="F168" s="254"/>
      <c r="G168" s="82"/>
      <c r="H168" s="82"/>
      <c r="I168" s="82"/>
      <c r="J168" s="327"/>
    </row>
    <row r="169" spans="1:10" ht="15.75" customHeight="1" x14ac:dyDescent="0.2">
      <c r="A169" s="65">
        <f>+A167+1</f>
        <v>100</v>
      </c>
      <c r="B169" s="251"/>
      <c r="C169" s="251" t="s">
        <v>142</v>
      </c>
      <c r="D169" s="251" t="s">
        <v>137</v>
      </c>
      <c r="E169" s="253"/>
      <c r="F169" s="254" t="s">
        <v>143</v>
      </c>
      <c r="G169" s="82">
        <v>-21439197.076923076</v>
      </c>
      <c r="H169" s="82">
        <v>-17567751.48153846</v>
      </c>
      <c r="I169" s="82">
        <f t="shared" si="10"/>
        <v>-3871445.5953846164</v>
      </c>
      <c r="J169" s="327">
        <f t="shared" si="11"/>
        <v>0.22037228836331321</v>
      </c>
    </row>
    <row r="170" spans="1:10" ht="15.75" customHeight="1" x14ac:dyDescent="0.2">
      <c r="A170" s="65">
        <f t="shared" si="12"/>
        <v>101</v>
      </c>
      <c r="B170" s="251"/>
      <c r="C170" s="251" t="s">
        <v>144</v>
      </c>
      <c r="D170" s="251" t="s">
        <v>137</v>
      </c>
      <c r="E170" s="253"/>
      <c r="F170" s="254" t="s">
        <v>143</v>
      </c>
      <c r="G170" s="82">
        <v>-23536766.846153848</v>
      </c>
      <c r="H170" s="82">
        <v>-23908641.103846155</v>
      </c>
      <c r="I170" s="82">
        <f t="shared" si="10"/>
        <v>371874.25769230723</v>
      </c>
      <c r="J170" s="327">
        <f t="shared" si="11"/>
        <v>-1.5553968796348039E-2</v>
      </c>
    </row>
    <row r="171" spans="1:10" ht="15.75" customHeight="1" x14ac:dyDescent="0.2">
      <c r="A171" s="65">
        <f t="shared" si="12"/>
        <v>102</v>
      </c>
      <c r="B171" s="251"/>
      <c r="C171" s="251" t="s">
        <v>145</v>
      </c>
      <c r="D171" s="251" t="s">
        <v>137</v>
      </c>
      <c r="E171" s="253"/>
      <c r="F171" s="254" t="s">
        <v>143</v>
      </c>
      <c r="G171" s="82">
        <v>-30646987.384615384</v>
      </c>
      <c r="H171" s="82">
        <v>-32677380.176153842</v>
      </c>
      <c r="I171" s="82">
        <f t="shared" si="10"/>
        <v>2030392.7915384583</v>
      </c>
      <c r="J171" s="327">
        <f t="shared" si="11"/>
        <v>-6.213450345753628E-2</v>
      </c>
    </row>
    <row r="172" spans="1:10" ht="15.75" customHeight="1" x14ac:dyDescent="0.2">
      <c r="A172" s="65">
        <f t="shared" si="12"/>
        <v>103</v>
      </c>
      <c r="B172" s="251"/>
      <c r="C172" s="251" t="s">
        <v>146</v>
      </c>
      <c r="D172" s="251" t="s">
        <v>137</v>
      </c>
      <c r="E172" s="253"/>
      <c r="F172" s="254" t="s">
        <v>143</v>
      </c>
      <c r="G172" s="82">
        <v>0</v>
      </c>
      <c r="H172" s="82">
        <v>0</v>
      </c>
      <c r="I172" s="82"/>
      <c r="J172" s="327"/>
    </row>
    <row r="173" spans="1:10" ht="15.75" customHeight="1" x14ac:dyDescent="0.2">
      <c r="A173" s="65">
        <f t="shared" si="12"/>
        <v>104</v>
      </c>
      <c r="B173" s="251"/>
      <c r="C173" s="256" t="s">
        <v>147</v>
      </c>
      <c r="D173" s="256" t="s">
        <v>137</v>
      </c>
      <c r="E173" s="257"/>
      <c r="F173" s="258" t="s">
        <v>143</v>
      </c>
      <c r="G173" s="109">
        <v>0</v>
      </c>
      <c r="H173" s="109">
        <v>0</v>
      </c>
      <c r="I173" s="109"/>
      <c r="J173" s="369"/>
    </row>
    <row r="174" spans="1:10" ht="15.75" customHeight="1" x14ac:dyDescent="0.2">
      <c r="A174" s="65">
        <f t="shared" si="12"/>
        <v>105</v>
      </c>
      <c r="B174" s="251"/>
      <c r="C174" s="251" t="s">
        <v>148</v>
      </c>
      <c r="D174" s="251" t="str">
        <f>"(Sum Ln "&amp;A169&amp;" through "&amp;A173&amp;""</f>
        <v>(Sum Ln 100 through 104</v>
      </c>
      <c r="E174" s="253"/>
      <c r="F174" s="254"/>
      <c r="G174" s="82">
        <v>5587467817.9230766</v>
      </c>
      <c r="H174" s="82">
        <v>4995860073.3923063</v>
      </c>
      <c r="I174" s="82">
        <f t="shared" si="10"/>
        <v>591607744.5307703</v>
      </c>
      <c r="J174" s="327">
        <f t="shared" si="11"/>
        <v>0.1184195985955737</v>
      </c>
    </row>
    <row r="175" spans="1:10" ht="15.75" customHeight="1" x14ac:dyDescent="0.2">
      <c r="A175" s="65"/>
      <c r="B175" s="251"/>
      <c r="C175" s="251"/>
      <c r="D175" s="251"/>
      <c r="E175" s="253"/>
      <c r="F175" s="254"/>
      <c r="G175" s="82"/>
      <c r="H175" s="82"/>
      <c r="I175" s="82"/>
      <c r="J175" s="327"/>
    </row>
    <row r="176" spans="1:10" ht="15.75" customHeight="1" x14ac:dyDescent="0.25">
      <c r="A176" s="65"/>
      <c r="B176" s="247" t="s">
        <v>149</v>
      </c>
      <c r="C176" s="251"/>
      <c r="D176" s="251"/>
      <c r="E176" s="253"/>
      <c r="F176" s="254"/>
      <c r="G176" s="82"/>
      <c r="H176" s="82"/>
      <c r="I176" s="82"/>
      <c r="J176" s="327"/>
    </row>
    <row r="177" spans="1:10" ht="15.75" customHeight="1" x14ac:dyDescent="0.2">
      <c r="A177" s="65">
        <f>+A174+1</f>
        <v>106</v>
      </c>
      <c r="B177" s="251"/>
      <c r="C177" s="251" t="s">
        <v>150</v>
      </c>
      <c r="D177" s="251" t="s">
        <v>137</v>
      </c>
      <c r="E177" s="253"/>
      <c r="F177" s="254" t="s">
        <v>143</v>
      </c>
      <c r="G177" s="82">
        <v>285985469</v>
      </c>
      <c r="H177" s="82">
        <v>253214629</v>
      </c>
      <c r="I177" s="82">
        <f t="shared" si="10"/>
        <v>32770840</v>
      </c>
      <c r="J177" s="327">
        <f t="shared" si="11"/>
        <v>0.12941922087763735</v>
      </c>
    </row>
    <row r="178" spans="1:10" ht="15.75" customHeight="1" x14ac:dyDescent="0.2">
      <c r="A178" s="65">
        <f t="shared" si="12"/>
        <v>107</v>
      </c>
      <c r="B178" s="251"/>
      <c r="C178" s="251" t="s">
        <v>151</v>
      </c>
      <c r="D178" s="251" t="s">
        <v>137</v>
      </c>
      <c r="E178" s="253"/>
      <c r="F178" s="254" t="s">
        <v>143</v>
      </c>
      <c r="G178" s="82">
        <v>3006234</v>
      </c>
      <c r="H178" s="82">
        <v>2648196</v>
      </c>
      <c r="I178" s="82">
        <f t="shared" si="10"/>
        <v>358038</v>
      </c>
      <c r="J178" s="327">
        <f t="shared" si="11"/>
        <v>0.1352007177716453</v>
      </c>
    </row>
    <row r="179" spans="1:10" ht="15.75" customHeight="1" x14ac:dyDescent="0.2">
      <c r="A179" s="65">
        <f>+A178+1</f>
        <v>108</v>
      </c>
      <c r="B179" s="251"/>
      <c r="C179" s="251" t="s">
        <v>152</v>
      </c>
      <c r="D179" s="251" t="s">
        <v>137</v>
      </c>
      <c r="E179" s="253"/>
      <c r="F179" s="254" t="s">
        <v>143</v>
      </c>
      <c r="G179" s="82">
        <v>1945126</v>
      </c>
      <c r="H179" s="82">
        <v>2106146</v>
      </c>
      <c r="I179" s="82">
        <f t="shared" si="10"/>
        <v>-161020</v>
      </c>
      <c r="J179" s="327">
        <f t="shared" si="11"/>
        <v>-7.6452439669424624E-2</v>
      </c>
    </row>
    <row r="180" spans="1:10" ht="15.75" customHeight="1" x14ac:dyDescent="0.2">
      <c r="A180" s="65">
        <f t="shared" si="12"/>
        <v>109</v>
      </c>
      <c r="B180" s="251"/>
      <c r="C180" s="251" t="s">
        <v>153</v>
      </c>
      <c r="D180" s="251" t="s">
        <v>137</v>
      </c>
      <c r="E180" s="253"/>
      <c r="F180" s="254" t="s">
        <v>143</v>
      </c>
      <c r="G180" s="82">
        <v>0</v>
      </c>
      <c r="H180" s="82">
        <v>0</v>
      </c>
      <c r="I180" s="82"/>
      <c r="J180" s="327"/>
    </row>
    <row r="181" spans="1:10" ht="15.75" customHeight="1" x14ac:dyDescent="0.2">
      <c r="A181" s="65">
        <f>+A180+1</f>
        <v>110</v>
      </c>
      <c r="B181" s="251"/>
      <c r="C181" s="251" t="s">
        <v>154</v>
      </c>
      <c r="D181" s="251" t="s">
        <v>137</v>
      </c>
      <c r="E181" s="253"/>
      <c r="F181" s="254" t="s">
        <v>155</v>
      </c>
      <c r="G181" s="82">
        <v>0</v>
      </c>
      <c r="H181" s="82">
        <v>0</v>
      </c>
      <c r="I181" s="82"/>
      <c r="J181" s="327"/>
    </row>
    <row r="182" spans="1:10" ht="15.75" customHeight="1" x14ac:dyDescent="0.2">
      <c r="A182" s="65">
        <f>+A181+1</f>
        <v>111</v>
      </c>
      <c r="B182" s="251"/>
      <c r="C182" s="256" t="s">
        <v>156</v>
      </c>
      <c r="D182" s="256" t="s">
        <v>137</v>
      </c>
      <c r="E182" s="257"/>
      <c r="F182" s="258" t="s">
        <v>143</v>
      </c>
      <c r="G182" s="109">
        <v>0</v>
      </c>
      <c r="H182" s="109">
        <v>0</v>
      </c>
      <c r="I182" s="109"/>
      <c r="J182" s="369"/>
    </row>
    <row r="183" spans="1:10" ht="15.75" customHeight="1" x14ac:dyDescent="0.2">
      <c r="A183" s="65">
        <f>+A182+1</f>
        <v>112</v>
      </c>
      <c r="B183" s="251"/>
      <c r="C183" s="251" t="s">
        <v>157</v>
      </c>
      <c r="D183" s="251" t="str">
        <f>"(Sum Ln "&amp;A177&amp;" through "&amp;A183&amp;""</f>
        <v>(Sum Ln 106 through 112</v>
      </c>
      <c r="E183" s="253"/>
      <c r="F183" s="254"/>
      <c r="G183" s="424">
        <v>290936829</v>
      </c>
      <c r="H183" s="424">
        <v>257968971</v>
      </c>
      <c r="I183" s="82">
        <f t="shared" si="10"/>
        <v>32967858</v>
      </c>
      <c r="J183" s="327">
        <f t="shared" si="11"/>
        <v>0.12779776525914041</v>
      </c>
    </row>
    <row r="184" spans="1:10" ht="15.75" customHeight="1" x14ac:dyDescent="0.2">
      <c r="A184" s="65"/>
      <c r="B184" s="251"/>
      <c r="C184" s="251"/>
      <c r="D184" s="251"/>
      <c r="E184" s="253"/>
      <c r="F184" s="254"/>
      <c r="G184" s="424"/>
      <c r="H184" s="424"/>
      <c r="I184" s="82"/>
      <c r="J184" s="327"/>
    </row>
    <row r="185" spans="1:10" ht="15.75" customHeight="1" x14ac:dyDescent="0.25">
      <c r="A185" s="65"/>
      <c r="B185" s="247" t="s">
        <v>158</v>
      </c>
      <c r="C185" s="248"/>
      <c r="D185" s="251"/>
      <c r="E185" s="253"/>
      <c r="F185" s="254"/>
      <c r="G185" s="424"/>
      <c r="H185" s="424"/>
      <c r="I185" s="82"/>
      <c r="J185" s="327"/>
    </row>
    <row r="186" spans="1:10" ht="15.75" customHeight="1" x14ac:dyDescent="0.2">
      <c r="A186" s="65">
        <f>+A183+1</f>
        <v>113</v>
      </c>
      <c r="B186" s="251"/>
      <c r="C186" s="251" t="s">
        <v>159</v>
      </c>
      <c r="D186" s="251" t="s">
        <v>137</v>
      </c>
      <c r="E186" s="253"/>
      <c r="F186" s="254"/>
      <c r="G186" s="424">
        <v>0</v>
      </c>
      <c r="H186" s="424">
        <v>0</v>
      </c>
      <c r="I186" s="82"/>
      <c r="J186" s="327"/>
    </row>
    <row r="187" spans="1:10" ht="15.75" customHeight="1" x14ac:dyDescent="0.2">
      <c r="A187" s="65">
        <f t="shared" si="12"/>
        <v>114</v>
      </c>
      <c r="B187" s="251"/>
      <c r="C187" s="251" t="s">
        <v>160</v>
      </c>
      <c r="D187" s="251" t="s">
        <v>137</v>
      </c>
      <c r="E187" s="253"/>
      <c r="F187" s="254"/>
      <c r="G187" s="424">
        <v>0</v>
      </c>
      <c r="H187" s="424">
        <v>0</v>
      </c>
      <c r="I187" s="82"/>
      <c r="J187" s="327"/>
    </row>
    <row r="188" spans="1:10" ht="15.75" customHeight="1" x14ac:dyDescent="0.2">
      <c r="A188" s="65">
        <f t="shared" si="12"/>
        <v>115</v>
      </c>
      <c r="B188" s="251"/>
      <c r="C188" s="251" t="s">
        <v>161</v>
      </c>
      <c r="D188" s="251" t="s">
        <v>137</v>
      </c>
      <c r="E188" s="253"/>
      <c r="F188" s="254"/>
      <c r="G188" s="424">
        <v>0</v>
      </c>
      <c r="H188" s="424">
        <v>0</v>
      </c>
      <c r="I188" s="82"/>
      <c r="J188" s="327"/>
    </row>
    <row r="189" spans="1:10" ht="15.75" customHeight="1" x14ac:dyDescent="0.2">
      <c r="A189" s="65">
        <f t="shared" si="12"/>
        <v>116</v>
      </c>
      <c r="B189" s="251"/>
      <c r="C189" s="251" t="s">
        <v>162</v>
      </c>
      <c r="D189" s="251" t="s">
        <v>137</v>
      </c>
      <c r="E189" s="253"/>
      <c r="F189" s="254"/>
      <c r="G189" s="82">
        <v>0</v>
      </c>
      <c r="H189" s="82">
        <v>0</v>
      </c>
      <c r="I189" s="82"/>
      <c r="J189" s="327"/>
    </row>
    <row r="190" spans="1:10" ht="15.75" customHeight="1" x14ac:dyDescent="0.2">
      <c r="A190" s="65">
        <f t="shared" si="12"/>
        <v>117</v>
      </c>
      <c r="B190" s="251"/>
      <c r="C190" s="251" t="s">
        <v>163</v>
      </c>
      <c r="D190" s="251" t="s">
        <v>137</v>
      </c>
      <c r="E190" s="253"/>
      <c r="F190" s="254"/>
      <c r="G190" s="424">
        <v>0</v>
      </c>
      <c r="H190" s="424">
        <v>0</v>
      </c>
      <c r="I190" s="82"/>
      <c r="J190" s="327"/>
    </row>
    <row r="191" spans="1:10" ht="15.75" customHeight="1" x14ac:dyDescent="0.2">
      <c r="A191" s="65">
        <f t="shared" si="12"/>
        <v>118</v>
      </c>
      <c r="B191" s="251"/>
      <c r="C191" s="256" t="s">
        <v>164</v>
      </c>
      <c r="D191" s="256" t="s">
        <v>137</v>
      </c>
      <c r="E191" s="257"/>
      <c r="F191" s="258"/>
      <c r="G191" s="109">
        <v>0</v>
      </c>
      <c r="H191" s="109">
        <v>0</v>
      </c>
      <c r="I191" s="109"/>
      <c r="J191" s="369"/>
    </row>
    <row r="192" spans="1:10" ht="15.75" customHeight="1" x14ac:dyDescent="0.2">
      <c r="A192" s="65">
        <f t="shared" si="12"/>
        <v>119</v>
      </c>
      <c r="B192" s="251"/>
      <c r="C192" s="251" t="s">
        <v>165</v>
      </c>
      <c r="D192" s="251" t="str">
        <f>"(Sum Ln "&amp;A186&amp;" through "&amp;A191&amp;""</f>
        <v>(Sum Ln 113 through 118</v>
      </c>
      <c r="E192" s="251"/>
      <c r="F192" s="250"/>
      <c r="G192" s="424">
        <v>0</v>
      </c>
      <c r="H192" s="424">
        <v>0</v>
      </c>
      <c r="I192" s="82"/>
      <c r="J192" s="327"/>
    </row>
    <row r="193" spans="1:10" ht="15.75" customHeight="1" x14ac:dyDescent="0.2">
      <c r="A193" s="65"/>
      <c r="B193" s="251"/>
      <c r="C193" s="251"/>
      <c r="D193" s="251"/>
      <c r="E193" s="251"/>
      <c r="F193" s="250"/>
      <c r="G193" s="424"/>
      <c r="H193" s="424"/>
      <c r="I193" s="82"/>
      <c r="J193" s="327"/>
    </row>
    <row r="194" spans="1:10" ht="15.75" customHeight="1" x14ac:dyDescent="0.2">
      <c r="A194" s="65">
        <f>+A192+1</f>
        <v>120</v>
      </c>
      <c r="B194" s="251"/>
      <c r="C194" s="251" t="s">
        <v>166</v>
      </c>
      <c r="D194" s="251" t="s">
        <v>137</v>
      </c>
      <c r="E194" s="253"/>
      <c r="F194" s="254" t="s">
        <v>167</v>
      </c>
      <c r="G194" s="424">
        <v>0</v>
      </c>
      <c r="H194" s="424">
        <v>0</v>
      </c>
      <c r="I194" s="82"/>
      <c r="J194" s="327"/>
    </row>
    <row r="195" spans="1:10" ht="15.75" customHeight="1" x14ac:dyDescent="0.2">
      <c r="A195" s="65"/>
      <c r="B195" s="251"/>
      <c r="C195" s="251"/>
      <c r="D195" s="251"/>
      <c r="E195" s="253"/>
      <c r="F195" s="254"/>
      <c r="G195" s="82"/>
      <c r="H195" s="82"/>
      <c r="I195" s="82"/>
      <c r="J195" s="327"/>
    </row>
    <row r="196" spans="1:10" ht="15.75" customHeight="1" x14ac:dyDescent="0.25">
      <c r="A196" s="65"/>
      <c r="B196" s="247" t="s">
        <v>168</v>
      </c>
      <c r="C196" s="248"/>
      <c r="D196" s="251"/>
      <c r="E196" s="253"/>
      <c r="F196" s="254"/>
      <c r="G196" s="82"/>
      <c r="H196" s="82"/>
      <c r="I196" s="82"/>
      <c r="J196" s="327"/>
    </row>
    <row r="197" spans="1:10" ht="15.75" customHeight="1" x14ac:dyDescent="0.2">
      <c r="A197" s="65">
        <f>+A194+1</f>
        <v>121</v>
      </c>
      <c r="B197" s="251"/>
      <c r="C197" s="251" t="s">
        <v>169</v>
      </c>
      <c r="D197" s="251" t="s">
        <v>137</v>
      </c>
      <c r="E197" s="253"/>
      <c r="F197" s="254"/>
      <c r="G197" s="82">
        <v>5310010036.9230766</v>
      </c>
      <c r="H197" s="82">
        <v>4899404507.3269234</v>
      </c>
      <c r="I197" s="82">
        <f t="shared" si="10"/>
        <v>410605529.59615326</v>
      </c>
      <c r="J197" s="327">
        <f t="shared" si="11"/>
        <v>8.3807231875242E-2</v>
      </c>
    </row>
    <row r="198" spans="1:10" ht="15.75" customHeight="1" x14ac:dyDescent="0.2">
      <c r="A198" s="65">
        <f t="shared" si="12"/>
        <v>122</v>
      </c>
      <c r="B198" s="251"/>
      <c r="C198" s="251" t="s">
        <v>170</v>
      </c>
      <c r="D198" s="251" t="s">
        <v>137</v>
      </c>
      <c r="E198" s="253"/>
      <c r="F198" s="254"/>
      <c r="G198" s="82">
        <v>0.1</v>
      </c>
      <c r="H198" s="82">
        <v>0</v>
      </c>
      <c r="I198" s="82"/>
      <c r="J198" s="327"/>
    </row>
    <row r="199" spans="1:10" ht="15.75" customHeight="1" x14ac:dyDescent="0.2">
      <c r="A199" s="65">
        <f t="shared" si="12"/>
        <v>123</v>
      </c>
      <c r="B199" s="251"/>
      <c r="C199" s="251" t="s">
        <v>171</v>
      </c>
      <c r="D199" s="251" t="s">
        <v>137</v>
      </c>
      <c r="E199" s="253"/>
      <c r="F199" s="254"/>
      <c r="G199" s="82">
        <v>-13170198</v>
      </c>
      <c r="H199" s="82">
        <v>-12921594.898461539</v>
      </c>
      <c r="I199" s="82">
        <f t="shared" si="10"/>
        <v>-248603.1015384607</v>
      </c>
      <c r="J199" s="327">
        <f t="shared" si="11"/>
        <v>1.9239351139855011E-2</v>
      </c>
    </row>
    <row r="200" spans="1:10" ht="15.75" customHeight="1" x14ac:dyDescent="0.2">
      <c r="A200" s="65">
        <f t="shared" si="12"/>
        <v>124</v>
      </c>
      <c r="B200" s="251"/>
      <c r="C200" s="256" t="s">
        <v>172</v>
      </c>
      <c r="D200" s="256" t="s">
        <v>137</v>
      </c>
      <c r="E200" s="257"/>
      <c r="F200" s="258"/>
      <c r="G200" s="109">
        <v>-57993069.846153848</v>
      </c>
      <c r="H200" s="109">
        <v>-102552552.7176923</v>
      </c>
      <c r="I200" s="109">
        <f t="shared" si="10"/>
        <v>44559482.871538453</v>
      </c>
      <c r="J200" s="369">
        <f t="shared" si="11"/>
        <v>-0.43450388791590833</v>
      </c>
    </row>
    <row r="201" spans="1:10" ht="15.75" customHeight="1" x14ac:dyDescent="0.2">
      <c r="A201" s="65">
        <f t="shared" si="12"/>
        <v>125</v>
      </c>
      <c r="B201" s="251"/>
      <c r="C201" s="251" t="s">
        <v>173</v>
      </c>
      <c r="D201" s="251" t="str">
        <f>"(Sum Ln "&amp;A197&amp;" through "&amp;A200&amp;""</f>
        <v>(Sum Ln 121 through 124</v>
      </c>
      <c r="E201" s="251"/>
      <c r="F201" s="250"/>
      <c r="G201" s="82">
        <v>5381173304.6692305</v>
      </c>
      <c r="H201" s="82">
        <v>5014878654.9430771</v>
      </c>
      <c r="I201" s="82">
        <f t="shared" si="10"/>
        <v>366294649.72615337</v>
      </c>
      <c r="J201" s="327">
        <f t="shared" si="11"/>
        <v>7.3041577858539652E-2</v>
      </c>
    </row>
    <row r="202" spans="1:10" ht="15.75" customHeight="1" x14ac:dyDescent="0.2">
      <c r="A202" s="65"/>
      <c r="B202" s="251"/>
      <c r="C202" s="251"/>
      <c r="D202" s="251"/>
      <c r="E202" s="251"/>
      <c r="F202" s="250"/>
      <c r="G202" s="82"/>
      <c r="H202" s="82"/>
      <c r="I202" s="82"/>
      <c r="J202" s="327"/>
    </row>
    <row r="203" spans="1:10" ht="15.75" customHeight="1" x14ac:dyDescent="0.2">
      <c r="A203" s="65">
        <f>+A201+1</f>
        <v>126</v>
      </c>
      <c r="B203" s="41"/>
      <c r="C203" s="114" t="s">
        <v>174</v>
      </c>
      <c r="D203" s="91" t="s">
        <v>175</v>
      </c>
      <c r="E203" s="103" t="s">
        <v>176</v>
      </c>
      <c r="F203" s="152" t="str">
        <f>"1 minus Sum Lines "&amp;A204&amp;" &amp; "&amp;A205&amp;"))"</f>
        <v>1 minus Sum Lines 127 &amp; 128))</v>
      </c>
      <c r="G203" s="327">
        <v>0.51276307152179434</v>
      </c>
      <c r="H203" s="327">
        <v>0.5027335537391584</v>
      </c>
      <c r="I203" s="371">
        <f t="shared" si="10"/>
        <v>1.0029517782635944E-2</v>
      </c>
      <c r="J203" s="327">
        <f t="shared" si="11"/>
        <v>1.9949966951757759E-2</v>
      </c>
    </row>
    <row r="204" spans="1:10" ht="15.75" customHeight="1" x14ac:dyDescent="0.2">
      <c r="A204" s="65">
        <f>+A203+1</f>
        <v>127</v>
      </c>
      <c r="B204" s="41"/>
      <c r="C204" s="114" t="s">
        <v>177</v>
      </c>
      <c r="D204" s="91" t="s">
        <v>178</v>
      </c>
      <c r="E204" s="103"/>
      <c r="F204" s="73" t="str">
        <f>"(Line "&amp;A192&amp;" / (Lines "&amp;A$167&amp;" + "&amp;A$192&amp;" +"&amp;A$201&amp;"))"</f>
        <v>(Line 119 / (Lines 99 + 119 +125))</v>
      </c>
      <c r="G204" s="327">
        <v>0</v>
      </c>
      <c r="H204" s="327">
        <v>0</v>
      </c>
      <c r="I204" s="371"/>
      <c r="J204" s="327"/>
    </row>
    <row r="205" spans="1:10" ht="15.75" customHeight="1" x14ac:dyDescent="0.2">
      <c r="A205" s="65">
        <f>+A204+1</f>
        <v>128</v>
      </c>
      <c r="B205" s="41"/>
      <c r="C205" s="114" t="s">
        <v>179</v>
      </c>
      <c r="D205" s="91" t="s">
        <v>180</v>
      </c>
      <c r="E205" s="103"/>
      <c r="F205" s="152" t="str">
        <f>"Lesser of 50% or (Line "&amp;A201&amp;" / (Lines "&amp;A$167&amp;" + "&amp;A$192&amp;" +"&amp;A$201&amp;"))"</f>
        <v>Lesser of 50% or (Line 125 / (Lines 99 + 119 +125))</v>
      </c>
      <c r="G205" s="327">
        <v>0.48723692847820566</v>
      </c>
      <c r="H205" s="327">
        <v>0.49726644626084154</v>
      </c>
      <c r="I205" s="371">
        <f t="shared" si="10"/>
        <v>-1.0029517782635888E-2</v>
      </c>
      <c r="J205" s="327">
        <f t="shared" si="11"/>
        <v>-2.0169303314253574E-2</v>
      </c>
    </row>
    <row r="206" spans="1:10" x14ac:dyDescent="0.2">
      <c r="A206" s="65"/>
      <c r="B206" s="41"/>
      <c r="C206" s="265"/>
      <c r="D206" s="57"/>
      <c r="E206" s="43"/>
      <c r="F206" s="73"/>
      <c r="G206" s="82"/>
      <c r="H206" s="82"/>
      <c r="I206" s="371"/>
      <c r="J206" s="327"/>
    </row>
    <row r="207" spans="1:10" ht="15.75" customHeight="1" x14ac:dyDescent="0.2">
      <c r="A207" s="65"/>
      <c r="B207" s="41"/>
      <c r="C207" s="265"/>
      <c r="D207" s="57"/>
      <c r="E207" s="43"/>
      <c r="F207" s="73"/>
      <c r="G207" s="82"/>
      <c r="H207" s="82"/>
      <c r="I207" s="371"/>
      <c r="J207" s="327"/>
    </row>
    <row r="208" spans="1:10" ht="66.75" customHeight="1" x14ac:dyDescent="0.2">
      <c r="A208" s="65">
        <f>+A205+1</f>
        <v>129</v>
      </c>
      <c r="B208" s="41"/>
      <c r="C208" s="265" t="s">
        <v>181</v>
      </c>
      <c r="D208" s="267" t="s">
        <v>182</v>
      </c>
      <c r="E208" s="43"/>
      <c r="F208" s="73" t="str">
        <f>"(Line "&amp;A183&amp;" / Line "&amp;A174&amp;")"</f>
        <v>(Line 112 / Line 105)</v>
      </c>
      <c r="G208" s="327">
        <v>5.2069531043517386E-2</v>
      </c>
      <c r="H208" s="327">
        <v>5.1636548504216416E-2</v>
      </c>
      <c r="I208" s="371">
        <f t="shared" si="10"/>
        <v>4.3298253930097036E-4</v>
      </c>
      <c r="J208" s="327">
        <f t="shared" si="11"/>
        <v>8.3851952123720052E-3</v>
      </c>
    </row>
    <row r="209" spans="1:10" ht="15.75" customHeight="1" x14ac:dyDescent="0.2">
      <c r="A209" s="65">
        <f>+A208+1</f>
        <v>130</v>
      </c>
      <c r="B209" s="41"/>
      <c r="C209" s="265" t="s">
        <v>183</v>
      </c>
      <c r="D209" s="267" t="s">
        <v>184</v>
      </c>
      <c r="E209" s="43"/>
      <c r="F209" s="73" t="str">
        <f>"(Line "&amp;A194&amp;" / Line "&amp;A192&amp;")"</f>
        <v>(Line 120 / Line 119)</v>
      </c>
      <c r="G209" s="327">
        <v>0</v>
      </c>
      <c r="H209" s="327">
        <v>0</v>
      </c>
      <c r="I209" s="371">
        <f t="shared" si="10"/>
        <v>0</v>
      </c>
      <c r="J209" s="327">
        <v>0</v>
      </c>
    </row>
    <row r="210" spans="1:10" ht="15.75" customHeight="1" x14ac:dyDescent="0.2">
      <c r="A210" s="65">
        <f>+A209+1</f>
        <v>131</v>
      </c>
      <c r="B210" s="41"/>
      <c r="C210" s="265" t="s">
        <v>185</v>
      </c>
      <c r="D210" s="91" t="s">
        <v>168</v>
      </c>
      <c r="E210" s="103" t="e">
        <f>"(Note "&amp;#REF!&amp;")"</f>
        <v>#REF!</v>
      </c>
      <c r="F210" s="73" t="s">
        <v>186</v>
      </c>
      <c r="G210" s="327">
        <v>9.8000000000000004E-2</v>
      </c>
      <c r="H210" s="327">
        <v>9.8000000000000004E-2</v>
      </c>
      <c r="I210" s="371">
        <f t="shared" si="10"/>
        <v>0</v>
      </c>
      <c r="J210" s="327">
        <f t="shared" si="11"/>
        <v>0</v>
      </c>
    </row>
    <row r="211" spans="1:10" ht="15.75" customHeight="1" x14ac:dyDescent="0.2">
      <c r="A211" s="65"/>
      <c r="B211" s="41"/>
      <c r="C211" s="265"/>
      <c r="D211" s="91"/>
      <c r="E211" s="103"/>
      <c r="F211" s="73"/>
      <c r="G211" s="82"/>
      <c r="H211" s="82"/>
      <c r="I211" s="82"/>
      <c r="J211" s="327"/>
    </row>
    <row r="212" spans="1:10" ht="15.75" customHeight="1" x14ac:dyDescent="0.2">
      <c r="A212" s="65">
        <f>+A210+1</f>
        <v>132</v>
      </c>
      <c r="B212" s="102"/>
      <c r="C212" s="114" t="s">
        <v>187</v>
      </c>
      <c r="D212" s="91"/>
      <c r="E212" s="43"/>
      <c r="F212" s="73" t="str">
        <f>"(Line "&amp;A203&amp;" * "&amp;A208&amp;")"</f>
        <v>(Line 126 * 129)</v>
      </c>
      <c r="G212" s="421">
        <v>2.6699332670573398E-2</v>
      </c>
      <c r="H212" s="421">
        <v>2.5959425532349142E-2</v>
      </c>
      <c r="I212" s="364">
        <f t="shared" si="10"/>
        <v>7.3990713822425641E-4</v>
      </c>
      <c r="J212" s="327">
        <f t="shared" si="11"/>
        <v>2.8502446531500737E-2</v>
      </c>
    </row>
    <row r="213" spans="1:10" ht="15.75" customHeight="1" x14ac:dyDescent="0.2">
      <c r="A213" s="65">
        <f>+A212+1</f>
        <v>133</v>
      </c>
      <c r="B213" s="102"/>
      <c r="C213" s="114" t="s">
        <v>188</v>
      </c>
      <c r="D213" s="91"/>
      <c r="E213" s="43"/>
      <c r="F213" s="73" t="str">
        <f>"(Line "&amp;A204&amp;" * "&amp;A209&amp;")"</f>
        <v>(Line 127 * 130)</v>
      </c>
      <c r="G213" s="82">
        <v>0</v>
      </c>
      <c r="H213" s="82">
        <v>0</v>
      </c>
      <c r="I213" s="364">
        <f t="shared" si="10"/>
        <v>0</v>
      </c>
      <c r="J213" s="327"/>
    </row>
    <row r="214" spans="1:10" ht="15.75" customHeight="1" x14ac:dyDescent="0.2">
      <c r="A214" s="65">
        <f>+A213+1</f>
        <v>134</v>
      </c>
      <c r="B214" s="269"/>
      <c r="C214" s="270" t="s">
        <v>189</v>
      </c>
      <c r="D214" s="271"/>
      <c r="E214" s="272"/>
      <c r="F214" s="128" t="str">
        <f>"(Line "&amp;A205&amp;" * "&amp;A210&amp;")"</f>
        <v>(Line 128 * 131)</v>
      </c>
      <c r="G214" s="185">
        <v>4.7749218990864158E-2</v>
      </c>
      <c r="H214" s="185">
        <v>4.8732111733562476E-2</v>
      </c>
      <c r="I214" s="367">
        <f t="shared" si="10"/>
        <v>-9.8289274269831861E-4</v>
      </c>
      <c r="J214" s="369">
        <f t="shared" si="11"/>
        <v>-2.0169303314253605E-2</v>
      </c>
    </row>
    <row r="215" spans="1:10" s="8" customFormat="1" ht="15.75" customHeight="1" x14ac:dyDescent="0.25">
      <c r="A215" s="39">
        <f>+A214+1</f>
        <v>135</v>
      </c>
      <c r="B215" s="274" t="s">
        <v>190</v>
      </c>
      <c r="C215" s="274"/>
      <c r="D215" s="275"/>
      <c r="E215" s="192"/>
      <c r="F215" s="36" t="str">
        <f>"(Sum Lines "&amp;A212&amp;" to "&amp;A214&amp;")"</f>
        <v>(Sum Lines 132 to 134)</v>
      </c>
      <c r="G215" s="366">
        <v>7.4448551661437559E-2</v>
      </c>
      <c r="H215" s="366">
        <v>7.4691537265911614E-2</v>
      </c>
      <c r="I215" s="365">
        <f t="shared" si="10"/>
        <v>-2.4298560447405526E-4</v>
      </c>
      <c r="J215" s="398">
        <f t="shared" si="11"/>
        <v>-3.2531878893989666E-3</v>
      </c>
    </row>
    <row r="216" spans="1:10" s="8" customFormat="1" ht="15.75" customHeight="1" x14ac:dyDescent="0.25">
      <c r="A216" s="277"/>
      <c r="B216" s="278"/>
      <c r="C216" s="274"/>
      <c r="D216" s="275"/>
      <c r="E216" s="192"/>
      <c r="F216" s="279"/>
      <c r="G216" s="216"/>
      <c r="H216" s="216"/>
      <c r="I216" s="82"/>
      <c r="J216" s="327"/>
    </row>
    <row r="217" spans="1:10" ht="16.5" customHeight="1" thickBot="1" x14ac:dyDescent="0.3">
      <c r="A217" s="39">
        <f>+A215+1</f>
        <v>136</v>
      </c>
      <c r="B217" s="281" t="s">
        <v>191</v>
      </c>
      <c r="C217" s="87"/>
      <c r="D217" s="242"/>
      <c r="E217" s="282"/>
      <c r="F217" s="133" t="str">
        <f>"(Line "&amp;A102&amp;" * "&amp;A215&amp;")"</f>
        <v>(Line 59 * 135)</v>
      </c>
      <c r="G217" s="223">
        <v>1588434.2982484319</v>
      </c>
      <c r="H217" s="223">
        <v>1767040.8976312042</v>
      </c>
      <c r="I217" s="412">
        <f t="shared" si="10"/>
        <v>-178606.59938277234</v>
      </c>
      <c r="J217" s="397">
        <f t="shared" si="11"/>
        <v>-0.10107666416900837</v>
      </c>
    </row>
    <row r="218" spans="1:10" ht="16.5" customHeight="1" thickTop="1" x14ac:dyDescent="0.2">
      <c r="A218" s="39"/>
      <c r="B218" s="40"/>
      <c r="C218" s="127"/>
      <c r="D218" s="34"/>
      <c r="E218" s="62"/>
      <c r="F218" s="36"/>
      <c r="G218" s="82"/>
      <c r="H218" s="82"/>
      <c r="I218" s="82"/>
      <c r="J218" s="327"/>
    </row>
    <row r="219" spans="1:10" ht="15.75" customHeight="1" x14ac:dyDescent="0.25">
      <c r="A219" s="95" t="s">
        <v>192</v>
      </c>
      <c r="B219" s="17"/>
      <c r="C219" s="205"/>
      <c r="D219" s="18"/>
      <c r="E219" s="245"/>
      <c r="F219" s="96"/>
      <c r="G219" s="82"/>
      <c r="H219" s="82"/>
      <c r="I219" s="82"/>
      <c r="J219" s="82"/>
    </row>
    <row r="220" spans="1:10" ht="15.75" customHeight="1" x14ac:dyDescent="0.25">
      <c r="A220" s="284"/>
      <c r="B220" s="40"/>
      <c r="C220" s="33"/>
      <c r="D220" s="57"/>
      <c r="E220" s="35"/>
      <c r="F220" s="59"/>
      <c r="G220" s="82"/>
      <c r="H220" s="82"/>
      <c r="I220" s="82"/>
      <c r="J220" s="327"/>
    </row>
    <row r="221" spans="1:10" ht="15.75" customHeight="1" x14ac:dyDescent="0.25">
      <c r="A221" s="39" t="s">
        <v>193</v>
      </c>
      <c r="B221" s="285" t="s">
        <v>194</v>
      </c>
      <c r="C221" s="34"/>
      <c r="D221" s="34"/>
      <c r="E221" s="35"/>
      <c r="F221" s="36"/>
      <c r="G221" s="82"/>
      <c r="H221" s="82"/>
      <c r="I221" s="82"/>
      <c r="J221" s="327"/>
    </row>
    <row r="222" spans="1:10" ht="15.75" customHeight="1" x14ac:dyDescent="0.2">
      <c r="A222" s="39">
        <f>+A217+1</f>
        <v>137</v>
      </c>
      <c r="B222" s="40"/>
      <c r="C222" s="34" t="s">
        <v>195</v>
      </c>
      <c r="D222" s="34"/>
      <c r="E222" s="62"/>
      <c r="F222" s="59"/>
      <c r="G222" s="82"/>
      <c r="H222" s="82"/>
      <c r="I222" s="82"/>
      <c r="J222" s="327"/>
    </row>
    <row r="223" spans="1:10" ht="15.75" customHeight="1" x14ac:dyDescent="0.2">
      <c r="A223" s="39">
        <f>+A222+1</f>
        <v>138</v>
      </c>
      <c r="B223" s="40"/>
      <c r="C223" s="288" t="s">
        <v>196</v>
      </c>
      <c r="D223" s="289"/>
      <c r="E223" s="103" t="e">
        <f>"(Note "&amp;#REF!&amp;")"</f>
        <v>#REF!</v>
      </c>
      <c r="F223" s="59"/>
      <c r="G223" s="82"/>
      <c r="H223" s="82"/>
      <c r="I223" s="82"/>
      <c r="J223" s="327"/>
    </row>
    <row r="224" spans="1:10" ht="15.75" customHeight="1" x14ac:dyDescent="0.2">
      <c r="A224" s="39">
        <f>+A223+1</f>
        <v>139</v>
      </c>
      <c r="B224" s="40"/>
      <c r="C224" s="288" t="s">
        <v>197</v>
      </c>
      <c r="D224" s="288" t="s">
        <v>198</v>
      </c>
      <c r="E224" s="62"/>
      <c r="F224" s="59" t="s">
        <v>199</v>
      </c>
      <c r="G224" s="82"/>
      <c r="H224" s="82"/>
      <c r="I224" s="82"/>
      <c r="J224" s="327"/>
    </row>
    <row r="225" spans="1:10" ht="15.75" customHeight="1" x14ac:dyDescent="0.2">
      <c r="A225" s="39">
        <f>+A224+1</f>
        <v>140</v>
      </c>
      <c r="B225" s="40"/>
      <c r="C225" s="288" t="s">
        <v>200</v>
      </c>
      <c r="D225" s="290" t="s">
        <v>201</v>
      </c>
      <c r="E225" s="62"/>
      <c r="F225" s="59"/>
      <c r="G225" s="82"/>
      <c r="H225" s="82"/>
      <c r="I225" s="82"/>
      <c r="J225" s="327"/>
    </row>
    <row r="226" spans="1:10" ht="15.75" customHeight="1" x14ac:dyDescent="0.2">
      <c r="A226" s="39">
        <f>+A225+1</f>
        <v>141</v>
      </c>
      <c r="B226" s="40"/>
      <c r="C226" s="288" t="s">
        <v>202</v>
      </c>
      <c r="D226" s="289"/>
      <c r="E226" s="62"/>
      <c r="F226" s="59"/>
      <c r="G226" s="82"/>
      <c r="H226" s="82"/>
      <c r="I226" s="82"/>
      <c r="J226" s="327"/>
    </row>
    <row r="227" spans="1:10" ht="15.75" customHeight="1" x14ac:dyDescent="0.2">
      <c r="A227" s="39"/>
      <c r="B227" s="40"/>
      <c r="C227" s="34"/>
      <c r="D227" s="34"/>
      <c r="E227" s="292"/>
      <c r="F227" s="293"/>
      <c r="G227" s="82"/>
      <c r="H227" s="82"/>
      <c r="I227" s="82"/>
      <c r="J227" s="327"/>
    </row>
    <row r="228" spans="1:10" ht="15.75" customHeight="1" x14ac:dyDescent="0.25">
      <c r="A228" s="39"/>
      <c r="B228" s="285" t="s">
        <v>203</v>
      </c>
      <c r="C228" s="127"/>
      <c r="D228" s="34"/>
      <c r="E228" s="103" t="e">
        <f>"(Note "&amp;#REF!&amp;")"</f>
        <v>#REF!</v>
      </c>
      <c r="F228" s="36"/>
      <c r="G228" s="82"/>
      <c r="H228" s="82"/>
      <c r="I228" s="82"/>
      <c r="J228" s="327"/>
    </row>
    <row r="229" spans="1:10" ht="15.75" customHeight="1" x14ac:dyDescent="0.2">
      <c r="A229" s="39">
        <f>+A226+1</f>
        <v>142</v>
      </c>
      <c r="B229" s="40"/>
      <c r="C229" s="91" t="s">
        <v>204</v>
      </c>
      <c r="D229" s="57" t="e">
        <f>"(Note "&amp;#REF!&amp;")"</f>
        <v>#REF!</v>
      </c>
      <c r="E229" s="58" t="s">
        <v>205</v>
      </c>
      <c r="F229" s="171" t="s">
        <v>56</v>
      </c>
      <c r="G229" s="82"/>
      <c r="H229" s="82"/>
      <c r="I229" s="82"/>
      <c r="J229" s="327"/>
    </row>
    <row r="230" spans="1:10" ht="15.75" customHeight="1" x14ac:dyDescent="0.2">
      <c r="A230" s="39">
        <f>+A229+1</f>
        <v>143</v>
      </c>
      <c r="B230" s="40"/>
      <c r="C230" s="91" t="s">
        <v>206</v>
      </c>
      <c r="D230" s="57"/>
      <c r="E230" s="40"/>
      <c r="F230" s="73" t="str">
        <f>"(1 / (1-Line "&amp;A225&amp;"))"</f>
        <v>(1 / (1-Line 140))</v>
      </c>
      <c r="G230" s="82"/>
      <c r="H230" s="82"/>
      <c r="I230" s="82"/>
      <c r="J230" s="327"/>
    </row>
    <row r="231" spans="1:10" ht="15.75" customHeight="1" x14ac:dyDescent="0.2">
      <c r="A231" s="39">
        <f>+A230+1</f>
        <v>144</v>
      </c>
      <c r="B231" s="40"/>
      <c r="C231" s="127" t="s">
        <v>113</v>
      </c>
      <c r="D231" s="125"/>
      <c r="E231" s="269"/>
      <c r="F231" s="128" t="str">
        <f>"(Line "&amp;A$26&amp;")"</f>
        <v>(Line 14)</v>
      </c>
      <c r="G231" s="109"/>
      <c r="H231" s="109"/>
      <c r="I231" s="109"/>
      <c r="J231" s="369"/>
    </row>
    <row r="232" spans="1:10" ht="15.75" customHeight="1" x14ac:dyDescent="0.25">
      <c r="A232" s="39">
        <f>+A231+1</f>
        <v>145</v>
      </c>
      <c r="B232" s="40"/>
      <c r="C232" s="297" t="s">
        <v>207</v>
      </c>
      <c r="D232" s="112"/>
      <c r="E232" s="103"/>
      <c r="F232" s="36" t="str">
        <f>"(Line "&amp;A229&amp;" *  "&amp;A230&amp;" * "&amp;A231&amp;")"</f>
        <v>(Line 142 *  143 * 144)</v>
      </c>
      <c r="G232" s="82"/>
      <c r="H232" s="82"/>
      <c r="I232" s="82"/>
      <c r="J232" s="327"/>
    </row>
    <row r="233" spans="1:10" ht="15.75" customHeight="1" x14ac:dyDescent="0.25">
      <c r="A233" s="39"/>
      <c r="B233" s="40"/>
      <c r="C233" s="232"/>
      <c r="D233" s="57"/>
      <c r="E233" s="103"/>
      <c r="F233" s="36"/>
      <c r="G233" s="82"/>
      <c r="H233" s="82"/>
      <c r="I233" s="82"/>
      <c r="J233" s="327"/>
    </row>
    <row r="234" spans="1:10" ht="15.75" customHeight="1" x14ac:dyDescent="0.25">
      <c r="A234" s="39"/>
      <c r="B234" s="285" t="s">
        <v>208</v>
      </c>
      <c r="C234" s="232"/>
      <c r="D234" s="57"/>
      <c r="E234" s="103"/>
      <c r="F234" s="36"/>
      <c r="G234" s="82"/>
      <c r="H234" s="82"/>
      <c r="I234" s="82"/>
      <c r="J234" s="327"/>
    </row>
    <row r="235" spans="1:10" ht="15.75" customHeight="1" x14ac:dyDescent="0.25">
      <c r="A235" s="39" t="s">
        <v>209</v>
      </c>
      <c r="B235" s="285"/>
      <c r="C235" s="232" t="s">
        <v>210</v>
      </c>
      <c r="D235" s="57"/>
      <c r="E235" s="207"/>
      <c r="F235" s="63" t="s">
        <v>22</v>
      </c>
      <c r="G235" s="82">
        <v>-3962122.5756236343</v>
      </c>
      <c r="H235" s="82">
        <v>-3549779.0332462043</v>
      </c>
      <c r="I235" s="82">
        <f t="shared" ref="I235:J295" si="13">G235-H235</f>
        <v>-412343.54237743001</v>
      </c>
      <c r="J235" s="327">
        <f t="shared" ref="J235:J286" si="14">(G235-H235)/H235</f>
        <v>0.1161603408312291</v>
      </c>
    </row>
    <row r="236" spans="1:10" ht="15.75" customHeight="1" x14ac:dyDescent="0.25">
      <c r="A236" s="39" t="s">
        <v>211</v>
      </c>
      <c r="B236" s="40"/>
      <c r="C236" s="232" t="s">
        <v>212</v>
      </c>
      <c r="D236" s="34" t="s">
        <v>213</v>
      </c>
      <c r="F236" s="36" t="s">
        <v>214</v>
      </c>
      <c r="G236" s="82">
        <v>-5015345.0324349795</v>
      </c>
      <c r="H236" s="82">
        <v>-4493391.1813243087</v>
      </c>
      <c r="I236" s="82">
        <f t="shared" si="13"/>
        <v>-521953.85111067072</v>
      </c>
      <c r="J236" s="327">
        <f t="shared" si="14"/>
        <v>0.11616034083122907</v>
      </c>
    </row>
    <row r="237" spans="1:10" ht="15.75" customHeight="1" x14ac:dyDescent="0.25">
      <c r="A237" s="39"/>
      <c r="B237" s="40"/>
      <c r="C237" s="232"/>
      <c r="D237" s="57"/>
      <c r="E237" s="300"/>
      <c r="F237" s="301"/>
      <c r="G237" s="82"/>
      <c r="H237" s="82"/>
      <c r="I237" s="82"/>
      <c r="J237" s="327"/>
    </row>
    <row r="238" spans="1:10" ht="15.75" customHeight="1" x14ac:dyDescent="0.25">
      <c r="A238" s="39">
        <f>+A232+1</f>
        <v>146</v>
      </c>
      <c r="B238" s="189" t="s">
        <v>215</v>
      </c>
      <c r="C238" s="4"/>
      <c r="D238" s="34" t="s">
        <v>216</v>
      </c>
      <c r="E238" s="35"/>
      <c r="F238" s="36" t="str">
        <f>"[Line "&amp;A226&amp;" * "&amp;A217&amp;" * (1-("&amp;A212&amp;" / "&amp;A215&amp;"))]"</f>
        <v>[Line 141 * 136 * (1-(132 / 135))]</v>
      </c>
      <c r="G238" s="82">
        <v>15759359.816093279</v>
      </c>
      <c r="H238" s="82">
        <v>13538576.19077573</v>
      </c>
      <c r="I238" s="82">
        <f t="shared" si="13"/>
        <v>2220783.6253175493</v>
      </c>
      <c r="J238" s="327">
        <f t="shared" si="14"/>
        <v>0.16403376500038763</v>
      </c>
    </row>
    <row r="239" spans="1:10" ht="15.75" customHeight="1" x14ac:dyDescent="0.2">
      <c r="A239" s="39"/>
      <c r="B239" s="40"/>
      <c r="C239" s="304"/>
      <c r="D239" s="57"/>
      <c r="E239" s="102"/>
      <c r="F239" s="183"/>
      <c r="G239" s="82"/>
      <c r="H239" s="82"/>
      <c r="I239" s="82"/>
      <c r="J239" s="327"/>
    </row>
    <row r="240" spans="1:10" ht="16.5" customHeight="1" thickBot="1" x14ac:dyDescent="0.3">
      <c r="A240" s="39">
        <f>+A238+1</f>
        <v>147</v>
      </c>
      <c r="B240" s="281" t="s">
        <v>217</v>
      </c>
      <c r="C240" s="281"/>
      <c r="D240" s="242"/>
      <c r="E240" s="132"/>
      <c r="F240" s="133" t="str">
        <f>"(Line "&amp;A232&amp;" + 145b + "&amp;A238&amp;")"</f>
        <v>(Line 145 + 145b + 146)</v>
      </c>
      <c r="G240" s="223">
        <v>184628.82441334581</v>
      </c>
      <c r="H240" s="223">
        <v>204946.27686520858</v>
      </c>
      <c r="I240" s="412">
        <f t="shared" si="13"/>
        <v>-20317.452451862773</v>
      </c>
      <c r="J240" s="397">
        <f t="shared" si="14"/>
        <v>-9.9135504009303807E-2</v>
      </c>
    </row>
    <row r="241" spans="1:10" ht="16.5" customHeight="1" thickTop="1" x14ac:dyDescent="0.2">
      <c r="A241" s="39"/>
      <c r="B241" s="40"/>
      <c r="C241" s="290"/>
      <c r="D241" s="34"/>
      <c r="E241" s="62"/>
      <c r="F241" s="152"/>
      <c r="G241" s="82"/>
      <c r="H241" s="82"/>
      <c r="I241" s="82"/>
      <c r="J241" s="327"/>
    </row>
    <row r="242" spans="1:10" ht="15.75" customHeight="1" x14ac:dyDescent="0.25">
      <c r="A242" s="95" t="s">
        <v>218</v>
      </c>
      <c r="B242" s="17"/>
      <c r="C242" s="205"/>
      <c r="D242" s="18"/>
      <c r="E242" s="19"/>
      <c r="F242" s="96"/>
      <c r="G242" s="82"/>
      <c r="H242" s="82"/>
      <c r="I242" s="82"/>
      <c r="J242" s="82"/>
    </row>
    <row r="243" spans="1:10" ht="15.75" customHeight="1" x14ac:dyDescent="0.2">
      <c r="A243" s="61"/>
      <c r="B243" s="4"/>
      <c r="C243" s="4"/>
      <c r="D243" s="4"/>
      <c r="E243" s="62"/>
      <c r="F243" s="63"/>
      <c r="G243" s="82"/>
      <c r="H243" s="82"/>
      <c r="I243" s="82"/>
      <c r="J243" s="327"/>
    </row>
    <row r="244" spans="1:10" ht="15.75" customHeight="1" x14ac:dyDescent="0.25">
      <c r="A244" s="61"/>
      <c r="B244" s="189" t="s">
        <v>219</v>
      </c>
      <c r="C244" s="4"/>
      <c r="D244" s="4"/>
      <c r="E244" s="62"/>
      <c r="F244" s="63"/>
      <c r="G244" s="82"/>
      <c r="H244" s="82"/>
      <c r="I244" s="82"/>
      <c r="J244" s="327"/>
    </row>
    <row r="245" spans="1:10" ht="15.75" customHeight="1" x14ac:dyDescent="0.2">
      <c r="A245" s="61">
        <f>+A240+1</f>
        <v>148</v>
      </c>
      <c r="B245" s="4"/>
      <c r="C245" s="4" t="s">
        <v>220</v>
      </c>
      <c r="D245" s="4"/>
      <c r="E245" s="62"/>
      <c r="F245" s="36" t="str">
        <f>"(Line "&amp;A61&amp;")"</f>
        <v>(Line 37)</v>
      </c>
      <c r="G245" s="85">
        <v>21336000</v>
      </c>
      <c r="H245" s="85">
        <v>23657846.15384616</v>
      </c>
      <c r="I245" s="82">
        <f t="shared" si="13"/>
        <v>-2321846.1538461596</v>
      </c>
      <c r="J245" s="327">
        <f t="shared" si="14"/>
        <v>-9.8142753095411719E-2</v>
      </c>
    </row>
    <row r="246" spans="1:10" ht="15.75" customHeight="1" x14ac:dyDescent="0.2">
      <c r="A246" s="39">
        <f>+A245+1</f>
        <v>149</v>
      </c>
      <c r="B246" s="4"/>
      <c r="C246" s="4" t="s">
        <v>221</v>
      </c>
      <c r="D246" s="4"/>
      <c r="E246" s="62"/>
      <c r="F246" s="128" t="str">
        <f>"(Line "&amp;A100&amp;")"</f>
        <v>(Line 58)</v>
      </c>
      <c r="G246" s="85">
        <v>0</v>
      </c>
      <c r="H246" s="85">
        <v>0</v>
      </c>
      <c r="I246" s="109">
        <f t="shared" si="13"/>
        <v>0</v>
      </c>
      <c r="J246" s="109">
        <f t="shared" si="13"/>
        <v>0</v>
      </c>
    </row>
    <row r="247" spans="1:10" ht="15.75" customHeight="1" x14ac:dyDescent="0.25">
      <c r="A247" s="39">
        <f>+A246+1</f>
        <v>150</v>
      </c>
      <c r="B247" s="40"/>
      <c r="C247" s="309" t="s">
        <v>84</v>
      </c>
      <c r="D247" s="180"/>
      <c r="E247" s="310"/>
      <c r="F247" s="36" t="str">
        <f>"(Line "&amp;A102&amp;")"</f>
        <v>(Line 59)</v>
      </c>
      <c r="G247" s="422">
        <v>21336000</v>
      </c>
      <c r="H247" s="422">
        <v>23657846.15384616</v>
      </c>
      <c r="I247" s="216">
        <f t="shared" si="13"/>
        <v>-2321846.1538461596</v>
      </c>
      <c r="J247" s="398">
        <f t="shared" si="14"/>
        <v>-9.8142753095411719E-2</v>
      </c>
    </row>
    <row r="248" spans="1:10" ht="15.75" customHeight="1" x14ac:dyDescent="0.2">
      <c r="A248" s="39"/>
      <c r="B248" s="40"/>
      <c r="C248" s="91"/>
      <c r="D248" s="57"/>
      <c r="E248" s="35"/>
      <c r="F248" s="59"/>
      <c r="G248" s="82"/>
      <c r="H248" s="82"/>
      <c r="I248" s="82"/>
      <c r="J248" s="327"/>
    </row>
    <row r="249" spans="1:10" ht="15.75" customHeight="1" x14ac:dyDescent="0.2">
      <c r="A249" s="39">
        <f>+A247+1</f>
        <v>151</v>
      </c>
      <c r="B249" s="34"/>
      <c r="C249" s="91" t="s">
        <v>85</v>
      </c>
      <c r="D249" s="34"/>
      <c r="E249" s="62"/>
      <c r="F249" s="36" t="str">
        <f>"(Line "&amp;A135&amp;")"</f>
        <v>(Line 82)</v>
      </c>
      <c r="G249" s="85">
        <v>2006733.2476027785</v>
      </c>
      <c r="H249" s="85">
        <v>1753563.5761830104</v>
      </c>
      <c r="I249" s="82">
        <f t="shared" si="13"/>
        <v>253169.67141976813</v>
      </c>
      <c r="J249" s="327">
        <f t="shared" si="14"/>
        <v>0.14437438987575443</v>
      </c>
    </row>
    <row r="250" spans="1:10" ht="15.75" customHeight="1" x14ac:dyDescent="0.2">
      <c r="A250" s="39">
        <f>+A249+1</f>
        <v>152</v>
      </c>
      <c r="B250" s="34"/>
      <c r="C250" s="304" t="s">
        <v>222</v>
      </c>
      <c r="D250" s="34"/>
      <c r="E250" s="62"/>
      <c r="F250" s="36" t="str">
        <f>"(Line "&amp;A152&amp;")"</f>
        <v>(Line 92)</v>
      </c>
      <c r="G250" s="85">
        <v>1486166.4000000004</v>
      </c>
      <c r="H250" s="85">
        <v>1538038</v>
      </c>
      <c r="I250" s="82">
        <f t="shared" si="13"/>
        <v>-51871.599999999627</v>
      </c>
      <c r="J250" s="327">
        <f t="shared" si="14"/>
        <v>-3.372582471954505E-2</v>
      </c>
    </row>
    <row r="251" spans="1:10" ht="15.75" customHeight="1" x14ac:dyDescent="0.2">
      <c r="A251" s="39">
        <f>+A250+1</f>
        <v>153</v>
      </c>
      <c r="B251" s="40"/>
      <c r="C251" s="91" t="s">
        <v>223</v>
      </c>
      <c r="D251" s="57"/>
      <c r="E251" s="35"/>
      <c r="F251" s="36" t="str">
        <f>"(Line "&amp;A158&amp;")"</f>
        <v>(Line 94)</v>
      </c>
      <c r="G251" s="85">
        <v>1242690.4688799998</v>
      </c>
      <c r="H251" s="85">
        <v>988777</v>
      </c>
      <c r="I251" s="82">
        <f t="shared" si="13"/>
        <v>253913.46887999983</v>
      </c>
      <c r="J251" s="327">
        <f t="shared" si="14"/>
        <v>0.25679548460370721</v>
      </c>
    </row>
    <row r="252" spans="1:10" ht="15.75" customHeight="1" x14ac:dyDescent="0.2">
      <c r="A252" s="39">
        <f>+A251+1</f>
        <v>154</v>
      </c>
      <c r="B252" s="40"/>
      <c r="C252" s="290" t="s">
        <v>224</v>
      </c>
      <c r="D252" s="57"/>
      <c r="E252" s="35"/>
      <c r="F252" s="36" t="str">
        <f>"(Line "&amp;A217&amp;")"</f>
        <v>(Line 136)</v>
      </c>
      <c r="G252" s="85">
        <v>1588434.2982484319</v>
      </c>
      <c r="H252" s="85">
        <v>1767040.8976312042</v>
      </c>
      <c r="I252" s="82">
        <f t="shared" si="13"/>
        <v>-178606.59938277234</v>
      </c>
      <c r="J252" s="327">
        <f t="shared" si="14"/>
        <v>-0.10107666416900837</v>
      </c>
    </row>
    <row r="253" spans="1:10" ht="15.75" customHeight="1" x14ac:dyDescent="0.2">
      <c r="A253" s="39">
        <f>+A252+1</f>
        <v>155</v>
      </c>
      <c r="B253" s="40"/>
      <c r="C253" s="290" t="s">
        <v>225</v>
      </c>
      <c r="D253" s="57"/>
      <c r="E253" s="35"/>
      <c r="F253" s="36" t="str">
        <f>"(Line "&amp;A240&amp;")"</f>
        <v>(Line 147)</v>
      </c>
      <c r="G253" s="85">
        <v>184628.82441334581</v>
      </c>
      <c r="H253" s="85">
        <v>204946.27686520858</v>
      </c>
      <c r="I253" s="82">
        <f t="shared" si="13"/>
        <v>-20317.452451862773</v>
      </c>
      <c r="J253" s="327">
        <f t="shared" si="14"/>
        <v>-9.9135504009303807E-2</v>
      </c>
    </row>
    <row r="254" spans="1:10" ht="16.5" customHeight="1" thickBot="1" x14ac:dyDescent="0.25">
      <c r="A254" s="39"/>
      <c r="B254" s="40"/>
      <c r="C254" s="290"/>
      <c r="D254" s="57"/>
      <c r="E254" s="35"/>
      <c r="F254" s="59"/>
      <c r="G254" s="85"/>
      <c r="H254" s="85"/>
      <c r="I254" s="82"/>
      <c r="J254" s="327"/>
    </row>
    <row r="255" spans="1:10" ht="18.75" customHeight="1" thickBot="1" x14ac:dyDescent="0.3">
      <c r="A255" s="312">
        <f>+A253+1</f>
        <v>156</v>
      </c>
      <c r="B255" s="313"/>
      <c r="C255" s="314" t="s">
        <v>226</v>
      </c>
      <c r="D255" s="315"/>
      <c r="E255" s="316"/>
      <c r="F255" s="317" t="str">
        <f>"(Sum Lines "&amp;A249&amp;" to "&amp;A253&amp;")"</f>
        <v>(Sum Lines 151 to 155)</v>
      </c>
      <c r="G255" s="414">
        <v>6508653.2391445562</v>
      </c>
      <c r="H255" s="414">
        <v>6252365.7506794222</v>
      </c>
      <c r="I255" s="413">
        <f t="shared" si="13"/>
        <v>256287.48846513405</v>
      </c>
      <c r="J255" s="436">
        <f t="shared" si="14"/>
        <v>4.0990482432555105E-2</v>
      </c>
    </row>
    <row r="256" spans="1:10" ht="18" customHeight="1" x14ac:dyDescent="0.25">
      <c r="A256" s="318"/>
      <c r="B256" s="319"/>
      <c r="C256" s="320"/>
      <c r="D256" s="321"/>
      <c r="E256" s="322"/>
      <c r="F256" s="279"/>
      <c r="G256" s="82"/>
      <c r="H256" s="82"/>
      <c r="I256" s="82"/>
      <c r="J256" s="327"/>
    </row>
    <row r="257" spans="1:10" ht="18" customHeight="1" x14ac:dyDescent="0.25">
      <c r="A257" s="318"/>
      <c r="B257" s="232" t="s">
        <v>227</v>
      </c>
      <c r="C257" s="320"/>
      <c r="D257" s="321"/>
      <c r="E257" s="322"/>
      <c r="F257" s="279"/>
      <c r="G257" s="82"/>
      <c r="H257" s="82"/>
      <c r="I257" s="82"/>
      <c r="J257" s="327"/>
    </row>
    <row r="258" spans="1:10" ht="18" customHeight="1" x14ac:dyDescent="0.25">
      <c r="A258" s="65">
        <f>+A255+1</f>
        <v>157</v>
      </c>
      <c r="B258" s="102"/>
      <c r="C258" s="91" t="str">
        <f>+C31</f>
        <v>Transmission Plant In Service</v>
      </c>
      <c r="D258" s="321"/>
      <c r="E258" s="322"/>
      <c r="F258" s="73" t="str">
        <f>"(Line "&amp;A33&amp;")"</f>
        <v>(Line 17)</v>
      </c>
      <c r="G258" s="85">
        <v>99262153.84615384</v>
      </c>
      <c r="H258" s="85">
        <v>100969769.23076923</v>
      </c>
      <c r="I258" s="82">
        <f t="shared" si="13"/>
        <v>-1707615.3846153915</v>
      </c>
      <c r="J258" s="327">
        <f t="shared" si="14"/>
        <v>-1.6912145067030794E-2</v>
      </c>
    </row>
    <row r="259" spans="1:10" ht="18" customHeight="1" x14ac:dyDescent="0.25">
      <c r="A259" s="65">
        <f>+A258+1</f>
        <v>158</v>
      </c>
      <c r="B259" s="102"/>
      <c r="C259" s="104" t="s">
        <v>228</v>
      </c>
      <c r="D259" s="324"/>
      <c r="E259" s="68" t="e">
        <f>"(Note "&amp;#REF!&amp;")"</f>
        <v>#REF!</v>
      </c>
      <c r="F259" s="83" t="s">
        <v>22</v>
      </c>
      <c r="G259" s="325">
        <v>3873000</v>
      </c>
      <c r="H259" s="325">
        <v>3873000</v>
      </c>
      <c r="I259" s="109">
        <f t="shared" si="13"/>
        <v>0</v>
      </c>
      <c r="J259" s="369">
        <f t="shared" si="14"/>
        <v>0</v>
      </c>
    </row>
    <row r="260" spans="1:10" ht="18" customHeight="1" x14ac:dyDescent="0.25">
      <c r="A260" s="65">
        <f>+A259+1</f>
        <v>159</v>
      </c>
      <c r="B260" s="102"/>
      <c r="C260" s="91" t="s">
        <v>229</v>
      </c>
      <c r="D260" s="321"/>
      <c r="E260" s="326"/>
      <c r="F260" s="73" t="str">
        <f>"(Line "&amp;A258&amp;" - "&amp;A259&amp;")"</f>
        <v>(Line 157 - 158)</v>
      </c>
      <c r="G260" s="85">
        <v>95389153.84615384</v>
      </c>
      <c r="H260" s="85">
        <v>97096769.230769232</v>
      </c>
      <c r="I260" s="82">
        <f t="shared" si="13"/>
        <v>-1707615.3846153915</v>
      </c>
      <c r="J260" s="327">
        <f t="shared" si="14"/>
        <v>-1.7586737418182407E-2</v>
      </c>
    </row>
    <row r="261" spans="1:10" s="5" customFormat="1" ht="18" customHeight="1" x14ac:dyDescent="0.25">
      <c r="A261" s="65">
        <f>+A260+1</f>
        <v>160</v>
      </c>
      <c r="B261" s="102"/>
      <c r="C261" s="91" t="s">
        <v>230</v>
      </c>
      <c r="D261" s="321"/>
      <c r="E261" s="326"/>
      <c r="F261" s="73" t="str">
        <f>"(Line "&amp;A260&amp;" / "&amp;A258&amp;")"</f>
        <v>(Line 159 / 157)</v>
      </c>
      <c r="G261" s="327">
        <v>0.96098210798445138</v>
      </c>
      <c r="H261" s="327">
        <v>0.96164198423442815</v>
      </c>
      <c r="I261" s="327">
        <f t="shared" si="13"/>
        <v>-6.5987624997676519E-4</v>
      </c>
      <c r="J261" s="327">
        <f t="shared" si="14"/>
        <v>-6.8619742148851644E-4</v>
      </c>
    </row>
    <row r="262" spans="1:10" ht="18" customHeight="1" x14ac:dyDescent="0.25">
      <c r="A262" s="65">
        <f>+A261+1</f>
        <v>161</v>
      </c>
      <c r="B262" s="102"/>
      <c r="C262" s="104" t="s">
        <v>226</v>
      </c>
      <c r="D262" s="324"/>
      <c r="E262" s="328"/>
      <c r="F262" s="83" t="str">
        <f>"(Line "&amp;A255&amp;")"</f>
        <v>(Line 156)</v>
      </c>
      <c r="G262" s="325">
        <v>6508653.2391445562</v>
      </c>
      <c r="H262" s="325">
        <v>6252365.7506794222</v>
      </c>
      <c r="I262" s="109">
        <f t="shared" si="13"/>
        <v>256287.48846513405</v>
      </c>
      <c r="J262" s="369">
        <f t="shared" si="14"/>
        <v>4.0990482432555105E-2</v>
      </c>
    </row>
    <row r="263" spans="1:10" ht="18" customHeight="1" x14ac:dyDescent="0.25">
      <c r="A263" s="65">
        <f>+A262+1</f>
        <v>162</v>
      </c>
      <c r="B263" s="102"/>
      <c r="C263" s="33" t="s">
        <v>231</v>
      </c>
      <c r="D263" s="321"/>
      <c r="E263" s="329"/>
      <c r="F263" s="73" t="str">
        <f>"(Line "&amp;A261&amp;" * "&amp;A262&amp;")"</f>
        <v>(Line 160 * 161)</v>
      </c>
      <c r="G263" s="161">
        <v>6254699.3098929636</v>
      </c>
      <c r="H263" s="161">
        <v>6012537.4066427397</v>
      </c>
      <c r="I263" s="216">
        <f t="shared" si="13"/>
        <v>242161.90325022396</v>
      </c>
      <c r="J263" s="398">
        <f t="shared" si="14"/>
        <v>4.0276157447715823E-2</v>
      </c>
    </row>
    <row r="264" spans="1:10" ht="15.75" customHeight="1" x14ac:dyDescent="0.2">
      <c r="A264" s="135"/>
      <c r="B264" s="40"/>
      <c r="C264" s="91"/>
      <c r="D264" s="57"/>
      <c r="E264" s="330"/>
      <c r="F264" s="59"/>
      <c r="G264" s="82"/>
      <c r="H264" s="82"/>
      <c r="I264" s="82"/>
      <c r="J264" s="327"/>
    </row>
    <row r="265" spans="1:10" ht="15.75" customHeight="1" x14ac:dyDescent="0.25">
      <c r="A265" s="135"/>
      <c r="B265" s="232" t="s">
        <v>232</v>
      </c>
      <c r="C265" s="91"/>
      <c r="D265" s="57"/>
      <c r="E265" s="330"/>
      <c r="F265" s="59"/>
      <c r="G265" s="82"/>
      <c r="H265" s="82"/>
      <c r="I265" s="82"/>
      <c r="J265" s="327"/>
    </row>
    <row r="266" spans="1:10" ht="15.75" customHeight="1" x14ac:dyDescent="0.25">
      <c r="A266" s="65">
        <f>+A263+1</f>
        <v>163</v>
      </c>
      <c r="B266" s="4"/>
      <c r="C266" s="144" t="s">
        <v>233</v>
      </c>
      <c r="D266" s="57"/>
      <c r="E266" s="331"/>
      <c r="F266" s="59" t="s">
        <v>234</v>
      </c>
      <c r="G266" s="82">
        <v>22191.5247581617</v>
      </c>
      <c r="H266" s="82">
        <v>19882.565370828106</v>
      </c>
      <c r="I266" s="82">
        <f t="shared" si="13"/>
        <v>2308.9593873335943</v>
      </c>
      <c r="J266" s="327">
        <f t="shared" si="14"/>
        <v>0.11612985267591888</v>
      </c>
    </row>
    <row r="267" spans="1:10" ht="15.75" customHeight="1" x14ac:dyDescent="0.25">
      <c r="A267" s="65">
        <f>+A266+1</f>
        <v>164</v>
      </c>
      <c r="B267" s="4"/>
      <c r="C267" s="232" t="s">
        <v>235</v>
      </c>
      <c r="D267" s="57"/>
      <c r="E267" s="103" t="e">
        <f>"(Note "&amp;#REF!&amp;")"</f>
        <v>#REF!</v>
      </c>
      <c r="F267" s="59" t="s">
        <v>22</v>
      </c>
      <c r="G267" s="82">
        <v>0</v>
      </c>
      <c r="H267" s="82">
        <v>0</v>
      </c>
      <c r="I267" s="82"/>
      <c r="J267" s="327"/>
    </row>
    <row r="268" spans="1:10" ht="16.5" customHeight="1" thickBot="1" x14ac:dyDescent="0.25">
      <c r="A268" s="39"/>
      <c r="B268" s="40"/>
      <c r="C268" s="41"/>
      <c r="D268" s="41"/>
      <c r="E268" s="333"/>
      <c r="F268" s="59"/>
      <c r="G268" s="82"/>
      <c r="H268" s="82"/>
      <c r="I268" s="82"/>
      <c r="J268" s="327"/>
    </row>
    <row r="269" spans="1:10" s="8" customFormat="1" ht="18.75" customHeight="1" thickBot="1" x14ac:dyDescent="0.3">
      <c r="A269" s="312">
        <f>+A267+1</f>
        <v>165</v>
      </c>
      <c r="B269" s="334"/>
      <c r="C269" s="335" t="s">
        <v>236</v>
      </c>
      <c r="D269" s="336"/>
      <c r="E269" s="337"/>
      <c r="F269" s="338" t="str">
        <f>"(Line "&amp;A263&amp;" - "&amp;A266&amp;" + "&amp;A267&amp;")"</f>
        <v>(Line 162 - 163 + 164)</v>
      </c>
      <c r="G269" s="414">
        <v>6232507.7851348016</v>
      </c>
      <c r="H269" s="414">
        <v>5992654.8412719117</v>
      </c>
      <c r="I269" s="414">
        <f t="shared" si="13"/>
        <v>239852.94386288989</v>
      </c>
      <c r="J269" s="436">
        <f t="shared" si="14"/>
        <v>4.0024488347135019E-2</v>
      </c>
    </row>
    <row r="270" spans="1:10" ht="15.75" customHeight="1" x14ac:dyDescent="0.2">
      <c r="A270" s="135"/>
      <c r="B270" s="40"/>
      <c r="C270" s="41"/>
      <c r="D270" s="41"/>
      <c r="E270" s="62"/>
      <c r="F270" s="59"/>
      <c r="G270" s="82"/>
      <c r="H270" s="82"/>
      <c r="I270" s="82"/>
      <c r="J270" s="327"/>
    </row>
    <row r="271" spans="1:10" ht="15.75" customHeight="1" x14ac:dyDescent="0.25">
      <c r="A271" s="65"/>
      <c r="B271" s="9" t="s">
        <v>237</v>
      </c>
      <c r="C271" s="41"/>
      <c r="D271" s="41"/>
      <c r="E271" s="62"/>
      <c r="F271" s="59"/>
      <c r="G271" s="82"/>
      <c r="H271" s="82"/>
      <c r="I271" s="82"/>
      <c r="J271" s="327"/>
    </row>
    <row r="272" spans="1:10" ht="15.75" customHeight="1" x14ac:dyDescent="0.25">
      <c r="A272" s="65">
        <f>+A269+1</f>
        <v>166</v>
      </c>
      <c r="B272" s="102"/>
      <c r="C272" s="41" t="str">
        <f>+C255</f>
        <v>Gross Revenue Requirement</v>
      </c>
      <c r="D272" s="41"/>
      <c r="E272" s="43"/>
      <c r="F272" s="209" t="str">
        <f>"(Line "&amp;A255&amp;")"</f>
        <v>(Line 156)</v>
      </c>
      <c r="G272" s="303">
        <v>6254699.3098929636</v>
      </c>
      <c r="H272" s="303">
        <v>6012537.4066427397</v>
      </c>
      <c r="I272" s="82">
        <f t="shared" si="13"/>
        <v>242161.90325022396</v>
      </c>
      <c r="J272" s="327">
        <f t="shared" si="14"/>
        <v>4.0276157447715823E-2</v>
      </c>
    </row>
    <row r="273" spans="1:10" ht="15.75" customHeight="1" x14ac:dyDescent="0.25">
      <c r="A273" s="65">
        <f>+A272+1</f>
        <v>167</v>
      </c>
      <c r="B273" s="102"/>
      <c r="C273" s="41" t="s">
        <v>238</v>
      </c>
      <c r="D273" s="41"/>
      <c r="E273" s="43"/>
      <c r="F273" s="209" t="str">
        <f>"(Line "&amp;A31&amp;" - "&amp;A47&amp;")"</f>
        <v>(Line 15 - 26)</v>
      </c>
      <c r="G273" s="303">
        <v>21336000</v>
      </c>
      <c r="H273" s="303">
        <v>23657846.15384616</v>
      </c>
      <c r="I273" s="82">
        <f t="shared" si="13"/>
        <v>-2321846.1538461596</v>
      </c>
      <c r="J273" s="327">
        <f t="shared" si="14"/>
        <v>-9.8142753095411719E-2</v>
      </c>
    </row>
    <row r="274" spans="1:10" ht="15.75" customHeight="1" x14ac:dyDescent="0.25">
      <c r="A274" s="65">
        <f>+A273+1</f>
        <v>168</v>
      </c>
      <c r="B274" s="102"/>
      <c r="C274" s="41" t="s">
        <v>239</v>
      </c>
      <c r="D274" s="41"/>
      <c r="E274" s="43"/>
      <c r="F274" s="209" t="str">
        <f>"(Line "&amp;A255&amp;" / "&amp;A273&amp;")"</f>
        <v>(Line 156 / 167)</v>
      </c>
      <c r="G274" s="60">
        <v>0.29315238610296979</v>
      </c>
      <c r="H274" s="60">
        <v>0.25414559582235069</v>
      </c>
      <c r="I274" s="82">
        <f t="shared" si="13"/>
        <v>3.9006790280619097E-2</v>
      </c>
      <c r="J274" s="327">
        <f t="shared" si="14"/>
        <v>0.15348206273023546</v>
      </c>
    </row>
    <row r="275" spans="1:10" ht="15.75" customHeight="1" x14ac:dyDescent="0.25">
      <c r="A275" s="65">
        <f>+A274+1</f>
        <v>169</v>
      </c>
      <c r="B275" s="102"/>
      <c r="C275" s="41" t="s">
        <v>240</v>
      </c>
      <c r="D275" s="41"/>
      <c r="E275" s="43"/>
      <c r="F275" s="209" t="str">
        <f>"(Line "&amp;A255&amp;" - "&amp;A140&amp;") / "&amp;A273</f>
        <v>(Line 156 - 83) / 167</v>
      </c>
      <c r="G275" s="60">
        <v>0.22349704302085505</v>
      </c>
      <c r="H275" s="60">
        <v>0.18913384496395927</v>
      </c>
      <c r="I275" s="82">
        <f t="shared" si="13"/>
        <v>3.4363198056895777E-2</v>
      </c>
      <c r="J275" s="327">
        <f t="shared" si="14"/>
        <v>0.18168719651125326</v>
      </c>
    </row>
    <row r="276" spans="1:10" ht="15.75" customHeight="1" x14ac:dyDescent="0.25">
      <c r="A276" s="65">
        <f>+A275+1</f>
        <v>170</v>
      </c>
      <c r="B276" s="102"/>
      <c r="C276" s="41" t="s">
        <v>241</v>
      </c>
      <c r="D276" s="41"/>
      <c r="E276" s="43"/>
      <c r="F276" s="209" t="str">
        <f>"(Line "&amp;A255&amp;" - "&amp;A140&amp;" - "&amp;A217&amp;" - "&amp;A240&amp;") / "&amp;A273</f>
        <v>(Line 156 - 83 - 136 - 147) / 167</v>
      </c>
      <c r="G276" s="60">
        <v>0.14039509688935067</v>
      </c>
      <c r="H276" s="60">
        <v>0.1057793772041874</v>
      </c>
      <c r="I276" s="82">
        <f t="shared" si="13"/>
        <v>3.4615719685163276E-2</v>
      </c>
      <c r="J276" s="327">
        <f t="shared" si="14"/>
        <v>0.32724450266278343</v>
      </c>
    </row>
    <row r="277" spans="1:10" ht="15.75" customHeight="1" x14ac:dyDescent="0.2">
      <c r="A277" s="65"/>
      <c r="B277" s="102"/>
      <c r="C277" s="41"/>
      <c r="D277" s="41"/>
      <c r="E277" s="43"/>
      <c r="F277" s="209"/>
      <c r="G277" s="82"/>
      <c r="H277" s="82"/>
      <c r="I277" s="82"/>
      <c r="J277" s="327"/>
    </row>
    <row r="278" spans="1:10" ht="15.75" customHeight="1" x14ac:dyDescent="0.25">
      <c r="A278" s="65"/>
      <c r="B278" s="9" t="s">
        <v>242</v>
      </c>
      <c r="C278" s="41"/>
      <c r="D278" s="41"/>
      <c r="E278" s="43"/>
      <c r="F278" s="209"/>
      <c r="G278" s="82"/>
      <c r="H278" s="82"/>
      <c r="I278" s="82"/>
      <c r="J278" s="327"/>
    </row>
    <row r="279" spans="1:10" ht="15.75" customHeight="1" x14ac:dyDescent="0.25">
      <c r="A279" s="65">
        <f>+A276+1</f>
        <v>171</v>
      </c>
      <c r="B279" s="102"/>
      <c r="C279" s="41" t="s">
        <v>243</v>
      </c>
      <c r="D279" s="41"/>
      <c r="E279" s="43"/>
      <c r="F279" s="209" t="str">
        <f>"(Line "&amp;A255&amp;" - "&amp;A252&amp;" - "&amp;A253&amp;")"</f>
        <v>(Line 156 - 154 - 155)</v>
      </c>
      <c r="G279" s="303">
        <v>4481636.1872311858</v>
      </c>
      <c r="H279" s="303">
        <v>4040550.2321463265</v>
      </c>
      <c r="I279" s="82">
        <f t="shared" si="13"/>
        <v>441085.95508485939</v>
      </c>
      <c r="J279" s="327">
        <f t="shared" si="14"/>
        <v>0.10916482403203685</v>
      </c>
    </row>
    <row r="280" spans="1:10" ht="16.5" customHeight="1" x14ac:dyDescent="0.25">
      <c r="A280" s="65">
        <f>+A279+1</f>
        <v>172</v>
      </c>
      <c r="B280" s="102"/>
      <c r="C280" s="41" t="s">
        <v>244</v>
      </c>
      <c r="D280" s="41"/>
      <c r="E280" s="62"/>
      <c r="F280" s="209" t="s">
        <v>245</v>
      </c>
      <c r="G280" s="303">
        <v>1904654.0986872329</v>
      </c>
      <c r="H280" s="303">
        <v>2120901.770485132</v>
      </c>
      <c r="I280" s="82">
        <f t="shared" si="13"/>
        <v>-216247.67179789906</v>
      </c>
      <c r="J280" s="327">
        <f t="shared" si="14"/>
        <v>-0.10196024861087032</v>
      </c>
    </row>
    <row r="281" spans="1:10" ht="16.5" customHeight="1" x14ac:dyDescent="0.25">
      <c r="A281" s="65">
        <f>+A280+1</f>
        <v>173</v>
      </c>
      <c r="B281" s="102"/>
      <c r="C281" s="41" t="s">
        <v>246</v>
      </c>
      <c r="D281" s="41"/>
      <c r="E281" s="62"/>
      <c r="F281" s="209" t="str">
        <f>"(Line "&amp;A279&amp;" + "&amp;A280&amp;")"</f>
        <v>(Line 171 + 172)</v>
      </c>
      <c r="G281" s="303">
        <v>6386290.2859184183</v>
      </c>
      <c r="H281" s="303">
        <v>6161452.0026314585</v>
      </c>
      <c r="I281" s="82">
        <f t="shared" si="13"/>
        <v>224838.28328695986</v>
      </c>
      <c r="J281" s="327">
        <f t="shared" si="14"/>
        <v>3.6491119818986659E-2</v>
      </c>
    </row>
    <row r="282" spans="1:10" ht="15.75" customHeight="1" x14ac:dyDescent="0.25">
      <c r="A282" s="65">
        <f>+A281+1</f>
        <v>174</v>
      </c>
      <c r="B282" s="102"/>
      <c r="C282" s="41" t="str">
        <f>+C273</f>
        <v>Net Transmission Plant</v>
      </c>
      <c r="D282" s="41"/>
      <c r="E282" s="62"/>
      <c r="F282" s="59" t="str">
        <f>"(Line "&amp;A31&amp;" - "&amp;A47&amp;")"</f>
        <v>(Line 15 - 26)</v>
      </c>
      <c r="G282" s="303">
        <v>21336000</v>
      </c>
      <c r="H282" s="303">
        <v>23657846.15384616</v>
      </c>
      <c r="I282" s="82">
        <f t="shared" si="13"/>
        <v>-2321846.1538461596</v>
      </c>
      <c r="J282" s="327">
        <f t="shared" si="14"/>
        <v>-9.8142753095411719E-2</v>
      </c>
    </row>
    <row r="283" spans="1:10" ht="15.75" customHeight="1" x14ac:dyDescent="0.25">
      <c r="A283" s="65">
        <f>+A282+1</f>
        <v>175</v>
      </c>
      <c r="B283" s="102"/>
      <c r="C283" s="41" t="s">
        <v>247</v>
      </c>
      <c r="D283" s="41"/>
      <c r="E283" s="62"/>
      <c r="F283" s="59" t="str">
        <f>"(Line "&amp;A281&amp;" / "&amp;A282&amp;")"</f>
        <v>(Line 173 / 174)</v>
      </c>
      <c r="G283" s="60">
        <v>0.29931994215965591</v>
      </c>
      <c r="H283" s="60">
        <v>0.260440107800336</v>
      </c>
      <c r="I283" s="82">
        <f t="shared" si="13"/>
        <v>3.8879834359319909E-2</v>
      </c>
      <c r="J283" s="327">
        <f t="shared" si="14"/>
        <v>0.14928512619541218</v>
      </c>
    </row>
    <row r="284" spans="1:10" ht="15.75" customHeight="1" x14ac:dyDescent="0.25">
      <c r="A284" s="65">
        <f>+A283+1</f>
        <v>176</v>
      </c>
      <c r="B284" s="102"/>
      <c r="C284" s="41" t="s">
        <v>248</v>
      </c>
      <c r="D284" s="41"/>
      <c r="E284" s="62"/>
      <c r="F284" s="59" t="str">
        <f>"(Line "&amp;A281&amp;" - "&amp;A140&amp;") / "&amp;A282</f>
        <v>(Line 173 - 83) / 174</v>
      </c>
      <c r="G284" s="60">
        <v>0.22966459907754114</v>
      </c>
      <c r="H284" s="60">
        <v>0.1954283569419446</v>
      </c>
      <c r="I284" s="82">
        <f t="shared" si="13"/>
        <v>3.4236242135596534E-2</v>
      </c>
      <c r="J284" s="327">
        <f t="shared" si="14"/>
        <v>0.17518564179387236</v>
      </c>
    </row>
    <row r="285" spans="1:10" ht="15.75" customHeight="1" x14ac:dyDescent="0.2">
      <c r="A285" s="65"/>
      <c r="B285" s="102"/>
      <c r="C285" s="41"/>
      <c r="D285" s="41"/>
      <c r="E285" s="62"/>
      <c r="F285" s="59"/>
      <c r="G285" s="82"/>
      <c r="H285" s="82"/>
      <c r="I285" s="82"/>
      <c r="J285" s="327"/>
    </row>
    <row r="286" spans="1:10" ht="15.75" customHeight="1" x14ac:dyDescent="0.25">
      <c r="A286" s="65">
        <f>+A284+1</f>
        <v>177</v>
      </c>
      <c r="B286" s="102"/>
      <c r="C286" s="9" t="s">
        <v>236</v>
      </c>
      <c r="D286" s="41"/>
      <c r="E286" s="43"/>
      <c r="F286" s="59" t="str">
        <f>"(Line "&amp;A269&amp;")"</f>
        <v>(Line 165)</v>
      </c>
      <c r="G286" s="303">
        <v>6232507.7851348016</v>
      </c>
      <c r="H286" s="303">
        <v>5992654.8412719117</v>
      </c>
      <c r="I286" s="82">
        <f t="shared" si="13"/>
        <v>239852.94386288989</v>
      </c>
      <c r="J286" s="327">
        <f t="shared" si="14"/>
        <v>4.0024488347135019E-2</v>
      </c>
    </row>
    <row r="287" spans="1:10" ht="15.75" x14ac:dyDescent="0.25">
      <c r="A287" s="65">
        <f>+A286+1</f>
        <v>178</v>
      </c>
      <c r="B287" s="102"/>
      <c r="C287" s="41" t="s">
        <v>249</v>
      </c>
      <c r="D287" s="41"/>
      <c r="E287" s="35"/>
      <c r="F287" s="123" t="s">
        <v>34</v>
      </c>
      <c r="G287" s="303">
        <v>-1574682.4515862789</v>
      </c>
      <c r="H287" s="303">
        <v>-5130912.6417478891</v>
      </c>
      <c r="I287" s="82">
        <f t="shared" si="13"/>
        <v>3556230.19016161</v>
      </c>
      <c r="J287" s="327">
        <f>(G287-H287)/H287</f>
        <v>-0.69309895499412555</v>
      </c>
    </row>
    <row r="288" spans="1:10" ht="15.75" customHeight="1" x14ac:dyDescent="0.25">
      <c r="A288" s="65">
        <f>+A287+1</f>
        <v>179</v>
      </c>
      <c r="B288" s="102"/>
      <c r="C288" s="340" t="s">
        <v>250</v>
      </c>
      <c r="D288" s="41"/>
      <c r="E288" s="35"/>
      <c r="F288" s="123" t="s">
        <v>251</v>
      </c>
      <c r="G288" s="303">
        <v>0</v>
      </c>
      <c r="H288" s="303">
        <v>0</v>
      </c>
      <c r="I288" s="82"/>
      <c r="J288" s="327"/>
    </row>
    <row r="289" spans="1:151" ht="15.75" customHeight="1" x14ac:dyDescent="0.25">
      <c r="A289" s="65">
        <f>+A288+1</f>
        <v>180</v>
      </c>
      <c r="B289" s="102"/>
      <c r="C289" s="57" t="s">
        <v>252</v>
      </c>
      <c r="D289" s="341"/>
      <c r="E289" s="103"/>
      <c r="F289" s="209" t="s">
        <v>253</v>
      </c>
      <c r="G289" s="303">
        <v>0</v>
      </c>
      <c r="H289" s="303">
        <v>0</v>
      </c>
      <c r="I289" s="82"/>
      <c r="J289" s="327"/>
      <c r="EU289" s="3">
        <f>SUM(A289:ET289)</f>
        <v>180</v>
      </c>
    </row>
    <row r="290" spans="1:151" ht="15.75" customHeight="1" x14ac:dyDescent="0.25">
      <c r="A290" s="65">
        <f>+A289+1</f>
        <v>181</v>
      </c>
      <c r="B290" s="102"/>
      <c r="C290" s="9" t="s">
        <v>254</v>
      </c>
      <c r="D290" s="41"/>
      <c r="E290" s="43"/>
      <c r="F290" s="59" t="str">
        <f>"(Line "&amp;A286&amp;" - "&amp;A287&amp;" + "&amp;A288&amp;" + "&amp;A289&amp;")"</f>
        <v>(Line 177 - 178 + 179 + 180)</v>
      </c>
      <c r="G290" s="303">
        <v>4657825.3335485226</v>
      </c>
      <c r="H290" s="303">
        <v>861742.19952402264</v>
      </c>
      <c r="I290" s="82">
        <f t="shared" si="13"/>
        <v>3796083.1340244999</v>
      </c>
      <c r="J290" s="327">
        <f t="shared" ref="J290:J295" si="15">(G290-H290)/H290</f>
        <v>4.4051261921735296</v>
      </c>
    </row>
    <row r="291" spans="1:151" ht="15.75" customHeight="1" x14ac:dyDescent="0.2">
      <c r="A291" s="65"/>
      <c r="B291" s="40"/>
      <c r="C291" s="41"/>
      <c r="D291" s="41"/>
      <c r="E291" s="62"/>
      <c r="F291" s="59"/>
      <c r="G291" s="82"/>
      <c r="H291" s="82"/>
      <c r="I291" s="82"/>
      <c r="J291" s="327"/>
    </row>
    <row r="292" spans="1:151" ht="15.75" customHeight="1" x14ac:dyDescent="0.25">
      <c r="A292" s="65"/>
      <c r="B292" s="144" t="s">
        <v>255</v>
      </c>
      <c r="C292" s="41"/>
      <c r="D292" s="41"/>
      <c r="E292" s="62"/>
      <c r="F292" s="59"/>
      <c r="G292" s="82"/>
      <c r="H292" s="82"/>
      <c r="I292" s="82"/>
      <c r="J292" s="327"/>
    </row>
    <row r="293" spans="1:151" ht="15.75" customHeight="1" x14ac:dyDescent="0.25">
      <c r="A293" s="65">
        <f>+A290+1</f>
        <v>182</v>
      </c>
      <c r="B293" s="102"/>
      <c r="C293" s="304" t="s">
        <v>256</v>
      </c>
      <c r="D293" s="343" t="s">
        <v>193</v>
      </c>
      <c r="E293" s="103" t="s">
        <v>257</v>
      </c>
      <c r="F293" s="45" t="s">
        <v>258</v>
      </c>
      <c r="G293" s="148">
        <v>746000</v>
      </c>
      <c r="H293" s="148">
        <v>721250</v>
      </c>
      <c r="I293" s="82">
        <f t="shared" si="13"/>
        <v>24750</v>
      </c>
      <c r="J293" s="327">
        <f t="shared" si="15"/>
        <v>3.4315424610051992E-2</v>
      </c>
    </row>
    <row r="294" spans="1:151" ht="15.75" customHeight="1" x14ac:dyDescent="0.25">
      <c r="A294" s="101">
        <f>+A293+1</f>
        <v>183</v>
      </c>
      <c r="B294" s="57"/>
      <c r="C294" s="304" t="s">
        <v>255</v>
      </c>
      <c r="D294" s="345"/>
      <c r="E294" s="346"/>
      <c r="F294" s="36" t="str">
        <f>"(Line "&amp;A290&amp;" / "&amp;A293&amp;")"</f>
        <v>(Line 181 / 182)</v>
      </c>
      <c r="G294" s="348">
        <v>6.2437336910838104</v>
      </c>
      <c r="H294" s="348">
        <v>1.1947898780229083</v>
      </c>
      <c r="I294" s="372">
        <f t="shared" si="13"/>
        <v>5.0489438130609017</v>
      </c>
      <c r="J294" s="327">
        <f t="shared" si="15"/>
        <v>4.2258006248058422</v>
      </c>
    </row>
    <row r="295" spans="1:151" ht="15.75" customHeight="1" thickBot="1" x14ac:dyDescent="0.3">
      <c r="A295" s="349">
        <f>+A294+1</f>
        <v>184</v>
      </c>
      <c r="B295" s="350"/>
      <c r="C295" s="351" t="s">
        <v>259</v>
      </c>
      <c r="D295" s="352"/>
      <c r="E295" s="353"/>
      <c r="F295" s="354" t="str">
        <f>"(Line "&amp;A293&amp;" / 12)"</f>
        <v>(Line 182 / 12)</v>
      </c>
      <c r="G295" s="356">
        <v>0.52031114092365083</v>
      </c>
      <c r="H295" s="356">
        <v>9.9565823168575693E-2</v>
      </c>
      <c r="I295" s="400">
        <f t="shared" si="13"/>
        <v>0.42074531775507512</v>
      </c>
      <c r="J295" s="428">
        <f t="shared" si="15"/>
        <v>4.2258006248058422</v>
      </c>
    </row>
    <row r="296" spans="1:151" ht="15.75" x14ac:dyDescent="0.25">
      <c r="A296" s="102"/>
      <c r="B296" s="102"/>
      <c r="C296" s="3"/>
      <c r="D296" s="57"/>
      <c r="E296" s="346"/>
      <c r="F296" s="358"/>
      <c r="G296" s="308"/>
      <c r="H296" s="308"/>
      <c r="I296" s="308"/>
      <c r="J296" s="437"/>
    </row>
  </sheetData>
  <mergeCells count="1">
    <mergeCell ref="G3:J3"/>
  </mergeCells>
  <pageMargins left="0.7" right="0.7" top="0.75" bottom="0.75" header="0.3" footer="0.3"/>
  <pageSetup scale="10" fitToHeight="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296"/>
  <sheetViews>
    <sheetView tabSelected="1" zoomScale="75" zoomScaleNormal="75" workbookViewId="0">
      <pane ySplit="6" topLeftCell="A264" activePane="bottomLeft" state="frozen"/>
      <selection pane="bottomLeft" activeCell="N130" sqref="N130"/>
    </sheetView>
  </sheetViews>
  <sheetFormatPr defaultColWidth="11.5703125" defaultRowHeight="15" x14ac:dyDescent="0.2"/>
  <cols>
    <col min="1" max="1" width="6.140625" style="2" customWidth="1"/>
    <col min="2" max="2" width="3.5703125" style="2" customWidth="1"/>
    <col min="3" max="3" width="54.42578125" style="360" customWidth="1"/>
    <col min="4" max="4" width="27.28515625" style="3" hidden="1" customWidth="1"/>
    <col min="5" max="5" width="22.7109375" style="3" hidden="1" customWidth="1"/>
    <col min="6" max="6" width="34.5703125" style="3" customWidth="1"/>
    <col min="7" max="7" width="26.140625" style="3" hidden="1" customWidth="1"/>
    <col min="8" max="9" width="23.28515625" style="3" customWidth="1"/>
    <col min="10" max="10" width="24.7109375" style="4" customWidth="1"/>
    <col min="11" max="11" width="19.5703125" style="5" bestFit="1" customWidth="1"/>
    <col min="12" max="16384" width="11.5703125" style="3"/>
  </cols>
  <sheetData>
    <row r="1" spans="1:11" ht="23.25" customHeight="1" x14ac:dyDescent="0.35">
      <c r="A1" s="1" t="s">
        <v>0</v>
      </c>
      <c r="C1" s="2"/>
    </row>
    <row r="2" spans="1:11" ht="24" customHeight="1" thickBot="1" x14ac:dyDescent="0.25">
      <c r="A2" s="6"/>
      <c r="C2" s="2"/>
      <c r="H2" s="7"/>
      <c r="I2" s="7"/>
      <c r="J2" s="7"/>
    </row>
    <row r="3" spans="1:11" ht="68.25" customHeight="1" thickBot="1" x14ac:dyDescent="0.4">
      <c r="A3" s="401" t="s">
        <v>1</v>
      </c>
      <c r="B3" s="402"/>
      <c r="C3" s="402"/>
      <c r="D3" s="402"/>
      <c r="E3" s="403"/>
      <c r="F3" s="404" t="s">
        <v>2</v>
      </c>
      <c r="G3" s="415" t="s">
        <v>3</v>
      </c>
      <c r="H3" s="432" t="s">
        <v>6</v>
      </c>
      <c r="I3" s="433"/>
      <c r="J3" s="433"/>
      <c r="K3" s="434"/>
    </row>
    <row r="4" spans="1:11" s="8" customFormat="1" ht="42" customHeight="1" thickBot="1" x14ac:dyDescent="0.4">
      <c r="A4" s="405" t="s">
        <v>7</v>
      </c>
      <c r="B4" s="406"/>
      <c r="C4" s="406"/>
      <c r="D4" s="406"/>
      <c r="E4" s="407" t="s">
        <v>8</v>
      </c>
      <c r="F4" s="408"/>
      <c r="G4" s="416">
        <v>2023</v>
      </c>
      <c r="H4" s="395">
        <v>2024</v>
      </c>
      <c r="I4" s="395">
        <v>2023</v>
      </c>
      <c r="J4" s="417" t="s">
        <v>260</v>
      </c>
      <c r="K4" s="439" t="s">
        <v>261</v>
      </c>
    </row>
    <row r="5" spans="1:11" s="14" customFormat="1" ht="0.75" customHeight="1" x14ac:dyDescent="0.35">
      <c r="A5" s="10" t="s">
        <v>9</v>
      </c>
      <c r="B5" s="11"/>
      <c r="C5" s="11"/>
      <c r="D5" s="11"/>
      <c r="E5" s="12"/>
      <c r="F5" s="13"/>
      <c r="G5" s="13"/>
    </row>
    <row r="6" spans="1:11" s="5" customFormat="1" ht="15.75" customHeight="1" thickBot="1" x14ac:dyDescent="0.3">
      <c r="A6" s="16" t="s">
        <v>10</v>
      </c>
      <c r="B6" s="17"/>
      <c r="C6" s="18"/>
      <c r="D6" s="18"/>
      <c r="E6" s="19"/>
      <c r="F6" s="20"/>
      <c r="G6" s="22"/>
      <c r="H6" s="21"/>
      <c r="I6" s="21"/>
      <c r="J6" s="21"/>
    </row>
    <row r="7" spans="1:11" s="5" customFormat="1" ht="15.75" customHeight="1" x14ac:dyDescent="0.25">
      <c r="A7" s="24"/>
      <c r="B7" s="25"/>
      <c r="C7" s="25"/>
      <c r="D7" s="25"/>
      <c r="E7" s="26"/>
      <c r="F7" s="27"/>
      <c r="G7" s="29"/>
      <c r="H7" s="373"/>
      <c r="I7" s="30"/>
      <c r="J7" s="31"/>
      <c r="K7" s="64"/>
    </row>
    <row r="8" spans="1:11" ht="15.75" customHeight="1" x14ac:dyDescent="0.25">
      <c r="A8" s="32"/>
      <c r="B8" s="33" t="s">
        <v>11</v>
      </c>
      <c r="C8" s="34"/>
      <c r="D8" s="34"/>
      <c r="E8" s="35"/>
      <c r="F8" s="36"/>
      <c r="G8" s="37"/>
      <c r="H8" s="38"/>
      <c r="I8" s="342"/>
      <c r="J8" s="38"/>
      <c r="K8" s="64"/>
    </row>
    <row r="9" spans="1:11" ht="15.75" customHeight="1" x14ac:dyDescent="0.2">
      <c r="A9" s="39">
        <v>1</v>
      </c>
      <c r="B9" s="40"/>
      <c r="C9" s="41" t="s">
        <v>12</v>
      </c>
      <c r="D9" s="42"/>
      <c r="E9" s="43"/>
      <c r="F9" s="36" t="s">
        <v>13</v>
      </c>
      <c r="G9" s="44">
        <v>10498560</v>
      </c>
      <c r="H9" s="82">
        <v>0</v>
      </c>
      <c r="I9" s="82">
        <v>0</v>
      </c>
      <c r="J9" s="82">
        <f>H9-I9</f>
        <v>0</v>
      </c>
      <c r="K9" s="327">
        <v>0</v>
      </c>
    </row>
    <row r="10" spans="1:11" x14ac:dyDescent="0.2">
      <c r="A10" s="39">
        <f>+A9+1</f>
        <v>2</v>
      </c>
      <c r="B10" s="40"/>
      <c r="C10" s="41" t="s">
        <v>14</v>
      </c>
      <c r="D10" s="41"/>
      <c r="E10" s="43"/>
      <c r="F10" s="45" t="s">
        <v>15</v>
      </c>
      <c r="G10" s="44">
        <v>139741944</v>
      </c>
      <c r="H10" s="82">
        <v>0</v>
      </c>
      <c r="I10" s="82">
        <v>0</v>
      </c>
      <c r="J10" s="82">
        <f t="shared" ref="J10:J12" si="0">H10-I10</f>
        <v>0</v>
      </c>
      <c r="K10" s="327">
        <v>0</v>
      </c>
    </row>
    <row r="11" spans="1:11" ht="15.75" customHeight="1" x14ac:dyDescent="0.2">
      <c r="A11" s="39">
        <f>+A10+1</f>
        <v>3</v>
      </c>
      <c r="B11" s="40"/>
      <c r="C11" s="41" t="s">
        <v>16</v>
      </c>
      <c r="D11" s="41"/>
      <c r="E11" s="43"/>
      <c r="F11" s="45" t="s">
        <v>17</v>
      </c>
      <c r="G11" s="44">
        <v>42547415</v>
      </c>
      <c r="H11" s="82">
        <v>0.01</v>
      </c>
      <c r="I11" s="82">
        <v>0.1</v>
      </c>
      <c r="J11" s="109">
        <f t="shared" si="0"/>
        <v>-9.0000000000000011E-2</v>
      </c>
      <c r="K11" s="369">
        <f t="shared" ref="K11:K12" si="1">(H11-I11)/I11</f>
        <v>-0.9</v>
      </c>
    </row>
    <row r="12" spans="1:11" ht="15.75" customHeight="1" x14ac:dyDescent="0.2">
      <c r="A12" s="39">
        <f>+A11+1</f>
        <v>4</v>
      </c>
      <c r="B12" s="40"/>
      <c r="C12" s="46" t="s">
        <v>18</v>
      </c>
      <c r="D12" s="47"/>
      <c r="E12" s="48"/>
      <c r="F12" s="49" t="str">
        <f>"(Line "&amp;A10&amp;" - "&amp;A11&amp;")"</f>
        <v>(Line 2 - 3)</v>
      </c>
      <c r="G12" s="50">
        <f>+G10-G11</f>
        <v>97194529</v>
      </c>
      <c r="H12" s="50">
        <v>-0.01</v>
      </c>
      <c r="I12" s="50">
        <v>-0.1</v>
      </c>
      <c r="J12" s="82">
        <f t="shared" si="0"/>
        <v>9.0000000000000011E-2</v>
      </c>
      <c r="K12" s="327">
        <f t="shared" si="1"/>
        <v>-0.9</v>
      </c>
    </row>
    <row r="13" spans="1:11" ht="32.25" customHeight="1" thickBot="1" x14ac:dyDescent="0.3">
      <c r="A13" s="39">
        <v>5</v>
      </c>
      <c r="B13" s="51" t="s">
        <v>19</v>
      </c>
      <c r="C13" s="51"/>
      <c r="D13" s="52"/>
      <c r="E13" s="53"/>
      <c r="F13" s="54" t="str">
        <f>"(Line "&amp;A9&amp;" / "&amp;A12&amp;")"</f>
        <v>(Line 1 / 4)</v>
      </c>
      <c r="G13" s="56">
        <f>+G9/G12</f>
        <v>0.10801595633021691</v>
      </c>
      <c r="H13" s="56">
        <v>0</v>
      </c>
      <c r="I13" s="56">
        <v>0</v>
      </c>
      <c r="J13" s="56"/>
      <c r="K13" s="56"/>
    </row>
    <row r="14" spans="1:11" ht="16.5" customHeight="1" thickTop="1" x14ac:dyDescent="0.25">
      <c r="A14" s="39"/>
      <c r="B14" s="40"/>
      <c r="C14" s="33"/>
      <c r="D14" s="57"/>
      <c r="E14" s="58"/>
      <c r="F14" s="59"/>
      <c r="G14" s="60"/>
      <c r="H14" s="82"/>
      <c r="I14" s="82"/>
      <c r="J14" s="82"/>
      <c r="K14" s="82"/>
    </row>
    <row r="15" spans="1:11" ht="15.75" customHeight="1" x14ac:dyDescent="0.25">
      <c r="A15" s="61"/>
      <c r="B15" s="33" t="s">
        <v>20</v>
      </c>
      <c r="C15" s="34"/>
      <c r="D15" s="4"/>
      <c r="E15" s="62"/>
      <c r="F15" s="63"/>
      <c r="G15" s="64"/>
      <c r="H15" s="82"/>
      <c r="I15" s="82"/>
      <c r="J15" s="82"/>
      <c r="K15" s="82"/>
    </row>
    <row r="16" spans="1:11" ht="15.75" customHeight="1" x14ac:dyDescent="0.25">
      <c r="A16" s="65">
        <f>+A13+1</f>
        <v>6</v>
      </c>
      <c r="B16" s="4"/>
      <c r="C16" s="66" t="s">
        <v>21</v>
      </c>
      <c r="D16" s="67"/>
      <c r="E16" s="68" t="e">
        <f>"(Note "&amp;#REF!&amp;")"</f>
        <v>#REF!</v>
      </c>
      <c r="F16" s="69" t="s">
        <v>22</v>
      </c>
      <c r="G16" s="70">
        <f>'[1]5 - Cost Support'!F28</f>
        <v>11434852507.76923</v>
      </c>
      <c r="H16" s="71">
        <v>12174573796.538462</v>
      </c>
      <c r="I16" s="71">
        <v>11434852507.76923</v>
      </c>
      <c r="J16" s="71">
        <f t="shared" ref="J16:J26" si="2">H16-I16</f>
        <v>739721288.7692318</v>
      </c>
      <c r="K16" s="378">
        <f t="shared" ref="K16:K26" si="3">(H16-I16)/I16</f>
        <v>6.4690059470958614E-2</v>
      </c>
    </row>
    <row r="17" spans="1:11" ht="15.75" customHeight="1" x14ac:dyDescent="0.2">
      <c r="A17" s="65">
        <f>+A16+1</f>
        <v>7</v>
      </c>
      <c r="B17" s="4"/>
      <c r="C17" s="41" t="s">
        <v>23</v>
      </c>
      <c r="D17" s="72"/>
      <c r="E17" s="43"/>
      <c r="F17" s="73" t="str">
        <f>"(Sum Line "&amp;A16&amp;")"</f>
        <v>(Sum Line 6)</v>
      </c>
      <c r="G17" s="74">
        <f>SUM(G16:G16)</f>
        <v>11434852507.76923</v>
      </c>
      <c r="H17" s="74">
        <v>12174573796.538462</v>
      </c>
      <c r="I17" s="74">
        <v>11434852507.76923</v>
      </c>
      <c r="J17" s="82">
        <f t="shared" si="2"/>
        <v>739721288.7692318</v>
      </c>
      <c r="K17" s="327">
        <f t="shared" si="3"/>
        <v>6.4690059470958614E-2</v>
      </c>
    </row>
    <row r="18" spans="1:11" ht="15.75" customHeight="1" x14ac:dyDescent="0.25">
      <c r="A18" s="65">
        <f>+A17+1</f>
        <v>8</v>
      </c>
      <c r="B18" s="4"/>
      <c r="C18" s="41" t="s">
        <v>24</v>
      </c>
      <c r="D18" s="34"/>
      <c r="E18" s="62"/>
      <c r="F18" s="45" t="s">
        <v>22</v>
      </c>
      <c r="G18" s="74">
        <f>+'[1]5 - Cost Support'!F59</f>
        <v>5281556094.3292313</v>
      </c>
      <c r="H18" s="75">
        <v>5527770204.867692</v>
      </c>
      <c r="I18" s="75">
        <v>5237494085.3292313</v>
      </c>
      <c r="J18" s="75">
        <f t="shared" si="2"/>
        <v>290276119.53846073</v>
      </c>
      <c r="K18" s="378">
        <f t="shared" si="3"/>
        <v>5.5422710710367099E-2</v>
      </c>
    </row>
    <row r="19" spans="1:11" ht="15.75" customHeight="1" x14ac:dyDescent="0.2">
      <c r="A19" s="65">
        <f>+A18+1</f>
        <v>9</v>
      </c>
      <c r="B19" s="34"/>
      <c r="C19" s="76" t="s">
        <v>25</v>
      </c>
      <c r="D19" s="77"/>
      <c r="E19" s="78"/>
      <c r="F19" s="79" t="str">
        <f>"(Line "&amp;A18&amp;")"</f>
        <v>(Line 8)</v>
      </c>
      <c r="G19" s="80">
        <f>SUM(G18:G18)</f>
        <v>5281556094.3292313</v>
      </c>
      <c r="H19" s="50">
        <v>5527770204.867692</v>
      </c>
      <c r="I19" s="50">
        <v>5237494085.3292313</v>
      </c>
      <c r="J19" s="80">
        <f t="shared" si="2"/>
        <v>290276119.53846073</v>
      </c>
      <c r="K19" s="396">
        <f t="shared" si="3"/>
        <v>5.5422710710367099E-2</v>
      </c>
    </row>
    <row r="20" spans="1:11" ht="15.75" customHeight="1" x14ac:dyDescent="0.2">
      <c r="A20" s="39">
        <f>+A19+1</f>
        <v>10</v>
      </c>
      <c r="B20" s="4"/>
      <c r="C20" s="81" t="s">
        <v>26</v>
      </c>
      <c r="D20" s="81"/>
      <c r="E20" s="78"/>
      <c r="F20" s="36" t="str">
        <f>"(Line "&amp;A17&amp;" - "&amp;A19&amp;")"</f>
        <v>(Line 7 - 9)</v>
      </c>
      <c r="G20" s="74">
        <f>+G17-G19</f>
        <v>6153296413.4399986</v>
      </c>
      <c r="H20" s="50">
        <v>6646803591.6707697</v>
      </c>
      <c r="I20" s="50">
        <v>6197358422.4399986</v>
      </c>
      <c r="J20" s="82">
        <f t="shared" si="2"/>
        <v>449445169.23077106</v>
      </c>
      <c r="K20" s="327">
        <f t="shared" si="3"/>
        <v>7.2522055139392333E-2</v>
      </c>
    </row>
    <row r="21" spans="1:11" ht="15.75" customHeight="1" x14ac:dyDescent="0.2">
      <c r="A21" s="61"/>
      <c r="B21" s="4"/>
      <c r="C21" s="4"/>
      <c r="D21" s="4"/>
      <c r="E21" s="62"/>
      <c r="F21" s="63"/>
      <c r="G21" s="64"/>
      <c r="H21" s="82"/>
      <c r="I21" s="82"/>
      <c r="J21" s="82"/>
      <c r="K21" s="327"/>
    </row>
    <row r="22" spans="1:11" ht="15.75" customHeight="1" x14ac:dyDescent="0.2">
      <c r="A22" s="65">
        <f>+A20+1</f>
        <v>11</v>
      </c>
      <c r="B22" s="4"/>
      <c r="C22" s="4" t="s">
        <v>27</v>
      </c>
      <c r="D22" s="72"/>
      <c r="E22" s="62"/>
      <c r="F22" s="83" t="str">
        <f>"(Line "&amp;A43&amp;")"</f>
        <v>(Line 25)</v>
      </c>
      <c r="G22" s="85" t="e">
        <f>+G43</f>
        <v>#REF!</v>
      </c>
      <c r="H22" s="85">
        <v>94802615.384615391</v>
      </c>
      <c r="I22" s="85">
        <v>94798000</v>
      </c>
      <c r="J22" s="82">
        <f t="shared" si="2"/>
        <v>4615.3846153914928</v>
      </c>
      <c r="K22" s="327">
        <f t="shared" si="3"/>
        <v>4.8686518865287169E-5</v>
      </c>
    </row>
    <row r="23" spans="1:11" ht="16.5" customHeight="1" thickBot="1" x14ac:dyDescent="0.3">
      <c r="A23" s="39">
        <f>+A22+1</f>
        <v>12</v>
      </c>
      <c r="B23" s="86" t="s">
        <v>28</v>
      </c>
      <c r="C23" s="86"/>
      <c r="D23" s="87"/>
      <c r="E23" s="88"/>
      <c r="F23" s="89" t="str">
        <f>"(Line "&amp;A22&amp;" / "&amp;A17&amp;")"</f>
        <v>(Line 11 / 7)</v>
      </c>
      <c r="G23" s="56" t="e">
        <f>+G22/(G17)</f>
        <v>#REF!</v>
      </c>
      <c r="H23" s="56">
        <v>7.7869350474979388E-3</v>
      </c>
      <c r="I23" s="56">
        <v>8.2902687144929058E-3</v>
      </c>
      <c r="J23" s="56">
        <f t="shared" si="2"/>
        <v>-5.0333366699496698E-4</v>
      </c>
      <c r="K23" s="56">
        <f t="shared" si="3"/>
        <v>-6.0713794007068514E-2</v>
      </c>
    </row>
    <row r="24" spans="1:11" ht="16.5" customHeight="1" thickTop="1" x14ac:dyDescent="0.2">
      <c r="A24" s="61"/>
      <c r="B24" s="34"/>
      <c r="C24" s="34"/>
      <c r="D24" s="34"/>
      <c r="E24" s="62"/>
      <c r="F24" s="45"/>
      <c r="G24" s="64"/>
      <c r="H24" s="82"/>
      <c r="I24" s="82"/>
      <c r="J24" s="82"/>
      <c r="K24" s="327"/>
    </row>
    <row r="25" spans="1:11" ht="15.75" customHeight="1" x14ac:dyDescent="0.2">
      <c r="A25" s="65">
        <f>+A23+1</f>
        <v>13</v>
      </c>
      <c r="B25" s="40"/>
      <c r="C25" s="91" t="s">
        <v>29</v>
      </c>
      <c r="D25" s="57"/>
      <c r="E25" s="58"/>
      <c r="F25" s="83" t="str">
        <f>"(Line "&amp;A61&amp;"-44)"</f>
        <v>(Line 37-44)</v>
      </c>
      <c r="G25" s="85" t="e">
        <f>+G61-G78</f>
        <v>#REF!</v>
      </c>
      <c r="H25" s="85">
        <v>42202846.15384616</v>
      </c>
      <c r="I25" s="85">
        <v>43819538.461538456</v>
      </c>
      <c r="J25" s="82">
        <f t="shared" si="2"/>
        <v>-1616692.3076922968</v>
      </c>
      <c r="K25" s="327">
        <f t="shared" si="3"/>
        <v>-3.6894325327303697E-2</v>
      </c>
    </row>
    <row r="26" spans="1:11" ht="16.5" customHeight="1" thickBot="1" x14ac:dyDescent="0.3">
      <c r="A26" s="39">
        <f>+A25+1</f>
        <v>14</v>
      </c>
      <c r="B26" s="86" t="s">
        <v>30</v>
      </c>
      <c r="C26" s="86"/>
      <c r="D26" s="87"/>
      <c r="E26" s="88"/>
      <c r="F26" s="92" t="str">
        <f>"(Line "&amp;A25&amp;" / "&amp;A20&amp;")"</f>
        <v>(Line 13 / 10)</v>
      </c>
      <c r="G26" s="56" t="e">
        <f>+G25/G20</f>
        <v>#REF!</v>
      </c>
      <c r="H26" s="56">
        <v>6.3493445491200184E-3</v>
      </c>
      <c r="I26" s="56">
        <v>7.0706800340726468E-3</v>
      </c>
      <c r="J26" s="56">
        <f t="shared" si="2"/>
        <v>-7.2133548495262843E-4</v>
      </c>
      <c r="K26" s="56">
        <f t="shared" si="3"/>
        <v>-0.10201783724855469</v>
      </c>
    </row>
    <row r="27" spans="1:11" ht="16.5" customHeight="1" thickTop="1" x14ac:dyDescent="0.25">
      <c r="A27" s="93"/>
      <c r="B27" s="40"/>
      <c r="C27" s="33"/>
      <c r="D27" s="57"/>
      <c r="E27" s="58"/>
      <c r="F27" s="59"/>
      <c r="G27" s="94"/>
      <c r="H27" s="82"/>
      <c r="I27" s="82"/>
      <c r="J27" s="370"/>
      <c r="K27" s="370"/>
    </row>
    <row r="28" spans="1:11" s="5" customFormat="1" ht="15.75" customHeight="1" x14ac:dyDescent="0.25">
      <c r="A28" s="95" t="s">
        <v>31</v>
      </c>
      <c r="B28" s="17"/>
      <c r="C28" s="18"/>
      <c r="D28" s="18"/>
      <c r="E28" s="19"/>
      <c r="F28" s="96"/>
      <c r="G28" s="97"/>
      <c r="H28" s="82"/>
      <c r="I28" s="82"/>
      <c r="J28" s="82"/>
      <c r="K28" s="82"/>
    </row>
    <row r="29" spans="1:11" s="5" customFormat="1" ht="15.75" customHeight="1" x14ac:dyDescent="0.25">
      <c r="A29" s="98"/>
      <c r="B29" s="99"/>
      <c r="C29" s="57"/>
      <c r="D29" s="57"/>
      <c r="E29" s="12"/>
      <c r="F29" s="45"/>
      <c r="G29" s="100"/>
      <c r="H29" s="82"/>
      <c r="I29" s="82"/>
      <c r="J29" s="82"/>
      <c r="K29" s="82"/>
    </row>
    <row r="30" spans="1:11" ht="15.75" customHeight="1" x14ac:dyDescent="0.25">
      <c r="A30" s="101"/>
      <c r="B30" s="33" t="e">
        <f>"Plant In Service  (Note "&amp;#REF!&amp;")"</f>
        <v>#REF!</v>
      </c>
      <c r="C30" s="57"/>
      <c r="D30" s="57"/>
      <c r="E30" s="58"/>
      <c r="F30" s="73"/>
      <c r="G30" s="74"/>
      <c r="H30" s="82"/>
      <c r="I30" s="82"/>
      <c r="J30" s="82"/>
      <c r="K30" s="82"/>
    </row>
    <row r="31" spans="1:11" ht="15.75" customHeight="1" x14ac:dyDescent="0.2">
      <c r="A31" s="65">
        <f>+A26+1</f>
        <v>15</v>
      </c>
      <c r="B31" s="102"/>
      <c r="C31" s="91" t="s">
        <v>32</v>
      </c>
      <c r="D31" s="57"/>
      <c r="E31" s="103" t="e">
        <f>"(Note "&amp;#REF!&amp;")"</f>
        <v>#REF!</v>
      </c>
      <c r="F31" s="73" t="s">
        <v>22</v>
      </c>
      <c r="G31" s="74">
        <f>'[1]5 - Cost Support'!F9</f>
        <v>1776046230.7692306</v>
      </c>
      <c r="H31" s="82">
        <v>94802615.384615391</v>
      </c>
      <c r="I31" s="82">
        <v>94798000</v>
      </c>
      <c r="J31" s="82">
        <f t="shared" ref="J31:K85" si="4">H31-I31</f>
        <v>4615.3846153914928</v>
      </c>
      <c r="K31" s="327">
        <f t="shared" ref="K31:K61" si="5">(H31-I31)/I31</f>
        <v>4.8686518865287169E-5</v>
      </c>
    </row>
    <row r="32" spans="1:11" ht="15.75" customHeight="1" x14ac:dyDescent="0.2">
      <c r="A32" s="65">
        <f>+A31+1</f>
        <v>16</v>
      </c>
      <c r="B32" s="102"/>
      <c r="C32" s="104" t="s">
        <v>33</v>
      </c>
      <c r="D32" s="105"/>
      <c r="E32" s="106"/>
      <c r="F32" s="107" t="s">
        <v>34</v>
      </c>
      <c r="G32" s="70">
        <f>SUM(H32:H32)</f>
        <v>0</v>
      </c>
      <c r="H32" s="109">
        <v>0</v>
      </c>
      <c r="I32" s="109">
        <v>0</v>
      </c>
      <c r="J32" s="109"/>
      <c r="K32" s="369"/>
    </row>
    <row r="33" spans="1:11" ht="15.75" customHeight="1" x14ac:dyDescent="0.25">
      <c r="A33" s="65">
        <f>+A32+1</f>
        <v>17</v>
      </c>
      <c r="B33" s="102"/>
      <c r="C33" s="33" t="s">
        <v>35</v>
      </c>
      <c r="D33" s="57"/>
      <c r="E33" s="103"/>
      <c r="F33" s="73" t="str">
        <f>"(Line "&amp;A31&amp;" + "&amp;A32&amp;")"</f>
        <v>(Line 15 + 16)</v>
      </c>
      <c r="G33" s="75">
        <f>+G31+G32</f>
        <v>1776046230.7692306</v>
      </c>
      <c r="H33" s="75">
        <v>94802615.384615391</v>
      </c>
      <c r="I33" s="75">
        <v>94798000</v>
      </c>
      <c r="J33" s="75">
        <f t="shared" si="4"/>
        <v>4615.3846153914928</v>
      </c>
      <c r="K33" s="377">
        <f t="shared" si="5"/>
        <v>4.8686518865287169E-5</v>
      </c>
    </row>
    <row r="34" spans="1:11" ht="15.75" customHeight="1" x14ac:dyDescent="0.25">
      <c r="A34" s="65"/>
      <c r="B34" s="102"/>
      <c r="C34" s="33"/>
      <c r="D34" s="57"/>
      <c r="E34" s="103"/>
      <c r="F34" s="73"/>
      <c r="G34" s="75"/>
      <c r="H34" s="82"/>
      <c r="I34" s="82"/>
      <c r="J34" s="82"/>
      <c r="K34" s="327"/>
    </row>
    <row r="35" spans="1:11" ht="15.75" customHeight="1" x14ac:dyDescent="0.2">
      <c r="A35" s="65">
        <f>+A33+1</f>
        <v>18</v>
      </c>
      <c r="B35" s="102"/>
      <c r="C35" s="91" t="s">
        <v>36</v>
      </c>
      <c r="D35" s="57"/>
      <c r="E35" s="103"/>
      <c r="F35" s="73" t="s">
        <v>22</v>
      </c>
      <c r="G35" s="74" t="e">
        <f>#REF!</f>
        <v>#REF!</v>
      </c>
      <c r="H35" s="82">
        <v>655035931.95659995</v>
      </c>
      <c r="I35" s="82">
        <v>638697811.50559998</v>
      </c>
      <c r="J35" s="82">
        <f t="shared" si="4"/>
        <v>16338120.450999975</v>
      </c>
      <c r="K35" s="327">
        <f t="shared" si="5"/>
        <v>2.5580360785151565E-2</v>
      </c>
    </row>
    <row r="36" spans="1:11" ht="15.75" customHeight="1" x14ac:dyDescent="0.2">
      <c r="A36" s="65">
        <f>A35+1</f>
        <v>19</v>
      </c>
      <c r="B36" s="102"/>
      <c r="C36" s="104" t="s">
        <v>37</v>
      </c>
      <c r="D36" s="105"/>
      <c r="E36" s="68"/>
      <c r="F36" s="83"/>
      <c r="G36" s="110">
        <v>0.12209229286559851</v>
      </c>
      <c r="H36" s="111"/>
      <c r="I36" s="111"/>
      <c r="J36" s="111"/>
      <c r="K36" s="111"/>
    </row>
    <row r="37" spans="1:11" ht="15.75" customHeight="1" x14ac:dyDescent="0.2">
      <c r="A37" s="65">
        <f>A36+1</f>
        <v>20</v>
      </c>
      <c r="B37" s="102"/>
      <c r="C37" s="91" t="s">
        <v>38</v>
      </c>
      <c r="D37" s="57"/>
      <c r="E37" s="103"/>
      <c r="F37" s="73"/>
      <c r="G37" s="74" t="e">
        <f>G35*G36</f>
        <v>#REF!</v>
      </c>
      <c r="H37" s="74">
        <v>0</v>
      </c>
      <c r="I37" s="74">
        <v>0</v>
      </c>
      <c r="J37" s="82">
        <f t="shared" si="4"/>
        <v>0</v>
      </c>
      <c r="K37" s="327">
        <v>0</v>
      </c>
    </row>
    <row r="38" spans="1:11" ht="15.75" customHeight="1" x14ac:dyDescent="0.2">
      <c r="A38" s="65">
        <f>A37+1</f>
        <v>21</v>
      </c>
      <c r="B38" s="102"/>
      <c r="C38" s="91" t="s">
        <v>39</v>
      </c>
      <c r="D38" s="57"/>
      <c r="E38" s="43"/>
      <c r="F38" s="83" t="s">
        <v>22</v>
      </c>
      <c r="G38" s="70">
        <f>+'[1]5 - Cost Support'!F20+'[1]5 - Cost Support'!F16</f>
        <v>472498704</v>
      </c>
      <c r="H38" s="109">
        <v>509773724</v>
      </c>
      <c r="I38" s="109">
        <v>472498704</v>
      </c>
      <c r="J38" s="109">
        <f t="shared" si="4"/>
        <v>37275020</v>
      </c>
      <c r="K38" s="369">
        <f t="shared" si="5"/>
        <v>7.8889147598593196E-2</v>
      </c>
    </row>
    <row r="39" spans="1:11" ht="15.75" customHeight="1" x14ac:dyDescent="0.2">
      <c r="A39" s="65">
        <f>+A38+1</f>
        <v>22</v>
      </c>
      <c r="B39" s="102"/>
      <c r="C39" s="46" t="s">
        <v>40</v>
      </c>
      <c r="D39" s="112"/>
      <c r="E39" s="113"/>
      <c r="F39" s="73" t="str">
        <f>"(Line"&amp;A38&amp;")"</f>
        <v>(Line21)</v>
      </c>
      <c r="G39" s="74">
        <f>+G38</f>
        <v>472498704</v>
      </c>
      <c r="H39" s="74">
        <v>509773724</v>
      </c>
      <c r="I39" s="74">
        <v>472498704</v>
      </c>
      <c r="J39" s="82">
        <f t="shared" si="4"/>
        <v>37275020</v>
      </c>
      <c r="K39" s="327">
        <f t="shared" si="5"/>
        <v>7.8889147598593196E-2</v>
      </c>
    </row>
    <row r="40" spans="1:11" ht="15.75" customHeight="1" x14ac:dyDescent="0.2">
      <c r="A40" s="65">
        <f>+A39+1</f>
        <v>23</v>
      </c>
      <c r="B40" s="102"/>
      <c r="C40" s="114" t="s">
        <v>41</v>
      </c>
      <c r="D40" s="91"/>
      <c r="E40" s="58"/>
      <c r="F40" s="83" t="str">
        <f>"(Line "&amp;A$13&amp;")"</f>
        <v>(Line 5)</v>
      </c>
      <c r="G40" s="115">
        <f>+G13</f>
        <v>0.10801595633021691</v>
      </c>
      <c r="H40" s="374">
        <v>0</v>
      </c>
      <c r="I40" s="374">
        <v>0</v>
      </c>
      <c r="J40" s="109">
        <f t="shared" si="4"/>
        <v>0</v>
      </c>
      <c r="K40" s="369">
        <v>0</v>
      </c>
    </row>
    <row r="41" spans="1:11" ht="15.75" customHeight="1" x14ac:dyDescent="0.25">
      <c r="A41" s="65">
        <f>+A40+1</f>
        <v>24</v>
      </c>
      <c r="B41" s="41"/>
      <c r="C41" s="117" t="s">
        <v>42</v>
      </c>
      <c r="D41" s="76"/>
      <c r="E41" s="48"/>
      <c r="F41" s="73" t="str">
        <f>"(Line  + ("&amp;A39&amp;" * "&amp;A40&amp;"))"</f>
        <v>(Line  + (22 * 23))</v>
      </c>
      <c r="G41" s="75">
        <f>+G39*G40</f>
        <v>51037399.37734808</v>
      </c>
      <c r="H41" s="130">
        <v>0</v>
      </c>
      <c r="I41" s="130">
        <v>0</v>
      </c>
      <c r="J41" s="75">
        <f t="shared" si="4"/>
        <v>0</v>
      </c>
      <c r="K41" s="377">
        <v>0</v>
      </c>
    </row>
    <row r="42" spans="1:11" ht="15.75" customHeight="1" x14ac:dyDescent="0.25">
      <c r="A42" s="101"/>
      <c r="B42" s="41"/>
      <c r="C42" s="33"/>
      <c r="D42" s="41"/>
      <c r="E42" s="43"/>
      <c r="F42" s="45"/>
      <c r="G42" s="74"/>
      <c r="H42" s="82"/>
      <c r="I42" s="82"/>
      <c r="J42" s="82"/>
      <c r="K42" s="327"/>
    </row>
    <row r="43" spans="1:11" s="8" customFormat="1" ht="16.5" customHeight="1" thickBot="1" x14ac:dyDescent="0.3">
      <c r="A43" s="65">
        <f>+A41+1</f>
        <v>25</v>
      </c>
      <c r="B43" s="118" t="s">
        <v>43</v>
      </c>
      <c r="C43" s="118"/>
      <c r="D43" s="118"/>
      <c r="E43" s="119"/>
      <c r="F43" s="120" t="str">
        <f>"(Line "&amp;A33&amp;" + "&amp;A37&amp;" + "&amp;A41&amp;")"</f>
        <v>(Line 17 + 20 + 24)</v>
      </c>
      <c r="G43" s="121" t="e">
        <f>+G41+G33+G37</f>
        <v>#REF!</v>
      </c>
      <c r="H43" s="121">
        <v>94802615.384615391</v>
      </c>
      <c r="I43" s="121">
        <v>94798000</v>
      </c>
      <c r="J43" s="121">
        <f t="shared" si="4"/>
        <v>4615.3846153914928</v>
      </c>
      <c r="K43" s="397">
        <f t="shared" si="5"/>
        <v>4.8686518865287169E-5</v>
      </c>
    </row>
    <row r="44" spans="1:11" ht="16.5" customHeight="1" thickTop="1" x14ac:dyDescent="0.2">
      <c r="A44" s="101"/>
      <c r="B44" s="41"/>
      <c r="C44" s="41"/>
      <c r="D44" s="41"/>
      <c r="E44" s="43"/>
      <c r="F44" s="45"/>
      <c r="G44" s="64"/>
      <c r="H44" s="82"/>
      <c r="I44" s="82"/>
      <c r="J44" s="82"/>
      <c r="K44" s="327"/>
    </row>
    <row r="45" spans="1:11" ht="15.75" customHeight="1" x14ac:dyDescent="0.25">
      <c r="A45" s="65"/>
      <c r="B45" s="33" t="s">
        <v>44</v>
      </c>
      <c r="C45" s="33"/>
      <c r="D45" s="122"/>
      <c r="E45" s="58"/>
      <c r="F45" s="73"/>
      <c r="G45" s="74"/>
      <c r="H45" s="82"/>
      <c r="I45" s="82"/>
      <c r="J45" s="82"/>
      <c r="K45" s="327"/>
    </row>
    <row r="46" spans="1:11" ht="15.75" customHeight="1" x14ac:dyDescent="0.2">
      <c r="A46" s="101"/>
      <c r="B46" s="57"/>
      <c r="C46" s="57"/>
      <c r="D46" s="57"/>
      <c r="E46" s="43"/>
      <c r="F46" s="73"/>
      <c r="G46" s="74"/>
      <c r="H46" s="82"/>
      <c r="I46" s="82"/>
      <c r="J46" s="82"/>
      <c r="K46" s="327"/>
    </row>
    <row r="47" spans="1:11" ht="15.75" customHeight="1" x14ac:dyDescent="0.2">
      <c r="A47" s="65">
        <f>+A43+1</f>
        <v>26</v>
      </c>
      <c r="B47" s="102"/>
      <c r="C47" s="104" t="s">
        <v>45</v>
      </c>
      <c r="D47" s="105"/>
      <c r="E47" s="68" t="e">
        <f>"(Note "&amp;#REF!&amp;")"</f>
        <v>#REF!</v>
      </c>
      <c r="F47" s="83" t="s">
        <v>22</v>
      </c>
      <c r="G47" s="109">
        <f>'[1]5 - Cost Support'!F38</f>
        <v>672647021.3292309</v>
      </c>
      <c r="H47" s="109">
        <v>52599769.230769232</v>
      </c>
      <c r="I47" s="109">
        <v>50978461.538461544</v>
      </c>
      <c r="J47" s="109">
        <f t="shared" si="4"/>
        <v>1621307.6923076883</v>
      </c>
      <c r="K47" s="369">
        <f t="shared" si="5"/>
        <v>3.1803778367938115E-2</v>
      </c>
    </row>
    <row r="48" spans="1:11" s="5" customFormat="1" ht="15.75" customHeight="1" x14ac:dyDescent="0.25">
      <c r="A48" s="65">
        <f>A47+1</f>
        <v>27</v>
      </c>
      <c r="B48" s="102"/>
      <c r="C48" s="33" t="s">
        <v>46</v>
      </c>
      <c r="D48" s="103"/>
      <c r="E48" s="41"/>
      <c r="F48" s="123" t="str">
        <f>"(Line "&amp;A47&amp;")"</f>
        <v>(Line 26)</v>
      </c>
      <c r="G48" s="74">
        <f>+G47</f>
        <v>672647021.3292309</v>
      </c>
      <c r="H48" s="74">
        <v>52599769.230769232</v>
      </c>
      <c r="I48" s="74">
        <v>50978461.538461544</v>
      </c>
      <c r="J48" s="82">
        <f t="shared" si="4"/>
        <v>1621307.6923076883</v>
      </c>
      <c r="K48" s="327">
        <f t="shared" si="5"/>
        <v>3.1803778367938115E-2</v>
      </c>
    </row>
    <row r="49" spans="1:11" s="5" customFormat="1" ht="15.75" customHeight="1" x14ac:dyDescent="0.2">
      <c r="A49" s="65"/>
      <c r="B49" s="102"/>
      <c r="C49" s="91"/>
      <c r="D49" s="103"/>
      <c r="E49" s="41"/>
      <c r="F49" s="73"/>
      <c r="G49" s="74"/>
      <c r="H49" s="74"/>
      <c r="I49" s="74"/>
      <c r="J49" s="82"/>
      <c r="K49" s="327"/>
    </row>
    <row r="50" spans="1:11" s="5" customFormat="1" ht="15.75" customHeight="1" x14ac:dyDescent="0.2">
      <c r="A50" s="65">
        <f>A48+1</f>
        <v>28</v>
      </c>
      <c r="B50" s="102"/>
      <c r="C50" s="91" t="s">
        <v>47</v>
      </c>
      <c r="D50" s="103"/>
      <c r="E50" s="124"/>
      <c r="F50" s="73" t="s">
        <v>22</v>
      </c>
      <c r="G50" s="82">
        <f>'[1]5 - Cost Support'!$H$62</f>
        <v>266584133.82299998</v>
      </c>
      <c r="H50" s="82"/>
      <c r="I50" s="82"/>
      <c r="J50" s="82">
        <f t="shared" si="4"/>
        <v>0</v>
      </c>
      <c r="K50" s="327"/>
    </row>
    <row r="51" spans="1:11" s="5" customFormat="1" ht="15.75" customHeight="1" x14ac:dyDescent="0.2">
      <c r="A51" s="65">
        <f>A50+1</f>
        <v>29</v>
      </c>
      <c r="B51" s="102"/>
      <c r="C51" s="104" t="s">
        <v>37</v>
      </c>
      <c r="D51" s="68"/>
      <c r="E51" s="125"/>
      <c r="F51" s="83"/>
      <c r="G51" s="126">
        <v>0.10540272554384801</v>
      </c>
      <c r="H51" s="109"/>
      <c r="I51" s="109"/>
      <c r="J51" s="109">
        <f t="shared" si="4"/>
        <v>0</v>
      </c>
      <c r="K51" s="369"/>
    </row>
    <row r="52" spans="1:11" s="5" customFormat="1" ht="15.75" customHeight="1" x14ac:dyDescent="0.2">
      <c r="A52" s="65">
        <f>A51+1</f>
        <v>30</v>
      </c>
      <c r="B52" s="102"/>
      <c r="C52" s="91" t="s">
        <v>38</v>
      </c>
      <c r="D52" s="103"/>
      <c r="E52" s="124"/>
      <c r="F52" s="73"/>
      <c r="G52" s="82">
        <f>G50*G51</f>
        <v>28098694.291690119</v>
      </c>
      <c r="H52" s="82"/>
      <c r="I52" s="82"/>
      <c r="J52" s="82">
        <f t="shared" si="4"/>
        <v>0</v>
      </c>
      <c r="K52" s="327"/>
    </row>
    <row r="53" spans="1:11" ht="15.75" customHeight="1" x14ac:dyDescent="0.2">
      <c r="A53" s="65">
        <f>+A52+1</f>
        <v>31</v>
      </c>
      <c r="B53" s="102"/>
      <c r="C53" s="91" t="s">
        <v>48</v>
      </c>
      <c r="D53" s="57"/>
      <c r="E53" s="43"/>
      <c r="F53" s="73" t="s">
        <v>22</v>
      </c>
      <c r="G53" s="74">
        <f>+'[1]5 - Cost Support'!F51</f>
        <v>199145541</v>
      </c>
      <c r="H53" s="82">
        <v>212736630</v>
      </c>
      <c r="I53" s="82">
        <v>199145541</v>
      </c>
      <c r="J53" s="82">
        <f t="shared" si="4"/>
        <v>13591089</v>
      </c>
      <c r="K53" s="327">
        <f t="shared" si="5"/>
        <v>6.8247016386874568E-2</v>
      </c>
    </row>
    <row r="54" spans="1:11" ht="15.75" customHeight="1" x14ac:dyDescent="0.2">
      <c r="A54" s="65">
        <f>+A53+1</f>
        <v>32</v>
      </c>
      <c r="B54" s="102"/>
      <c r="C54" s="104" t="s">
        <v>49</v>
      </c>
      <c r="D54" s="105"/>
      <c r="E54" s="106"/>
      <c r="F54" s="83" t="s">
        <v>22</v>
      </c>
      <c r="G54" s="70">
        <f>+'[1]5 - Cost Support'!F47</f>
        <v>93010762</v>
      </c>
      <c r="H54" s="109">
        <v>65925780</v>
      </c>
      <c r="I54" s="109">
        <v>48948753</v>
      </c>
      <c r="J54" s="109">
        <f t="shared" si="4"/>
        <v>16977027</v>
      </c>
      <c r="K54" s="369">
        <f t="shared" si="5"/>
        <v>0.34683267620729785</v>
      </c>
    </row>
    <row r="55" spans="1:11" ht="15.75" customHeight="1" x14ac:dyDescent="0.2">
      <c r="A55" s="65">
        <f>+A54+1</f>
        <v>33</v>
      </c>
      <c r="B55" s="40"/>
      <c r="C55" s="127" t="s">
        <v>25</v>
      </c>
      <c r="D55" s="34"/>
      <c r="E55" s="35"/>
      <c r="F55" s="36" t="str">
        <f>"(Sum Lines "&amp;A53&amp;" to "&amp;A54&amp;")"</f>
        <v>(Sum Lines 31 to 32)</v>
      </c>
      <c r="G55" s="74">
        <f>SUM(G53:G54)</f>
        <v>292156303</v>
      </c>
      <c r="H55" s="74">
        <v>278662410</v>
      </c>
      <c r="I55" s="74">
        <v>248094294</v>
      </c>
      <c r="J55" s="82">
        <f t="shared" si="4"/>
        <v>30568116</v>
      </c>
      <c r="K55" s="327">
        <f t="shared" si="5"/>
        <v>0.12321168498941777</v>
      </c>
    </row>
    <row r="56" spans="1:11" ht="15.75" customHeight="1" x14ac:dyDescent="0.2">
      <c r="A56" s="65">
        <f>+A55+1</f>
        <v>34</v>
      </c>
      <c r="B56" s="40"/>
      <c r="C56" s="127" t="str">
        <f>+C40</f>
        <v>Wage &amp; Salary Allocation Factor</v>
      </c>
      <c r="D56" s="34"/>
      <c r="E56" s="35"/>
      <c r="F56" s="128" t="str">
        <f>"(Line "&amp;A$13&amp;")"</f>
        <v>(Line 5)</v>
      </c>
      <c r="G56" s="116">
        <f>+G13</f>
        <v>0.10801595633021691</v>
      </c>
      <c r="H56" s="116">
        <v>0</v>
      </c>
      <c r="I56" s="116">
        <v>0</v>
      </c>
      <c r="J56" s="369">
        <f t="shared" si="4"/>
        <v>0</v>
      </c>
      <c r="K56" s="369">
        <v>0</v>
      </c>
    </row>
    <row r="57" spans="1:11" ht="15.75" customHeight="1" x14ac:dyDescent="0.25">
      <c r="A57" s="65">
        <f>+A56+1</f>
        <v>35</v>
      </c>
      <c r="B57" s="4"/>
      <c r="C57" s="129" t="s">
        <v>50</v>
      </c>
      <c r="D57" s="81"/>
      <c r="E57" s="78"/>
      <c r="F57" s="36" t="str">
        <f>"(Line "&amp;A55&amp;" * "&amp;A56&amp;")"</f>
        <v>(Line 33 * 34)</v>
      </c>
      <c r="G57" s="75">
        <f>+G56*G55</f>
        <v>31557542.466445617</v>
      </c>
      <c r="H57" s="130">
        <v>0</v>
      </c>
      <c r="I57" s="130">
        <v>0</v>
      </c>
      <c r="J57" s="216">
        <f t="shared" si="4"/>
        <v>0</v>
      </c>
      <c r="K57" s="398">
        <v>0</v>
      </c>
    </row>
    <row r="58" spans="1:11" ht="15.75" customHeight="1" x14ac:dyDescent="0.2">
      <c r="A58" s="101"/>
      <c r="B58" s="4"/>
      <c r="C58" s="4"/>
      <c r="D58" s="4"/>
      <c r="E58" s="62"/>
      <c r="F58" s="63"/>
      <c r="G58" s="131"/>
      <c r="H58" s="82"/>
      <c r="I58" s="82"/>
      <c r="J58" s="82"/>
      <c r="K58" s="327"/>
    </row>
    <row r="59" spans="1:11" ht="16.5" customHeight="1" thickBot="1" x14ac:dyDescent="0.3">
      <c r="A59" s="65">
        <f>+A57+1</f>
        <v>36</v>
      </c>
      <c r="B59" s="86" t="s">
        <v>51</v>
      </c>
      <c r="C59" s="86"/>
      <c r="D59" s="86"/>
      <c r="E59" s="132"/>
      <c r="F59" s="133" t="str">
        <f>"(Line "&amp;A48&amp;" + "&amp;A57&amp;")"</f>
        <v>(Line 27 + 35)</v>
      </c>
      <c r="G59" s="121">
        <f>+G57+G48+G52</f>
        <v>732303258.08736658</v>
      </c>
      <c r="H59" s="121">
        <v>52599769.230769232</v>
      </c>
      <c r="I59" s="121">
        <v>50978461.538461544</v>
      </c>
      <c r="J59" s="121">
        <f t="shared" si="4"/>
        <v>1621307.6923076883</v>
      </c>
      <c r="K59" s="397">
        <f t="shared" si="5"/>
        <v>3.1803778367938115E-2</v>
      </c>
    </row>
    <row r="60" spans="1:11" ht="16.5" customHeight="1" thickTop="1" x14ac:dyDescent="0.2">
      <c r="A60" s="101"/>
      <c r="B60" s="4"/>
      <c r="C60" s="4"/>
      <c r="D60" s="4"/>
      <c r="E60" s="62"/>
      <c r="F60" s="63"/>
      <c r="G60" s="85"/>
      <c r="H60" s="64"/>
      <c r="I60" s="64"/>
      <c r="J60" s="82"/>
      <c r="K60" s="327"/>
    </row>
    <row r="61" spans="1:11" ht="16.5" customHeight="1" thickBot="1" x14ac:dyDescent="0.3">
      <c r="A61" s="65">
        <f>+A59+1</f>
        <v>37</v>
      </c>
      <c r="B61" s="86" t="s">
        <v>52</v>
      </c>
      <c r="C61" s="86"/>
      <c r="D61" s="86"/>
      <c r="E61" s="132"/>
      <c r="F61" s="133" t="str">
        <f>"(Line "&amp;A43&amp;" - "&amp;A59&amp;")"</f>
        <v>(Line 25 - 36)</v>
      </c>
      <c r="G61" s="121" t="e">
        <f>+G43-G59</f>
        <v>#REF!</v>
      </c>
      <c r="H61" s="121">
        <v>42202846.15384616</v>
      </c>
      <c r="I61" s="121">
        <v>43819538.461538456</v>
      </c>
      <c r="J61" s="121">
        <f t="shared" si="4"/>
        <v>-1616692.3076922968</v>
      </c>
      <c r="K61" s="397">
        <f t="shared" si="5"/>
        <v>-3.6894325327303697E-2</v>
      </c>
    </row>
    <row r="62" spans="1:11" ht="16.5" customHeight="1" thickTop="1" x14ac:dyDescent="0.2">
      <c r="A62" s="61"/>
      <c r="B62" s="4"/>
      <c r="C62" s="4"/>
      <c r="D62" s="4"/>
      <c r="E62" s="62"/>
      <c r="F62" s="63"/>
      <c r="G62" s="134"/>
      <c r="H62" s="82"/>
      <c r="I62" s="82"/>
      <c r="J62" s="82"/>
      <c r="K62" s="327"/>
    </row>
    <row r="63" spans="1:11" ht="16.5" customHeight="1" x14ac:dyDescent="0.25">
      <c r="A63" s="95" t="s">
        <v>53</v>
      </c>
      <c r="B63" s="18"/>
      <c r="C63" s="18"/>
      <c r="D63" s="18"/>
      <c r="E63" s="19"/>
      <c r="F63" s="96"/>
      <c r="G63" s="23"/>
      <c r="H63" s="82"/>
      <c r="I63" s="82"/>
      <c r="J63" s="82"/>
      <c r="K63" s="82"/>
    </row>
    <row r="64" spans="1:11" ht="15.75" customHeight="1" thickBot="1" x14ac:dyDescent="0.25">
      <c r="A64" s="135"/>
      <c r="B64" s="136"/>
      <c r="C64" s="136"/>
      <c r="D64" s="136"/>
      <c r="E64" s="62"/>
      <c r="F64" s="63"/>
      <c r="G64" s="137"/>
      <c r="H64" s="82"/>
      <c r="I64" s="82"/>
      <c r="J64" s="82"/>
      <c r="K64" s="82"/>
    </row>
    <row r="65" spans="1:11" ht="15.75" customHeight="1" x14ac:dyDescent="0.25">
      <c r="A65" s="138"/>
      <c r="B65" s="139" t="s">
        <v>54</v>
      </c>
      <c r="C65" s="140"/>
      <c r="D65" s="28"/>
      <c r="E65" s="141"/>
      <c r="F65" s="142"/>
      <c r="G65" s="143"/>
      <c r="H65" s="31"/>
      <c r="I65" s="31"/>
      <c r="J65" s="31"/>
      <c r="K65" s="31"/>
    </row>
    <row r="66" spans="1:11" ht="15.75" customHeight="1" x14ac:dyDescent="0.25">
      <c r="A66" s="101">
        <f>+A61+1</f>
        <v>38</v>
      </c>
      <c r="B66" s="144"/>
      <c r="C66" s="34" t="s">
        <v>55</v>
      </c>
      <c r="D66" s="41"/>
      <c r="E66" s="145"/>
      <c r="F66" s="107" t="s">
        <v>56</v>
      </c>
      <c r="G66" s="70">
        <f>'[1]1 - ADIT'!I16</f>
        <v>-203492367.97756237</v>
      </c>
      <c r="H66" s="109"/>
      <c r="I66" s="109"/>
      <c r="J66" s="109">
        <f t="shared" si="4"/>
        <v>0</v>
      </c>
      <c r="K66" s="369">
        <v>0</v>
      </c>
    </row>
    <row r="67" spans="1:11" s="5" customFormat="1" ht="15.75" customHeight="1" x14ac:dyDescent="0.25">
      <c r="A67" s="65">
        <f>+A66+1</f>
        <v>39</v>
      </c>
      <c r="B67" s="41"/>
      <c r="C67" s="146" t="s">
        <v>57</v>
      </c>
      <c r="D67" s="76"/>
      <c r="E67" s="147"/>
      <c r="F67" s="73" t="str">
        <f>"(Line "&amp;A66&amp;")"</f>
        <v>(Line 38)</v>
      </c>
      <c r="G67" s="148">
        <f>+G66</f>
        <v>-203492367.97756237</v>
      </c>
      <c r="H67" s="82">
        <v>0</v>
      </c>
      <c r="I67" s="82">
        <v>0</v>
      </c>
      <c r="J67" s="82">
        <f t="shared" si="4"/>
        <v>0</v>
      </c>
      <c r="K67" s="327">
        <v>0</v>
      </c>
    </row>
    <row r="68" spans="1:11" ht="16.5" customHeight="1" x14ac:dyDescent="0.25">
      <c r="A68" s="101"/>
      <c r="B68" s="41"/>
      <c r="C68" s="144"/>
      <c r="D68" s="41"/>
      <c r="E68" s="43"/>
      <c r="F68" s="45"/>
      <c r="G68" s="149"/>
      <c r="H68" s="82"/>
      <c r="I68" s="82"/>
      <c r="J68" s="82"/>
      <c r="K68" s="327"/>
    </row>
    <row r="69" spans="1:11" ht="16.5" customHeight="1" x14ac:dyDescent="0.25">
      <c r="A69" s="101">
        <f>+A67+1</f>
        <v>40</v>
      </c>
      <c r="B69" s="9" t="s">
        <v>58</v>
      </c>
      <c r="C69" s="144"/>
      <c r="D69" s="43" t="s">
        <v>59</v>
      </c>
      <c r="E69" s="57" t="e">
        <f>"(Notes "&amp;#REF!&amp;" &amp; "&amp;#REF!&amp;")"</f>
        <v>#REF!</v>
      </c>
      <c r="F69" s="45" t="s">
        <v>56</v>
      </c>
      <c r="G69" s="150">
        <f>+'[1]1 - ADIT'!I129</f>
        <v>0</v>
      </c>
      <c r="H69" s="82">
        <v>0</v>
      </c>
      <c r="I69" s="82">
        <v>0</v>
      </c>
      <c r="J69" s="82"/>
      <c r="K69" s="327"/>
    </row>
    <row r="70" spans="1:11" ht="16.5" customHeight="1" x14ac:dyDescent="0.25">
      <c r="A70" s="101"/>
      <c r="B70" s="41"/>
      <c r="C70" s="144"/>
      <c r="D70" s="41"/>
      <c r="E70" s="43"/>
      <c r="F70" s="45"/>
      <c r="G70" s="149"/>
      <c r="H70" s="82"/>
      <c r="I70" s="82"/>
      <c r="J70" s="82"/>
      <c r="K70" s="327"/>
    </row>
    <row r="71" spans="1:11" s="5" customFormat="1" ht="15.75" customHeight="1" x14ac:dyDescent="0.25">
      <c r="A71" s="65"/>
      <c r="B71" s="9" t="s">
        <v>60</v>
      </c>
      <c r="C71" s="144"/>
      <c r="D71" s="41"/>
      <c r="E71" s="43"/>
      <c r="F71" s="73"/>
      <c r="G71" s="148"/>
      <c r="H71" s="82"/>
      <c r="I71" s="82"/>
      <c r="J71" s="82"/>
      <c r="K71" s="327"/>
    </row>
    <row r="72" spans="1:11" ht="15.75" customHeight="1" x14ac:dyDescent="0.25">
      <c r="A72" s="101">
        <f>+A69+1</f>
        <v>41</v>
      </c>
      <c r="B72" s="41"/>
      <c r="C72" s="144" t="s">
        <v>61</v>
      </c>
      <c r="D72" s="41"/>
      <c r="E72" s="43" t="s">
        <v>59</v>
      </c>
      <c r="F72" s="45" t="s">
        <v>22</v>
      </c>
      <c r="G72" s="148">
        <f>-'[1]5 - Cost Support'!L196</f>
        <v>-8842859.5681836195</v>
      </c>
      <c r="H72" s="82">
        <v>0</v>
      </c>
      <c r="I72" s="82">
        <v>0</v>
      </c>
      <c r="J72" s="82">
        <f t="shared" si="4"/>
        <v>0</v>
      </c>
      <c r="K72" s="327">
        <v>0</v>
      </c>
    </row>
    <row r="73" spans="1:11" x14ac:dyDescent="0.2">
      <c r="A73" s="65"/>
      <c r="B73" s="151"/>
      <c r="C73" s="57"/>
      <c r="D73" s="57"/>
      <c r="E73" s="43"/>
      <c r="F73" s="152"/>
      <c r="G73" s="64"/>
      <c r="H73" s="82"/>
      <c r="I73" s="82"/>
      <c r="J73" s="82"/>
      <c r="K73" s="327"/>
    </row>
    <row r="74" spans="1:11" ht="15.75" x14ac:dyDescent="0.25">
      <c r="A74" s="65"/>
      <c r="B74" s="144" t="s">
        <v>62</v>
      </c>
      <c r="C74" s="114"/>
      <c r="D74" s="57"/>
      <c r="E74" s="43"/>
      <c r="F74" s="153"/>
      <c r="G74" s="64"/>
      <c r="H74" s="82"/>
      <c r="I74" s="82"/>
      <c r="J74" s="82"/>
      <c r="K74" s="327"/>
    </row>
    <row r="75" spans="1:11" ht="15.75" customHeight="1" x14ac:dyDescent="0.25">
      <c r="A75" s="65">
        <f>+A72+1</f>
        <v>42</v>
      </c>
      <c r="B75" s="154"/>
      <c r="C75" s="155" t="s">
        <v>63</v>
      </c>
      <c r="D75" s="68"/>
      <c r="E75" s="156" t="s">
        <v>64</v>
      </c>
      <c r="F75" s="157" t="s">
        <v>22</v>
      </c>
      <c r="G75" s="159">
        <f>+'[1]5 - Cost Support'!L206</f>
        <v>4695118.1119733239</v>
      </c>
      <c r="H75" s="109"/>
      <c r="I75" s="109"/>
      <c r="J75" s="109">
        <f t="shared" si="4"/>
        <v>0</v>
      </c>
      <c r="K75" s="369">
        <v>0</v>
      </c>
    </row>
    <row r="76" spans="1:11" ht="15.75" customHeight="1" x14ac:dyDescent="0.25">
      <c r="A76" s="65">
        <f>+A75+1</f>
        <v>43</v>
      </c>
      <c r="B76" s="151"/>
      <c r="C76" s="9" t="s">
        <v>65</v>
      </c>
      <c r="D76" s="57"/>
      <c r="E76" s="102"/>
      <c r="F76" s="73" t="str">
        <f>"(Line "&amp;A75&amp;")"</f>
        <v>(Line 42)</v>
      </c>
      <c r="G76" s="148">
        <f>+G75</f>
        <v>4695118.1119733239</v>
      </c>
      <c r="H76" s="82">
        <v>0</v>
      </c>
      <c r="I76" s="82">
        <v>0</v>
      </c>
      <c r="J76" s="82">
        <f t="shared" si="4"/>
        <v>0</v>
      </c>
      <c r="K76" s="327"/>
    </row>
    <row r="77" spans="1:11" ht="16.5" customHeight="1" x14ac:dyDescent="0.25">
      <c r="A77" s="65"/>
      <c r="B77" s="151"/>
      <c r="C77" s="9"/>
      <c r="D77" s="57"/>
      <c r="E77" s="102"/>
      <c r="F77" s="73"/>
      <c r="G77" s="148"/>
      <c r="H77" s="82"/>
      <c r="I77" s="82"/>
      <c r="J77" s="82"/>
      <c r="K77" s="327"/>
    </row>
    <row r="78" spans="1:11" ht="15.75" x14ac:dyDescent="0.25">
      <c r="A78" s="65">
        <f>+A76+1</f>
        <v>44</v>
      </c>
      <c r="B78" s="33" t="s">
        <v>66</v>
      </c>
      <c r="C78" s="57"/>
      <c r="D78" s="160"/>
      <c r="E78" s="103" t="e">
        <f>"(Note "&amp;#REF!&amp;")"</f>
        <v>#REF!</v>
      </c>
      <c r="F78" s="73" t="str">
        <f>+F72</f>
        <v>Attachment 5</v>
      </c>
      <c r="G78" s="75">
        <f>+'[1]5 - Cost Support'!I79</f>
        <v>4948913</v>
      </c>
      <c r="H78" s="82">
        <v>0</v>
      </c>
      <c r="I78" s="82">
        <v>0</v>
      </c>
      <c r="J78" s="82">
        <f t="shared" si="4"/>
        <v>0</v>
      </c>
      <c r="K78" s="327"/>
    </row>
    <row r="79" spans="1:11" ht="15.75" x14ac:dyDescent="0.25">
      <c r="A79" s="65"/>
      <c r="B79" s="33"/>
      <c r="C79" s="57"/>
      <c r="D79" s="160"/>
      <c r="E79" s="103"/>
      <c r="F79" s="73"/>
      <c r="G79" s="75"/>
      <c r="H79" s="82"/>
      <c r="I79" s="82"/>
      <c r="J79" s="82"/>
      <c r="K79" s="327"/>
    </row>
    <row r="80" spans="1:11" ht="15.75" x14ac:dyDescent="0.25">
      <c r="A80" s="65">
        <f>+A78+1</f>
        <v>45</v>
      </c>
      <c r="B80" s="33" t="s">
        <v>67</v>
      </c>
      <c r="C80" s="57"/>
      <c r="D80" s="160"/>
      <c r="E80" s="103"/>
      <c r="F80" s="73"/>
      <c r="G80" s="162">
        <v>0</v>
      </c>
      <c r="H80" s="82"/>
      <c r="I80" s="82"/>
      <c r="J80" s="82"/>
      <c r="K80" s="327"/>
    </row>
    <row r="81" spans="1:11" ht="15.75" x14ac:dyDescent="0.25">
      <c r="A81" s="65">
        <f>+A80+1</f>
        <v>46</v>
      </c>
      <c r="B81" s="33" t="s">
        <v>68</v>
      </c>
      <c r="C81" s="57"/>
      <c r="D81" s="160"/>
      <c r="E81" s="103"/>
      <c r="F81" s="73"/>
      <c r="G81" s="165">
        <v>0</v>
      </c>
      <c r="H81" s="82"/>
      <c r="I81" s="82"/>
      <c r="J81" s="82"/>
      <c r="K81" s="327"/>
    </row>
    <row r="82" spans="1:11" ht="15.75" customHeight="1" x14ac:dyDescent="0.25">
      <c r="A82" s="65"/>
      <c r="B82" s="151"/>
      <c r="C82" s="9"/>
      <c r="D82" s="57"/>
      <c r="E82" s="102"/>
      <c r="F82" s="73"/>
      <c r="G82" s="148"/>
      <c r="H82" s="82"/>
      <c r="I82" s="82"/>
      <c r="J82" s="82"/>
      <c r="K82" s="327"/>
    </row>
    <row r="83" spans="1:11" ht="15.75" customHeight="1" x14ac:dyDescent="0.25">
      <c r="A83" s="65"/>
      <c r="B83" s="144" t="s">
        <v>69</v>
      </c>
      <c r="C83" s="41"/>
      <c r="D83" s="41"/>
      <c r="E83" s="168"/>
      <c r="F83" s="169"/>
      <c r="G83" s="170"/>
      <c r="H83" s="82"/>
      <c r="I83" s="82"/>
      <c r="J83" s="82"/>
      <c r="K83" s="327"/>
    </row>
    <row r="84" spans="1:11" ht="15.75" customHeight="1" x14ac:dyDescent="0.2">
      <c r="A84" s="101">
        <f>+A81+1</f>
        <v>47</v>
      </c>
      <c r="B84" s="41"/>
      <c r="C84" s="41" t="s">
        <v>70</v>
      </c>
      <c r="D84" s="57"/>
      <c r="E84" s="103" t="e">
        <f>"(Note "&amp;#REF!&amp;")"</f>
        <v>#REF!</v>
      </c>
      <c r="F84" s="171" t="s">
        <v>22</v>
      </c>
      <c r="G84" s="152">
        <f>'[1]5 - Cost Support'!Q212</f>
        <v>-86292.050000000017</v>
      </c>
      <c r="H84" s="82">
        <v>0</v>
      </c>
      <c r="I84" s="82">
        <v>0</v>
      </c>
      <c r="J84" s="82">
        <f t="shared" si="4"/>
        <v>0</v>
      </c>
      <c r="K84" s="327">
        <v>0</v>
      </c>
    </row>
    <row r="85" spans="1:11" s="5" customFormat="1" ht="15.75" customHeight="1" x14ac:dyDescent="0.2">
      <c r="A85" s="65">
        <f>+A84+1</f>
        <v>48</v>
      </c>
      <c r="B85" s="151"/>
      <c r="C85" s="155" t="s">
        <v>41</v>
      </c>
      <c r="D85" s="125"/>
      <c r="E85" s="173"/>
      <c r="F85" s="83" t="str">
        <f>"(Line "&amp;A$13&amp;")"</f>
        <v>(Line 5)</v>
      </c>
      <c r="G85" s="175">
        <f>+G13</f>
        <v>0.10801595633021691</v>
      </c>
      <c r="H85" s="116"/>
      <c r="I85" s="116"/>
      <c r="J85" s="369">
        <f t="shared" si="4"/>
        <v>0</v>
      </c>
      <c r="K85" s="369">
        <f t="shared" si="4"/>
        <v>0</v>
      </c>
    </row>
    <row r="86" spans="1:11" ht="15.75" customHeight="1" x14ac:dyDescent="0.2">
      <c r="A86" s="65">
        <f>+A85+1</f>
        <v>49</v>
      </c>
      <c r="B86" s="151"/>
      <c r="C86" s="114" t="s">
        <v>71</v>
      </c>
      <c r="D86" s="57"/>
      <c r="E86" s="43"/>
      <c r="F86" s="73" t="str">
        <f>"(Line "&amp;A84&amp;" * "&amp;A85&amp;")"</f>
        <v>(Line 47 * 48)</v>
      </c>
      <c r="G86" s="149">
        <f>+G84*G85</f>
        <v>-9320.9183044448964</v>
      </c>
      <c r="H86" s="176">
        <v>0</v>
      </c>
      <c r="I86" s="176">
        <v>0</v>
      </c>
      <c r="J86" s="82">
        <f t="shared" ref="J86:J91" si="6">H86-I86</f>
        <v>0</v>
      </c>
      <c r="K86" s="327"/>
    </row>
    <row r="87" spans="1:11" ht="15.75" customHeight="1" x14ac:dyDescent="0.2">
      <c r="A87" s="65">
        <f>+A86+1</f>
        <v>50</v>
      </c>
      <c r="B87" s="151"/>
      <c r="C87" s="114" t="s">
        <v>72</v>
      </c>
      <c r="D87" s="57"/>
      <c r="E87" s="177"/>
      <c r="F87" s="157" t="s">
        <v>22</v>
      </c>
      <c r="G87" s="159">
        <f>'[1]5 - Cost Support'!Q213</f>
        <v>658783.93854401959</v>
      </c>
      <c r="H87" s="178">
        <v>0</v>
      </c>
      <c r="I87" s="178">
        <v>0</v>
      </c>
      <c r="J87" s="109">
        <f t="shared" si="6"/>
        <v>0</v>
      </c>
      <c r="K87" s="369"/>
    </row>
    <row r="88" spans="1:11" ht="18" customHeight="1" x14ac:dyDescent="0.25">
      <c r="A88" s="65">
        <f>+A87+1</f>
        <v>51</v>
      </c>
      <c r="B88" s="151"/>
      <c r="C88" s="179" t="s">
        <v>73</v>
      </c>
      <c r="D88" s="180"/>
      <c r="E88" s="181"/>
      <c r="F88" s="73" t="str">
        <f>"(Line "&amp;A86&amp;" + "&amp;A87&amp;")"</f>
        <v>(Line 49 + 50)</v>
      </c>
      <c r="G88" s="161">
        <f>SUM(G86:G87)</f>
        <v>649463.02023957472</v>
      </c>
      <c r="H88" s="375">
        <v>0</v>
      </c>
      <c r="I88" s="375">
        <v>0</v>
      </c>
      <c r="J88" s="216">
        <f t="shared" si="6"/>
        <v>0</v>
      </c>
      <c r="K88" s="398"/>
    </row>
    <row r="89" spans="1:11" ht="15.75" customHeight="1" x14ac:dyDescent="0.2">
      <c r="A89" s="65"/>
      <c r="B89" s="151"/>
      <c r="C89" s="114"/>
      <c r="D89" s="34"/>
      <c r="E89" s="40"/>
      <c r="F89" s="183"/>
      <c r="G89" s="137"/>
      <c r="H89" s="163"/>
      <c r="I89" s="163"/>
      <c r="J89" s="82"/>
      <c r="K89" s="327"/>
    </row>
    <row r="90" spans="1:11" ht="15.75" customHeight="1" x14ac:dyDescent="0.25">
      <c r="A90" s="65"/>
      <c r="B90" s="144" t="s">
        <v>74</v>
      </c>
      <c r="C90" s="41"/>
      <c r="D90" s="57"/>
      <c r="E90" s="43"/>
      <c r="F90" s="169"/>
      <c r="G90" s="64"/>
      <c r="H90" s="163"/>
      <c r="I90" s="163"/>
      <c r="J90" s="82"/>
      <c r="K90" s="327"/>
    </row>
    <row r="91" spans="1:11" ht="15.75" customHeight="1" x14ac:dyDescent="0.2">
      <c r="A91" s="65">
        <f>+A88+1</f>
        <v>52</v>
      </c>
      <c r="B91" s="151"/>
      <c r="C91" s="114" t="s">
        <v>75</v>
      </c>
      <c r="D91" s="124"/>
      <c r="E91" s="43"/>
      <c r="F91" s="73" t="str">
        <f>"(Line "&amp;A$135&amp;")"</f>
        <v>(Line 82)</v>
      </c>
      <c r="G91" s="149" t="e">
        <f>+G135</f>
        <v>#REF!</v>
      </c>
      <c r="H91" s="163">
        <v>0</v>
      </c>
      <c r="I91" s="163">
        <v>0</v>
      </c>
      <c r="J91" s="82">
        <f t="shared" si="6"/>
        <v>0</v>
      </c>
      <c r="K91" s="327"/>
    </row>
    <row r="92" spans="1:11" ht="15.75" customHeight="1" x14ac:dyDescent="0.2">
      <c r="A92" s="65">
        <f>+A91+1</f>
        <v>53</v>
      </c>
      <c r="B92" s="151"/>
      <c r="C92" s="124" t="s">
        <v>76</v>
      </c>
      <c r="D92" s="124"/>
      <c r="E92" s="103" t="s">
        <v>77</v>
      </c>
      <c r="F92" s="157"/>
      <c r="G92" s="184">
        <v>0</v>
      </c>
      <c r="H92" s="163">
        <v>0</v>
      </c>
      <c r="I92" s="163">
        <v>0</v>
      </c>
      <c r="J92" s="109"/>
      <c r="K92" s="369"/>
    </row>
    <row r="93" spans="1:11" s="8" customFormat="1" ht="16.5" customHeight="1" x14ac:dyDescent="0.25">
      <c r="A93" s="65">
        <f>+A92+1</f>
        <v>54</v>
      </c>
      <c r="B93" s="186"/>
      <c r="C93" s="146" t="s">
        <v>78</v>
      </c>
      <c r="D93" s="187"/>
      <c r="E93" s="188"/>
      <c r="F93" s="73" t="str">
        <f>"(Line "&amp;A91&amp;" * "&amp;A92&amp;")"</f>
        <v>(Line 52 * 53)</v>
      </c>
      <c r="G93" s="190" t="e">
        <f>+G91*G92</f>
        <v>#REF!</v>
      </c>
      <c r="H93" s="221">
        <v>0</v>
      </c>
      <c r="I93" s="221">
        <v>0</v>
      </c>
      <c r="J93" s="82"/>
      <c r="K93" s="327"/>
    </row>
    <row r="94" spans="1:11" s="8" customFormat="1" ht="15.75" customHeight="1" x14ac:dyDescent="0.25">
      <c r="A94" s="65"/>
      <c r="B94" s="186"/>
      <c r="C94" s="144"/>
      <c r="D94" s="191"/>
      <c r="E94" s="192"/>
      <c r="F94" s="36"/>
      <c r="G94" s="148"/>
      <c r="H94" s="182"/>
      <c r="I94" s="182"/>
      <c r="J94" s="82"/>
      <c r="K94" s="327"/>
    </row>
    <row r="95" spans="1:11" s="8" customFormat="1" ht="15.75" customHeight="1" x14ac:dyDescent="0.25">
      <c r="A95" s="193"/>
      <c r="B95" s="144" t="s">
        <v>79</v>
      </c>
      <c r="C95" s="189"/>
      <c r="D95" s="191"/>
      <c r="E95" s="189"/>
      <c r="F95" s="36"/>
      <c r="G95" s="148"/>
      <c r="H95" s="182"/>
      <c r="I95" s="182"/>
      <c r="J95" s="82"/>
      <c r="K95" s="327"/>
    </row>
    <row r="96" spans="1:11" ht="15.75" customHeight="1" x14ac:dyDescent="0.2">
      <c r="A96" s="65">
        <f>+A93+1</f>
        <v>55</v>
      </c>
      <c r="B96" s="4"/>
      <c r="C96" s="41" t="s">
        <v>80</v>
      </c>
      <c r="D96" s="4"/>
      <c r="E96" s="103" t="e">
        <f>"(Note "&amp;#REF!&amp;")"</f>
        <v>#REF!</v>
      </c>
      <c r="F96" s="45" t="s">
        <v>22</v>
      </c>
      <c r="G96" s="85" t="e">
        <f>#REF!+#REF!+H96</f>
        <v>#REF!</v>
      </c>
      <c r="H96" s="163">
        <v>0</v>
      </c>
      <c r="I96" s="163">
        <v>0</v>
      </c>
      <c r="J96" s="82"/>
      <c r="K96" s="327"/>
    </row>
    <row r="97" spans="1:11" ht="15.75" customHeight="1" x14ac:dyDescent="0.2">
      <c r="A97" s="61">
        <f>+A96+1</f>
        <v>56</v>
      </c>
      <c r="B97" s="4"/>
      <c r="C97" s="66" t="s">
        <v>81</v>
      </c>
      <c r="D97" s="194"/>
      <c r="E97" s="195" t="e">
        <f>+E96</f>
        <v>#REF!</v>
      </c>
      <c r="F97" s="69" t="s">
        <v>22</v>
      </c>
      <c r="G97" s="109" t="e">
        <f>#REF!+#REF!+H97</f>
        <v>#REF!</v>
      </c>
      <c r="H97" s="178">
        <v>0</v>
      </c>
      <c r="I97" s="178">
        <v>0</v>
      </c>
      <c r="J97" s="109"/>
      <c r="K97" s="369"/>
    </row>
    <row r="98" spans="1:11" ht="15.75" customHeight="1" x14ac:dyDescent="0.25">
      <c r="A98" s="61">
        <f>+A97+1</f>
        <v>57</v>
      </c>
      <c r="B98" s="4"/>
      <c r="C98" s="4" t="s">
        <v>82</v>
      </c>
      <c r="D98" s="4"/>
      <c r="E98" s="62"/>
      <c r="F98" s="36" t="str">
        <f>"(Line "&amp;A96&amp;" - "&amp;A97&amp;")"</f>
        <v>(Line 55 - 56)</v>
      </c>
      <c r="G98" s="161" t="e">
        <f>+G96-G97</f>
        <v>#REF!</v>
      </c>
      <c r="H98" s="182">
        <v>0</v>
      </c>
      <c r="I98" s="182">
        <v>0</v>
      </c>
      <c r="J98" s="82"/>
      <c r="K98" s="327"/>
    </row>
    <row r="99" spans="1:11" ht="15.75" customHeight="1" x14ac:dyDescent="0.2">
      <c r="A99" s="61"/>
      <c r="B99" s="4"/>
      <c r="C99" s="4"/>
      <c r="D99" s="4"/>
      <c r="E99" s="62"/>
      <c r="F99" s="63"/>
      <c r="G99" s="137"/>
      <c r="H99" s="163"/>
      <c r="I99" s="163"/>
      <c r="J99" s="82"/>
      <c r="K99" s="327"/>
    </row>
    <row r="100" spans="1:11" ht="16.5" customHeight="1" thickBot="1" x14ac:dyDescent="0.3">
      <c r="A100" s="61">
        <f>+A98+1</f>
        <v>58</v>
      </c>
      <c r="B100" s="86" t="s">
        <v>83</v>
      </c>
      <c r="C100" s="86"/>
      <c r="D100" s="86"/>
      <c r="E100" s="132"/>
      <c r="F100" s="196" t="str">
        <f>"(Line "&amp;A67&amp;" + "&amp;A69&amp;" + "&amp;A72&amp;" + "&amp;A76&amp;" + "&amp;A78&amp;" + "&amp;A80&amp;" + "&amp;A81&amp;" + "&amp;A88&amp;" + "&amp;A93&amp;" - "&amp;A98&amp;" )"</f>
        <v>(Line 39 + 40 + 41 + 43 + 44 + 45 + 46 + 51 + 54 - 57 )</v>
      </c>
      <c r="G100" s="121" t="e">
        <f>SUM(G67,G72,G76,G78,G88,G93+G80+G81)-G98+G69</f>
        <v>#REF!</v>
      </c>
      <c r="H100" s="197">
        <v>0</v>
      </c>
      <c r="I100" s="197">
        <v>0</v>
      </c>
      <c r="J100" s="121">
        <f t="shared" ref="J100:K121" si="7">H100-I100</f>
        <v>0</v>
      </c>
      <c r="K100" s="397">
        <v>0</v>
      </c>
    </row>
    <row r="101" spans="1:11" ht="16.5" customHeight="1" thickTop="1" x14ac:dyDescent="0.2">
      <c r="A101" s="61"/>
      <c r="B101" s="4"/>
      <c r="C101" s="4"/>
      <c r="D101" s="4"/>
      <c r="E101" s="62"/>
      <c r="F101" s="63"/>
      <c r="G101" s="137"/>
      <c r="H101" s="82"/>
      <c r="I101" s="82"/>
      <c r="J101" s="82"/>
      <c r="K101" s="327"/>
    </row>
    <row r="102" spans="1:11" ht="16.5" customHeight="1" thickBot="1" x14ac:dyDescent="0.3">
      <c r="A102" s="39">
        <f>+A100+1</f>
        <v>59</v>
      </c>
      <c r="B102" s="86" t="s">
        <v>84</v>
      </c>
      <c r="C102" s="86"/>
      <c r="D102" s="86"/>
      <c r="E102" s="132"/>
      <c r="F102" s="92" t="str">
        <f>"(Line "&amp;A61&amp;" + "&amp;A100&amp;")"</f>
        <v>(Line 37 + 58)</v>
      </c>
      <c r="G102" s="199" t="e">
        <f>+G61+G100</f>
        <v>#REF!</v>
      </c>
      <c r="H102" s="121">
        <v>42202846.15384616</v>
      </c>
      <c r="I102" s="121">
        <v>43819538.461538456</v>
      </c>
      <c r="J102" s="121">
        <f t="shared" si="7"/>
        <v>-1616692.3076922968</v>
      </c>
      <c r="K102" s="397">
        <f t="shared" ref="K102:K158" si="8">(H102-I102)/I102</f>
        <v>-3.6894325327303697E-2</v>
      </c>
    </row>
    <row r="103" spans="1:11" ht="16.5" customHeight="1" thickTop="1" thickBot="1" x14ac:dyDescent="0.25">
      <c r="A103" s="200"/>
      <c r="B103" s="201"/>
      <c r="C103" s="201"/>
      <c r="D103" s="201"/>
      <c r="E103" s="202"/>
      <c r="F103" s="203"/>
      <c r="G103" s="204"/>
      <c r="H103" s="419">
        <v>3.4347314991617625E-2</v>
      </c>
      <c r="I103" s="419">
        <v>4.1847528345984639E-2</v>
      </c>
      <c r="J103" s="327">
        <f>H103-I103</f>
        <v>-7.5002133543670135E-3</v>
      </c>
      <c r="K103" s="327">
        <f t="shared" si="8"/>
        <v>-0.179227152733064</v>
      </c>
    </row>
    <row r="104" spans="1:11" s="5" customFormat="1" ht="15.75" customHeight="1" thickBot="1" x14ac:dyDescent="0.3">
      <c r="A104" s="95" t="s">
        <v>85</v>
      </c>
      <c r="B104" s="17"/>
      <c r="C104" s="205"/>
      <c r="D104" s="18"/>
      <c r="E104" s="19"/>
      <c r="F104" s="96"/>
      <c r="G104" s="97"/>
      <c r="H104" s="82"/>
      <c r="I104" s="82"/>
      <c r="J104" s="82"/>
      <c r="K104" s="82"/>
    </row>
    <row r="105" spans="1:11" s="5" customFormat="1" ht="15.75" customHeight="1" x14ac:dyDescent="0.25">
      <c r="A105" s="206"/>
      <c r="B105" s="25"/>
      <c r="C105" s="25"/>
      <c r="D105" s="25"/>
      <c r="E105" s="26"/>
      <c r="F105" s="27"/>
      <c r="G105" s="29"/>
      <c r="H105" s="31"/>
      <c r="I105" s="31"/>
      <c r="J105" s="82"/>
      <c r="K105" s="327"/>
    </row>
    <row r="106" spans="1:11" ht="15.75" customHeight="1" x14ac:dyDescent="0.25">
      <c r="A106" s="39"/>
      <c r="B106" s="33" t="s">
        <v>86</v>
      </c>
      <c r="C106" s="34"/>
      <c r="D106" s="207"/>
      <c r="E106" s="35"/>
      <c r="F106" s="63"/>
      <c r="G106" s="37"/>
      <c r="H106" s="82"/>
      <c r="I106" s="82"/>
      <c r="J106" s="82"/>
      <c r="K106" s="327"/>
    </row>
    <row r="107" spans="1:11" ht="15.75" customHeight="1" x14ac:dyDescent="0.2">
      <c r="A107" s="65">
        <f>+A102+1</f>
        <v>60</v>
      </c>
      <c r="B107" s="40"/>
      <c r="C107" s="91" t="s">
        <v>86</v>
      </c>
      <c r="D107" s="57"/>
      <c r="E107" s="43"/>
      <c r="F107" s="73" t="s">
        <v>87</v>
      </c>
      <c r="G107" s="44">
        <v>188803479</v>
      </c>
      <c r="H107" s="82">
        <v>1510648</v>
      </c>
      <c r="I107" s="82">
        <v>1139346</v>
      </c>
      <c r="J107" s="82">
        <f t="shared" si="7"/>
        <v>371302</v>
      </c>
      <c r="K107" s="327">
        <f t="shared" si="8"/>
        <v>0.32589046698720142</v>
      </c>
    </row>
    <row r="108" spans="1:11" ht="15.75" customHeight="1" x14ac:dyDescent="0.2">
      <c r="A108" s="65">
        <f>+A107+1</f>
        <v>61</v>
      </c>
      <c r="B108" s="102"/>
      <c r="C108" s="91" t="s">
        <v>88</v>
      </c>
      <c r="D108" s="57"/>
      <c r="E108" s="43"/>
      <c r="F108" s="73" t="s">
        <v>89</v>
      </c>
      <c r="G108" s="44" t="e">
        <f>+#REF!+#REF!+H108</f>
        <v>#REF!</v>
      </c>
      <c r="H108" s="82"/>
      <c r="I108" s="82"/>
      <c r="J108" s="82"/>
      <c r="K108" s="327"/>
    </row>
    <row r="109" spans="1:11" ht="15.75" customHeight="1" x14ac:dyDescent="0.2">
      <c r="A109" s="65">
        <f>+A108+1</f>
        <v>62</v>
      </c>
      <c r="B109" s="102"/>
      <c r="C109" s="91" t="s">
        <v>90</v>
      </c>
      <c r="D109" s="57"/>
      <c r="E109" s="43"/>
      <c r="F109" s="73" t="s">
        <v>91</v>
      </c>
      <c r="G109" s="74" t="e">
        <f>#REF!+#REF!+H109</f>
        <v>#REF!</v>
      </c>
      <c r="H109" s="82"/>
      <c r="I109" s="82"/>
      <c r="J109" s="82"/>
      <c r="K109" s="327"/>
    </row>
    <row r="110" spans="1:11" ht="15.75" customHeight="1" x14ac:dyDescent="0.25">
      <c r="A110" s="65">
        <f>+A109+1</f>
        <v>63</v>
      </c>
      <c r="B110" s="40"/>
      <c r="C110" s="91" t="s">
        <v>92</v>
      </c>
      <c r="D110" s="34"/>
      <c r="E110" s="208" t="s">
        <v>93</v>
      </c>
      <c r="F110" s="83" t="s">
        <v>22</v>
      </c>
      <c r="G110" s="70">
        <f>'[1]5 - Cost Support'!K245</f>
        <v>160955697</v>
      </c>
      <c r="H110" s="216">
        <v>0</v>
      </c>
      <c r="I110" s="216">
        <v>0</v>
      </c>
      <c r="J110" s="109">
        <f t="shared" si="7"/>
        <v>0</v>
      </c>
      <c r="K110" s="109">
        <f t="shared" si="7"/>
        <v>0</v>
      </c>
    </row>
    <row r="111" spans="1:11" ht="15.75" customHeight="1" x14ac:dyDescent="0.25">
      <c r="A111" s="65">
        <f>+A110+1</f>
        <v>64</v>
      </c>
      <c r="B111" s="57"/>
      <c r="C111" s="117" t="s">
        <v>86</v>
      </c>
      <c r="D111" s="112"/>
      <c r="E111" s="113"/>
      <c r="F111" s="73" t="str">
        <f>"(Line "&amp;A107&amp;" - "&amp;A110&amp;")"</f>
        <v>(Line 60 - 63)</v>
      </c>
      <c r="G111" s="75" t="e">
        <f>+G107+G108-G110-G109</f>
        <v>#REF!</v>
      </c>
      <c r="H111" s="130">
        <v>1510648</v>
      </c>
      <c r="I111" s="130">
        <v>1139346</v>
      </c>
      <c r="J111" s="82">
        <f t="shared" si="7"/>
        <v>371302</v>
      </c>
      <c r="K111" s="327">
        <f t="shared" si="8"/>
        <v>0.32589046698720142</v>
      </c>
    </row>
    <row r="112" spans="1:11" ht="15.75" customHeight="1" x14ac:dyDescent="0.25">
      <c r="A112" s="65"/>
      <c r="B112" s="102"/>
      <c r="C112" s="33"/>
      <c r="D112" s="57"/>
      <c r="E112" s="58"/>
      <c r="F112" s="209"/>
      <c r="G112" s="60"/>
      <c r="H112" s="82"/>
      <c r="I112" s="82"/>
      <c r="J112" s="82"/>
      <c r="K112" s="327"/>
    </row>
    <row r="113" spans="1:11" ht="15.75" customHeight="1" x14ac:dyDescent="0.25">
      <c r="A113" s="65"/>
      <c r="B113" s="33" t="s">
        <v>94</v>
      </c>
      <c r="C113" s="57"/>
      <c r="D113" s="57"/>
      <c r="E113" s="58"/>
      <c r="F113" s="209"/>
      <c r="G113" s="60"/>
      <c r="H113" s="82"/>
      <c r="I113" s="82"/>
      <c r="J113" s="82"/>
      <c r="K113" s="327"/>
    </row>
    <row r="114" spans="1:11" ht="15.75" customHeight="1" x14ac:dyDescent="0.2">
      <c r="A114" s="65">
        <f>+A111+1</f>
        <v>65</v>
      </c>
      <c r="B114" s="102"/>
      <c r="C114" s="91" t="s">
        <v>95</v>
      </c>
      <c r="D114" s="57"/>
      <c r="E114" s="43"/>
      <c r="F114" s="73" t="s">
        <v>96</v>
      </c>
      <c r="G114" s="44">
        <v>172081054</v>
      </c>
      <c r="H114" s="82"/>
      <c r="I114" s="82"/>
      <c r="J114" s="82">
        <f t="shared" si="7"/>
        <v>0</v>
      </c>
      <c r="K114" s="327"/>
    </row>
    <row r="115" spans="1:11" ht="15.75" customHeight="1" x14ac:dyDescent="0.2">
      <c r="A115" s="65">
        <f>+A114+1</f>
        <v>66</v>
      </c>
      <c r="B115" s="102"/>
      <c r="C115" s="91" t="s">
        <v>97</v>
      </c>
      <c r="D115" s="57"/>
      <c r="E115" s="43"/>
      <c r="F115" s="73" t="s">
        <v>22</v>
      </c>
      <c r="G115" s="74">
        <f>'[1]5 - Cost Support'!I86</f>
        <v>136768.95000000001</v>
      </c>
      <c r="H115" s="82"/>
      <c r="I115" s="82"/>
      <c r="J115" s="82">
        <f t="shared" si="7"/>
        <v>0</v>
      </c>
      <c r="K115" s="327"/>
    </row>
    <row r="116" spans="1:11" ht="15.75" customHeight="1" x14ac:dyDescent="0.2">
      <c r="A116" s="65">
        <f>+A115+1</f>
        <v>67</v>
      </c>
      <c r="B116" s="102"/>
      <c r="C116" s="91" t="s">
        <v>98</v>
      </c>
      <c r="D116" s="122"/>
      <c r="E116" s="43"/>
      <c r="F116" s="210" t="s">
        <v>99</v>
      </c>
      <c r="G116" s="44">
        <v>6318020</v>
      </c>
      <c r="H116" s="82"/>
      <c r="I116" s="82"/>
      <c r="J116" s="82">
        <f t="shared" si="7"/>
        <v>0</v>
      </c>
      <c r="K116" s="327"/>
    </row>
    <row r="117" spans="1:11" ht="15.75" customHeight="1" x14ac:dyDescent="0.2">
      <c r="A117" s="65">
        <f t="shared" ref="A117:A122" si="9">+A116+1</f>
        <v>68</v>
      </c>
      <c r="B117" s="102"/>
      <c r="C117" s="91" t="s">
        <v>100</v>
      </c>
      <c r="D117" s="122"/>
      <c r="E117" s="103" t="e">
        <f>"(Note "&amp;#REF!&amp;")"</f>
        <v>#REF!</v>
      </c>
      <c r="F117" s="210" t="s">
        <v>101</v>
      </c>
      <c r="G117" s="44">
        <v>16043545</v>
      </c>
      <c r="H117" s="82"/>
      <c r="I117" s="82"/>
      <c r="J117" s="82">
        <f t="shared" si="7"/>
        <v>0</v>
      </c>
      <c r="K117" s="327"/>
    </row>
    <row r="118" spans="1:11" ht="15.75" customHeight="1" x14ac:dyDescent="0.2">
      <c r="A118" s="65">
        <f t="shared" si="9"/>
        <v>69</v>
      </c>
      <c r="B118" s="102"/>
      <c r="C118" s="91" t="s">
        <v>102</v>
      </c>
      <c r="D118" s="122"/>
      <c r="E118" s="43"/>
      <c r="F118" s="210" t="s">
        <v>103</v>
      </c>
      <c r="G118" s="44">
        <v>56129</v>
      </c>
      <c r="H118" s="82"/>
      <c r="I118" s="82"/>
      <c r="J118" s="82">
        <f t="shared" si="7"/>
        <v>0</v>
      </c>
      <c r="K118" s="327"/>
    </row>
    <row r="119" spans="1:11" x14ac:dyDescent="0.2">
      <c r="A119" s="65">
        <f t="shared" si="9"/>
        <v>70</v>
      </c>
      <c r="B119" s="102"/>
      <c r="C119" s="91" t="s">
        <v>104</v>
      </c>
      <c r="D119" s="4"/>
      <c r="E119" s="103" t="e">
        <f>"(Note "&amp;#REF!&amp;")"</f>
        <v>#REF!</v>
      </c>
      <c r="F119" s="83" t="s">
        <v>105</v>
      </c>
      <c r="G119" s="211"/>
      <c r="H119" s="82"/>
      <c r="I119" s="82"/>
      <c r="J119" s="109"/>
      <c r="K119" s="369"/>
    </row>
    <row r="120" spans="1:11" ht="15.75" customHeight="1" x14ac:dyDescent="0.25">
      <c r="A120" s="65">
        <f t="shared" si="9"/>
        <v>71</v>
      </c>
      <c r="B120" s="102"/>
      <c r="C120" s="117" t="s">
        <v>106</v>
      </c>
      <c r="D120" s="112"/>
      <c r="E120" s="48"/>
      <c r="F120" s="36" t="str">
        <f>"(Line "&amp;A114&amp;") -  Sum ("&amp;A115&amp;" to "&amp;A119&amp;")"</f>
        <v>(Line 65) -  Sum (66 to 70)</v>
      </c>
      <c r="G120" s="74">
        <f>G114-G116-G117-G118-G119-G115</f>
        <v>149526591.05000001</v>
      </c>
      <c r="H120" s="50">
        <v>150097191</v>
      </c>
      <c r="I120" s="50">
        <v>149526591.05000001</v>
      </c>
      <c r="J120" s="82">
        <f t="shared" si="7"/>
        <v>570599.94999998808</v>
      </c>
      <c r="K120" s="327">
        <f t="shared" si="8"/>
        <v>3.8160433270974918E-3</v>
      </c>
    </row>
    <row r="121" spans="1:11" ht="15.75" customHeight="1" x14ac:dyDescent="0.2">
      <c r="A121" s="65">
        <f t="shared" si="9"/>
        <v>72</v>
      </c>
      <c r="B121" s="102"/>
      <c r="C121" s="91" t="s">
        <v>41</v>
      </c>
      <c r="D121" s="125"/>
      <c r="E121" s="106"/>
      <c r="F121" s="212" t="str">
        <f>"(Line "&amp;A$13&amp;")"</f>
        <v>(Line 5)</v>
      </c>
      <c r="G121" s="175">
        <f>+G13</f>
        <v>0.10801595633021691</v>
      </c>
      <c r="H121" s="116"/>
      <c r="I121" s="116"/>
      <c r="J121" s="369">
        <f t="shared" si="7"/>
        <v>0</v>
      </c>
      <c r="K121" s="369">
        <f t="shared" si="7"/>
        <v>0</v>
      </c>
    </row>
    <row r="122" spans="1:11" ht="15.75" customHeight="1" x14ac:dyDescent="0.25">
      <c r="A122" s="65">
        <f t="shared" si="9"/>
        <v>73</v>
      </c>
      <c r="B122" s="102"/>
      <c r="C122" s="117" t="s">
        <v>107</v>
      </c>
      <c r="D122" s="57"/>
      <c r="E122" s="160"/>
      <c r="F122" s="73" t="str">
        <f>"(Line "&amp;A120&amp;" * "&amp;A121&amp;")"</f>
        <v>(Line 71 * 72)</v>
      </c>
      <c r="G122" s="75">
        <f>+G121*G120</f>
        <v>16151257.729063002</v>
      </c>
      <c r="H122" s="213">
        <v>0</v>
      </c>
      <c r="I122" s="213">
        <v>0</v>
      </c>
      <c r="J122" s="216">
        <f t="shared" ref="J122:K135" si="10">H122-I122</f>
        <v>0</v>
      </c>
      <c r="K122" s="216">
        <f t="shared" si="10"/>
        <v>0</v>
      </c>
    </row>
    <row r="123" spans="1:11" ht="15.75" customHeight="1" x14ac:dyDescent="0.25">
      <c r="A123" s="65"/>
      <c r="B123" s="102"/>
      <c r="C123" s="33"/>
      <c r="D123" s="57"/>
      <c r="E123" s="58"/>
      <c r="F123" s="209"/>
      <c r="G123" s="74"/>
      <c r="H123" s="82"/>
      <c r="I123" s="82"/>
      <c r="J123" s="82"/>
      <c r="K123" s="327"/>
    </row>
    <row r="124" spans="1:11" ht="15.75" customHeight="1" x14ac:dyDescent="0.25">
      <c r="A124" s="65"/>
      <c r="B124" s="33" t="s">
        <v>108</v>
      </c>
      <c r="C124" s="41"/>
      <c r="D124" s="57"/>
      <c r="E124" s="58"/>
      <c r="F124" s="209"/>
      <c r="G124" s="74"/>
      <c r="H124" s="82"/>
      <c r="I124" s="82"/>
      <c r="J124" s="82"/>
      <c r="K124" s="327"/>
    </row>
    <row r="125" spans="1:11" ht="15.75" customHeight="1" x14ac:dyDescent="0.2">
      <c r="A125" s="65">
        <f>+A122+1</f>
        <v>74</v>
      </c>
      <c r="B125" s="151"/>
      <c r="C125" s="114" t="s">
        <v>109</v>
      </c>
      <c r="D125" s="103"/>
      <c r="E125" s="103" t="e">
        <f>"(Note "&amp;#REF!&amp;")"</f>
        <v>#REF!</v>
      </c>
      <c r="F125" s="171" t="s">
        <v>22</v>
      </c>
      <c r="G125" s="149">
        <f>+'[1]5 - Cost Support'!H109</f>
        <v>4530767.4283016464</v>
      </c>
      <c r="H125" s="82">
        <v>677993.74950653594</v>
      </c>
      <c r="I125" s="82">
        <v>539886.17445838079</v>
      </c>
      <c r="J125" s="82">
        <f t="shared" si="10"/>
        <v>138107.57504815515</v>
      </c>
      <c r="K125" s="327">
        <f t="shared" si="8"/>
        <v>0.2558086900200881</v>
      </c>
    </row>
    <row r="126" spans="1:11" ht="15.75" customHeight="1" x14ac:dyDescent="0.2">
      <c r="A126" s="65">
        <f>+A125+1</f>
        <v>75</v>
      </c>
      <c r="B126" s="151"/>
      <c r="C126" s="155" t="s">
        <v>110</v>
      </c>
      <c r="D126" s="214"/>
      <c r="E126" s="68" t="e">
        <f>"(Note "&amp;#REF!&amp;")"</f>
        <v>#REF!</v>
      </c>
      <c r="F126" s="157" t="s">
        <v>22</v>
      </c>
      <c r="G126" s="159">
        <f>+'[1]5 - Cost Support'!K114</f>
        <v>0</v>
      </c>
      <c r="H126" s="109">
        <v>0</v>
      </c>
      <c r="I126" s="109">
        <v>0</v>
      </c>
      <c r="J126" s="109"/>
      <c r="K126" s="369"/>
    </row>
    <row r="127" spans="1:11" ht="15.75" customHeight="1" x14ac:dyDescent="0.25">
      <c r="A127" s="65">
        <f>+A126+1</f>
        <v>76</v>
      </c>
      <c r="B127" s="151"/>
      <c r="C127" s="114" t="s">
        <v>111</v>
      </c>
      <c r="D127" s="215"/>
      <c r="E127" s="168"/>
      <c r="F127" s="73" t="str">
        <f>"(Line "&amp;A125&amp;" + "&amp;A126&amp;")"</f>
        <v>(Line 74 + 75)</v>
      </c>
      <c r="G127" s="148">
        <f>+G126+G125</f>
        <v>4530767.4283016464</v>
      </c>
      <c r="H127" s="82">
        <v>677993.74950653594</v>
      </c>
      <c r="I127" s="82">
        <v>539886.17445838079</v>
      </c>
      <c r="J127" s="216">
        <f t="shared" si="10"/>
        <v>138107.57504815515</v>
      </c>
      <c r="K127" s="398">
        <f t="shared" si="8"/>
        <v>0.2558086900200881</v>
      </c>
    </row>
    <row r="128" spans="1:11" ht="15.75" customHeight="1" x14ac:dyDescent="0.2">
      <c r="A128" s="65"/>
      <c r="B128" s="151"/>
      <c r="C128" s="114"/>
      <c r="D128" s="215"/>
      <c r="E128" s="168"/>
      <c r="F128" s="171"/>
      <c r="G128" s="217"/>
      <c r="H128" s="82"/>
      <c r="I128" s="82"/>
      <c r="J128" s="82"/>
      <c r="K128" s="327"/>
    </row>
    <row r="129" spans="1:11" ht="15.75" customHeight="1" x14ac:dyDescent="0.2">
      <c r="A129" s="65">
        <f>+A127+1</f>
        <v>77</v>
      </c>
      <c r="B129" s="151"/>
      <c r="C129" s="114" t="s">
        <v>112</v>
      </c>
      <c r="D129" s="215"/>
      <c r="E129" s="103" t="e">
        <f>"(Note "&amp;#REF!&amp;")"</f>
        <v>#REF!</v>
      </c>
      <c r="F129" s="123" t="str">
        <f>"(Line "&amp;A116&amp;")"</f>
        <v>(Line 67)</v>
      </c>
      <c r="G129" s="149">
        <f>+G116</f>
        <v>6318020</v>
      </c>
      <c r="H129" s="82"/>
      <c r="I129" s="82"/>
      <c r="J129" s="82">
        <f t="shared" si="10"/>
        <v>0</v>
      </c>
      <c r="K129" s="327"/>
    </row>
    <row r="130" spans="1:11" ht="16.5" customHeight="1" x14ac:dyDescent="0.2">
      <c r="A130" s="65">
        <f>+A129+1</f>
        <v>78</v>
      </c>
      <c r="B130" s="151"/>
      <c r="C130" s="114" t="s">
        <v>110</v>
      </c>
      <c r="D130" s="215"/>
      <c r="E130" s="103"/>
      <c r="F130" s="157" t="s">
        <v>22</v>
      </c>
      <c r="G130" s="159">
        <f>'[1]5 - Cost Support'!I114</f>
        <v>0</v>
      </c>
      <c r="H130" s="109"/>
      <c r="I130" s="109"/>
      <c r="J130" s="109"/>
      <c r="K130" s="369"/>
    </row>
    <row r="131" spans="1:11" ht="15.75" customHeight="1" x14ac:dyDescent="0.2">
      <c r="A131" s="65">
        <f>+A130+1</f>
        <v>79</v>
      </c>
      <c r="B131" s="151"/>
      <c r="C131" s="218" t="s">
        <v>18</v>
      </c>
      <c r="D131" s="219"/>
      <c r="E131" s="113"/>
      <c r="F131" s="73" t="str">
        <f>"(Line "&amp;A129&amp;" + "&amp;A130&amp;")"</f>
        <v>(Line 77 + 78)</v>
      </c>
      <c r="G131" s="149">
        <f>+G129+G130</f>
        <v>6318020</v>
      </c>
      <c r="H131" s="82"/>
      <c r="I131" s="82"/>
      <c r="J131" s="82">
        <f t="shared" si="10"/>
        <v>0</v>
      </c>
      <c r="K131" s="327"/>
    </row>
    <row r="132" spans="1:11" ht="15.75" customHeight="1" x14ac:dyDescent="0.2">
      <c r="A132" s="65">
        <f>+A131+1</f>
        <v>80</v>
      </c>
      <c r="B132" s="102"/>
      <c r="C132" s="218" t="s">
        <v>113</v>
      </c>
      <c r="D132" s="124"/>
      <c r="E132" s="173"/>
      <c r="F132" s="83" t="str">
        <f>"(Line "&amp;A$26&amp;")"</f>
        <v>(Line 14)</v>
      </c>
      <c r="G132" s="175" t="e">
        <f>+G26</f>
        <v>#REF!</v>
      </c>
      <c r="H132" s="109"/>
      <c r="I132" s="109"/>
      <c r="J132" s="369"/>
      <c r="K132" s="369"/>
    </row>
    <row r="133" spans="1:11" ht="15.75" customHeight="1" x14ac:dyDescent="0.25">
      <c r="A133" s="65">
        <f>+A132+1</f>
        <v>81</v>
      </c>
      <c r="B133" s="102"/>
      <c r="C133" s="117" t="s">
        <v>114</v>
      </c>
      <c r="D133" s="112"/>
      <c r="E133" s="103" t="s">
        <v>115</v>
      </c>
      <c r="F133" s="73" t="str">
        <f>"(Line "&amp;A131&amp;" * "&amp;A132&amp;")"</f>
        <v>(Line 79 * 80)</v>
      </c>
      <c r="G133" s="148" t="e">
        <f>+G132*G131</f>
        <v>#REF!</v>
      </c>
      <c r="H133" s="221">
        <v>0</v>
      </c>
      <c r="I133" s="221">
        <v>0</v>
      </c>
      <c r="J133" s="216">
        <f t="shared" si="10"/>
        <v>0</v>
      </c>
      <c r="K133" s="398"/>
    </row>
    <row r="134" spans="1:11" ht="15.75" customHeight="1" x14ac:dyDescent="0.25">
      <c r="A134" s="39"/>
      <c r="B134" s="40"/>
      <c r="C134" s="33"/>
      <c r="D134" s="57"/>
      <c r="E134" s="35"/>
      <c r="F134" s="59"/>
      <c r="G134" s="37"/>
      <c r="H134" s="82"/>
      <c r="I134" s="82"/>
      <c r="J134" s="82"/>
      <c r="K134" s="327"/>
    </row>
    <row r="135" spans="1:11" ht="16.5" customHeight="1" thickBot="1" x14ac:dyDescent="0.3">
      <c r="A135" s="39">
        <f>+A133+1</f>
        <v>82</v>
      </c>
      <c r="B135" s="40"/>
      <c r="C135" s="51" t="s">
        <v>116</v>
      </c>
      <c r="D135" s="52"/>
      <c r="E135" s="222"/>
      <c r="F135" s="198" t="str">
        <f>"(Line "&amp;A111&amp;" + "&amp;A122&amp;" + "&amp;A127&amp;" + "&amp;A133&amp;")"</f>
        <v>(Line 64 + 73 + 76 + 81)</v>
      </c>
      <c r="G135" s="223" t="e">
        <f>+G111+G122+G127+G133</f>
        <v>#REF!</v>
      </c>
      <c r="H135" s="223">
        <v>2188641.7495065359</v>
      </c>
      <c r="I135" s="223">
        <v>1679232.1744583808</v>
      </c>
      <c r="J135" s="412">
        <f t="shared" si="10"/>
        <v>509409.57504815515</v>
      </c>
      <c r="K135" s="397">
        <f t="shared" si="8"/>
        <v>0.30335863187736978</v>
      </c>
    </row>
    <row r="136" spans="1:11" ht="16.5" customHeight="1" thickTop="1" thickBot="1" x14ac:dyDescent="0.3">
      <c r="A136" s="224"/>
      <c r="B136" s="225"/>
      <c r="C136" s="226"/>
      <c r="D136" s="227"/>
      <c r="E136" s="228"/>
      <c r="F136" s="229"/>
      <c r="G136" s="230"/>
      <c r="H136" s="420"/>
      <c r="I136" s="420"/>
      <c r="J136" s="82"/>
      <c r="K136" s="327"/>
    </row>
    <row r="137" spans="1:11" ht="15.75" customHeight="1" x14ac:dyDescent="0.25">
      <c r="A137" s="95" t="s">
        <v>117</v>
      </c>
      <c r="B137" s="17"/>
      <c r="C137" s="205"/>
      <c r="D137" s="18"/>
      <c r="E137" s="19"/>
      <c r="F137" s="96"/>
      <c r="G137" s="97"/>
      <c r="H137" s="82"/>
      <c r="I137" s="82"/>
      <c r="J137" s="82"/>
      <c r="K137" s="82"/>
    </row>
    <row r="138" spans="1:11" ht="15.75" customHeight="1" x14ac:dyDescent="0.25">
      <c r="A138" s="231"/>
      <c r="B138" s="40"/>
      <c r="C138" s="33"/>
      <c r="D138" s="57"/>
      <c r="E138" s="35"/>
      <c r="F138" s="59"/>
      <c r="G138" s="94"/>
      <c r="H138" s="82"/>
      <c r="I138" s="82"/>
      <c r="J138" s="82"/>
      <c r="K138" s="327"/>
    </row>
    <row r="139" spans="1:11" ht="15.75" customHeight="1" x14ac:dyDescent="0.25">
      <c r="A139" s="61"/>
      <c r="B139" s="232" t="e">
        <f>"Depreciation Expense  (Note "&amp;#REF!&amp;")"</f>
        <v>#REF!</v>
      </c>
      <c r="C139" s="41"/>
      <c r="D139" s="57"/>
      <c r="E139" s="43"/>
      <c r="F139" s="233"/>
      <c r="G139" s="234"/>
      <c r="H139" s="82"/>
      <c r="I139" s="82"/>
      <c r="J139" s="82"/>
      <c r="K139" s="327"/>
    </row>
    <row r="140" spans="1:11" ht="15.75" customHeight="1" x14ac:dyDescent="0.2">
      <c r="A140" s="39">
        <f>+A135+1</f>
        <v>83</v>
      </c>
      <c r="B140" s="235"/>
      <c r="C140" s="155" t="s">
        <v>118</v>
      </c>
      <c r="D140" s="105"/>
      <c r="E140" s="173"/>
      <c r="F140" s="157" t="s">
        <v>119</v>
      </c>
      <c r="G140" s="236">
        <v>37335524</v>
      </c>
      <c r="H140" s="109">
        <v>1621521.6199999999</v>
      </c>
      <c r="I140" s="109">
        <v>1621729</v>
      </c>
      <c r="J140" s="109">
        <f t="shared" ref="J140:K152" si="11">H140-I140</f>
        <v>-207.38000000012107</v>
      </c>
      <c r="K140" s="369">
        <f t="shared" si="8"/>
        <v>-1.2787586581982629E-4</v>
      </c>
    </row>
    <row r="141" spans="1:11" ht="15.75" customHeight="1" x14ac:dyDescent="0.25">
      <c r="A141" s="39">
        <f>A140+1</f>
        <v>84</v>
      </c>
      <c r="B141" s="235"/>
      <c r="C141" s="33" t="s">
        <v>120</v>
      </c>
      <c r="D141" s="102"/>
      <c r="E141" s="41"/>
      <c r="F141" s="123" t="str">
        <f>"(Line "&amp;A140&amp;")"</f>
        <v>(Line 83)</v>
      </c>
      <c r="G141" s="148">
        <f>+G140</f>
        <v>37335524</v>
      </c>
      <c r="H141" s="148">
        <v>1621521.6199999999</v>
      </c>
      <c r="I141" s="148">
        <v>1621729</v>
      </c>
      <c r="J141" s="82">
        <f t="shared" si="11"/>
        <v>-207.38000000012107</v>
      </c>
      <c r="K141" s="327">
        <f t="shared" si="8"/>
        <v>-1.2787586581982629E-4</v>
      </c>
    </row>
    <row r="142" spans="1:11" ht="15.75" customHeight="1" x14ac:dyDescent="0.25">
      <c r="A142" s="39"/>
      <c r="B142" s="235"/>
      <c r="C142" s="114"/>
      <c r="D142" s="57"/>
      <c r="E142" s="102"/>
      <c r="F142" s="171"/>
      <c r="G142" s="148"/>
      <c r="H142" s="82"/>
      <c r="I142" s="82"/>
      <c r="J142" s="82"/>
      <c r="K142" s="327"/>
    </row>
    <row r="143" spans="1:11" ht="15.75" customHeight="1" x14ac:dyDescent="0.2">
      <c r="A143" s="39">
        <f>+A140+1</f>
        <v>84</v>
      </c>
      <c r="B143" s="235"/>
      <c r="C143" s="114" t="s">
        <v>121</v>
      </c>
      <c r="D143" s="57"/>
      <c r="E143" s="102"/>
      <c r="F143" s="171" t="s">
        <v>122</v>
      </c>
      <c r="G143" s="237">
        <v>62215323</v>
      </c>
      <c r="H143" s="82"/>
      <c r="I143" s="82"/>
      <c r="J143" s="82"/>
      <c r="K143" s="327"/>
    </row>
    <row r="144" spans="1:11" ht="15.75" customHeight="1" x14ac:dyDescent="0.2">
      <c r="A144" s="39">
        <f t="shared" ref="A144:A150" si="12">+A143+1</f>
        <v>85</v>
      </c>
      <c r="B144" s="235"/>
      <c r="C144" s="104" t="s">
        <v>37</v>
      </c>
      <c r="D144" s="105"/>
      <c r="E144" s="173"/>
      <c r="F144" s="157"/>
      <c r="G144" s="238">
        <v>0.16615823137050936</v>
      </c>
      <c r="H144" s="109"/>
      <c r="I144" s="109"/>
      <c r="J144" s="109"/>
      <c r="K144" s="369"/>
    </row>
    <row r="145" spans="1:11" ht="15.75" customHeight="1" x14ac:dyDescent="0.2">
      <c r="A145" s="39">
        <f t="shared" si="12"/>
        <v>86</v>
      </c>
      <c r="B145" s="4"/>
      <c r="C145" s="91" t="s">
        <v>123</v>
      </c>
      <c r="D145" s="41"/>
      <c r="E145" s="41"/>
      <c r="F145" s="45"/>
      <c r="G145" s="82">
        <f>G143*G144</f>
        <v>10337588.033824973</v>
      </c>
      <c r="H145" s="82"/>
      <c r="I145" s="82"/>
      <c r="J145" s="82"/>
      <c r="K145" s="327"/>
    </row>
    <row r="146" spans="1:11" s="5" customFormat="1" ht="15.75" customHeight="1" x14ac:dyDescent="0.2">
      <c r="A146" s="39">
        <f t="shared" si="12"/>
        <v>87</v>
      </c>
      <c r="B146" s="235"/>
      <c r="C146" s="114" t="s">
        <v>124</v>
      </c>
      <c r="D146" s="57"/>
      <c r="E146" s="102"/>
      <c r="F146" s="171" t="s">
        <v>125</v>
      </c>
      <c r="G146" s="237">
        <v>15618734</v>
      </c>
      <c r="H146" s="82"/>
      <c r="I146" s="82"/>
      <c r="J146" s="82"/>
      <c r="K146" s="327"/>
    </row>
    <row r="147" spans="1:11" ht="15.75" customHeight="1" x14ac:dyDescent="0.2">
      <c r="A147" s="39">
        <f t="shared" si="12"/>
        <v>88</v>
      </c>
      <c r="B147" s="235"/>
      <c r="C147" s="155" t="s">
        <v>126</v>
      </c>
      <c r="D147" s="105"/>
      <c r="E147" s="68" t="e">
        <f>"(Note "&amp;#REF!&amp;")"</f>
        <v>#REF!</v>
      </c>
      <c r="F147" s="157" t="s">
        <v>127</v>
      </c>
      <c r="G147" s="236">
        <v>0</v>
      </c>
      <c r="H147" s="109"/>
      <c r="I147" s="109"/>
      <c r="J147" s="109"/>
      <c r="K147" s="369"/>
    </row>
    <row r="148" spans="1:11" ht="15.75" customHeight="1" x14ac:dyDescent="0.2">
      <c r="A148" s="39">
        <f t="shared" si="12"/>
        <v>89</v>
      </c>
      <c r="B148" s="235"/>
      <c r="C148" s="114" t="s">
        <v>18</v>
      </c>
      <c r="D148" s="57"/>
      <c r="E148" s="102"/>
      <c r="F148" s="73" t="str">
        <f>"(Line "&amp;A146&amp;" + "&amp;A147&amp;")"</f>
        <v>(Line 87 + 88)</v>
      </c>
      <c r="G148" s="149">
        <f>SUM(G146:G147)</f>
        <v>15618734</v>
      </c>
      <c r="H148" s="82">
        <v>33751514</v>
      </c>
      <c r="I148" s="82">
        <v>27159924</v>
      </c>
      <c r="J148" s="82">
        <f>H148-I148</f>
        <v>6591590</v>
      </c>
      <c r="K148" s="327">
        <f t="shared" si="8"/>
        <v>0.24269545084146774</v>
      </c>
    </row>
    <row r="149" spans="1:11" ht="15.75" customHeight="1" x14ac:dyDescent="0.2">
      <c r="A149" s="39">
        <f t="shared" si="12"/>
        <v>90</v>
      </c>
      <c r="B149" s="235"/>
      <c r="C149" s="114" t="s">
        <v>41</v>
      </c>
      <c r="D149" s="125"/>
      <c r="E149" s="106"/>
      <c r="F149" s="212" t="str">
        <f>"(Line "&amp;A$13&amp;")"</f>
        <v>(Line 5)</v>
      </c>
      <c r="G149" s="175">
        <f>+G13</f>
        <v>0.10801595633021691</v>
      </c>
      <c r="H149" s="116"/>
      <c r="I149" s="116"/>
      <c r="J149" s="369">
        <f t="shared" si="11"/>
        <v>0</v>
      </c>
      <c r="K149" s="369">
        <f t="shared" si="11"/>
        <v>0</v>
      </c>
    </row>
    <row r="150" spans="1:11" ht="15.75" customHeight="1" x14ac:dyDescent="0.25">
      <c r="A150" s="65">
        <f t="shared" si="12"/>
        <v>91</v>
      </c>
      <c r="B150" s="235"/>
      <c r="C150" s="232" t="s">
        <v>128</v>
      </c>
      <c r="D150" s="57"/>
      <c r="E150" s="160"/>
      <c r="F150" s="36" t="str">
        <f>"(Line "&amp;A148&amp;" * "&amp;A149&amp;"+"&amp;A145&amp;")"</f>
        <v>(Line 89 * 90+86)</v>
      </c>
      <c r="G150" s="148">
        <f>(+G148*G149)+G145</f>
        <v>12024660.523502247</v>
      </c>
      <c r="H150" s="190">
        <v>0</v>
      </c>
      <c r="I150" s="190">
        <v>0</v>
      </c>
      <c r="J150" s="216">
        <f t="shared" si="11"/>
        <v>0</v>
      </c>
      <c r="K150" s="216">
        <f t="shared" si="11"/>
        <v>0</v>
      </c>
    </row>
    <row r="151" spans="1:11" ht="15.75" customHeight="1" x14ac:dyDescent="0.2">
      <c r="A151" s="239"/>
      <c r="B151" s="240"/>
      <c r="C151" s="114"/>
      <c r="D151" s="57"/>
      <c r="E151" s="102"/>
      <c r="F151" s="171"/>
      <c r="G151" s="170"/>
      <c r="H151" s="82"/>
      <c r="I151" s="82"/>
      <c r="J151" s="82"/>
      <c r="K151" s="327"/>
    </row>
    <row r="152" spans="1:11" s="8" customFormat="1" ht="16.5" customHeight="1" thickBot="1" x14ac:dyDescent="0.3">
      <c r="A152" s="65">
        <f>+A150+1</f>
        <v>92</v>
      </c>
      <c r="B152" s="241" t="s">
        <v>129</v>
      </c>
      <c r="C152" s="241"/>
      <c r="D152" s="242"/>
      <c r="E152" s="243"/>
      <c r="F152" s="198" t="str">
        <f>"(Line "&amp;A141&amp;" + "&amp;A150&amp;")"</f>
        <v>(Line 84 + 91)</v>
      </c>
      <c r="G152" s="198">
        <f>+G150+G141</f>
        <v>49360184.523502246</v>
      </c>
      <c r="H152" s="198">
        <v>1621521.6199999999</v>
      </c>
      <c r="I152" s="198">
        <v>1621729</v>
      </c>
      <c r="J152" s="412">
        <f t="shared" si="11"/>
        <v>-207.38000000012107</v>
      </c>
      <c r="K152" s="397">
        <f t="shared" si="8"/>
        <v>-1.2787586581982629E-4</v>
      </c>
    </row>
    <row r="153" spans="1:11" ht="16.5" customHeight="1" thickTop="1" x14ac:dyDescent="0.2">
      <c r="A153" s="244"/>
      <c r="B153" s="34"/>
      <c r="C153" s="34"/>
      <c r="D153" s="34"/>
      <c r="E153" s="62"/>
      <c r="F153" s="63"/>
      <c r="G153" s="137"/>
      <c r="H153" s="82"/>
      <c r="I153" s="82"/>
      <c r="J153" s="82"/>
      <c r="K153" s="327"/>
    </row>
    <row r="154" spans="1:11" ht="16.5" customHeight="1" x14ac:dyDescent="0.25">
      <c r="A154" s="95" t="s">
        <v>130</v>
      </c>
      <c r="B154" s="17"/>
      <c r="C154" s="205"/>
      <c r="D154" s="18"/>
      <c r="E154" s="245"/>
      <c r="F154" s="96"/>
      <c r="G154" s="97"/>
      <c r="H154" s="82"/>
      <c r="I154" s="82"/>
      <c r="J154" s="82"/>
      <c r="K154" s="82"/>
    </row>
    <row r="155" spans="1:11" ht="15.75" customHeight="1" x14ac:dyDescent="0.25">
      <c r="A155" s="135"/>
      <c r="B155" s="40"/>
      <c r="C155" s="33"/>
      <c r="D155" s="57"/>
      <c r="E155" s="35"/>
      <c r="F155" s="59"/>
      <c r="G155" s="94"/>
      <c r="H155" s="82"/>
      <c r="I155" s="82"/>
      <c r="J155" s="82"/>
      <c r="K155" s="327"/>
    </row>
    <row r="156" spans="1:11" ht="15.75" customHeight="1" x14ac:dyDescent="0.25">
      <c r="A156" s="65">
        <f>+A152+1</f>
        <v>93</v>
      </c>
      <c r="B156" s="144" t="s">
        <v>131</v>
      </c>
      <c r="C156" s="154"/>
      <c r="D156" s="57"/>
      <c r="E156" s="208"/>
      <c r="F156" s="45" t="s">
        <v>132</v>
      </c>
      <c r="G156" s="82">
        <f>SUM(H156:H156)</f>
        <v>547687.83000000007</v>
      </c>
      <c r="H156" s="82">
        <v>547687.83000000007</v>
      </c>
      <c r="I156" s="82">
        <v>542448</v>
      </c>
      <c r="J156" s="82">
        <f t="shared" ref="J156:J158" si="13">H156-I156</f>
        <v>5239.8300000000745</v>
      </c>
      <c r="K156" s="327">
        <f t="shared" si="8"/>
        <v>9.6595987080790677E-3</v>
      </c>
    </row>
    <row r="157" spans="1:11" ht="15.75" customHeight="1" x14ac:dyDescent="0.2">
      <c r="A157" s="101"/>
      <c r="B157" s="57"/>
      <c r="C157" s="34"/>
      <c r="D157" s="34"/>
      <c r="E157" s="40"/>
      <c r="F157" s="45"/>
      <c r="G157" s="64"/>
      <c r="H157" s="82"/>
      <c r="I157" s="82"/>
      <c r="J157" s="82"/>
      <c r="K157" s="327"/>
    </row>
    <row r="158" spans="1:11" ht="16.5" customHeight="1" thickBot="1" x14ac:dyDescent="0.3">
      <c r="A158" s="65">
        <f>+A156+1</f>
        <v>94</v>
      </c>
      <c r="B158" s="51" t="s">
        <v>133</v>
      </c>
      <c r="C158" s="51"/>
      <c r="D158" s="242"/>
      <c r="E158" s="132"/>
      <c r="F158" s="133" t="str">
        <f>"(Line "&amp;A156&amp;")"</f>
        <v>(Line 93)</v>
      </c>
      <c r="G158" s="121">
        <f>+G156</f>
        <v>547687.83000000007</v>
      </c>
      <c r="H158" s="121">
        <v>547687.83000000007</v>
      </c>
      <c r="I158" s="121">
        <v>542448</v>
      </c>
      <c r="J158" s="121">
        <f t="shared" si="13"/>
        <v>5239.8300000000745</v>
      </c>
      <c r="K158" s="397">
        <f t="shared" si="8"/>
        <v>9.6595987080790677E-3</v>
      </c>
    </row>
    <row r="159" spans="1:11" ht="17.25" customHeight="1" thickTop="1" x14ac:dyDescent="0.2">
      <c r="A159" s="61"/>
      <c r="B159" s="34"/>
      <c r="C159" s="34"/>
      <c r="D159" s="34"/>
      <c r="E159" s="62"/>
      <c r="F159" s="63"/>
      <c r="G159" s="137"/>
      <c r="H159" s="82"/>
      <c r="I159" s="82"/>
      <c r="J159" s="82"/>
      <c r="K159" s="327"/>
    </row>
    <row r="160" spans="1:11" ht="15.75" customHeight="1" x14ac:dyDescent="0.25">
      <c r="A160" s="95" t="s">
        <v>134</v>
      </c>
      <c r="B160" s="17"/>
      <c r="C160" s="205"/>
      <c r="D160" s="18"/>
      <c r="E160" s="19"/>
      <c r="F160" s="96"/>
      <c r="G160" s="97"/>
      <c r="H160" s="82"/>
      <c r="I160" s="82"/>
      <c r="J160" s="82"/>
      <c r="K160" s="82"/>
    </row>
    <row r="161" spans="1:11" ht="15.75" customHeight="1" x14ac:dyDescent="0.25">
      <c r="A161" s="93"/>
      <c r="B161" s="40"/>
      <c r="C161" s="33"/>
      <c r="D161" s="57"/>
      <c r="E161" s="35"/>
      <c r="F161" s="59"/>
      <c r="G161" s="94"/>
      <c r="H161" s="82"/>
      <c r="I161" s="82"/>
      <c r="J161" s="82"/>
      <c r="K161" s="327"/>
    </row>
    <row r="162" spans="1:11" ht="15.75" customHeight="1" x14ac:dyDescent="0.25">
      <c r="A162" s="65"/>
      <c r="B162" s="247" t="s">
        <v>135</v>
      </c>
      <c r="C162" s="248"/>
      <c r="D162" s="249"/>
      <c r="E162" s="249"/>
      <c r="F162" s="250"/>
      <c r="G162" s="252"/>
      <c r="H162" s="82"/>
      <c r="I162" s="82"/>
      <c r="J162" s="82"/>
      <c r="K162" s="327"/>
    </row>
    <row r="163" spans="1:11" ht="15.75" customHeight="1" x14ac:dyDescent="0.2">
      <c r="A163" s="65">
        <f>+A158+1</f>
        <v>95</v>
      </c>
      <c r="B163" s="251"/>
      <c r="C163" s="251" t="s">
        <v>136</v>
      </c>
      <c r="D163" s="251" t="s">
        <v>137</v>
      </c>
      <c r="E163" s="253"/>
      <c r="F163" s="254"/>
      <c r="G163" s="255">
        <f>+'[1]WKSHT6 - Cost of Capital'!P5</f>
        <v>5070013846.1538458</v>
      </c>
      <c r="H163" s="82">
        <v>5663090769.2307692</v>
      </c>
      <c r="I163" s="82">
        <v>5070013846.1538458</v>
      </c>
      <c r="J163" s="82">
        <f t="shared" ref="J163:J217" si="14">H163-I163</f>
        <v>593076923.07692337</v>
      </c>
      <c r="K163" s="327">
        <f t="shared" ref="K163:K217" si="15">(H163-I163)/I163</f>
        <v>0.11697737739450878</v>
      </c>
    </row>
    <row r="164" spans="1:11" ht="15.75" customHeight="1" x14ac:dyDescent="0.2">
      <c r="A164" s="65">
        <f>+A163+1</f>
        <v>96</v>
      </c>
      <c r="B164" s="251"/>
      <c r="C164" s="251" t="s">
        <v>138</v>
      </c>
      <c r="D164" s="251" t="s">
        <v>137</v>
      </c>
      <c r="E164" s="253"/>
      <c r="F164" s="254"/>
      <c r="G164" s="255">
        <f>+'[1]WKSHT6 - Cost of Capital'!P6</f>
        <v>0</v>
      </c>
      <c r="H164" s="82">
        <v>0</v>
      </c>
      <c r="I164" s="82">
        <v>0</v>
      </c>
      <c r="J164" s="82"/>
      <c r="K164" s="327"/>
    </row>
    <row r="165" spans="1:11" ht="15.75" customHeight="1" x14ac:dyDescent="0.2">
      <c r="A165" s="65">
        <f t="shared" ref="A165:A201" si="16">+A164+1</f>
        <v>97</v>
      </c>
      <c r="B165" s="251"/>
      <c r="C165" s="251" t="s">
        <v>139</v>
      </c>
      <c r="D165" s="251" t="s">
        <v>137</v>
      </c>
      <c r="E165" s="253"/>
      <c r="F165" s="254"/>
      <c r="G165" s="255">
        <f>+'[1]WKSHT6 - Cost of Capital'!P8</f>
        <v>0</v>
      </c>
      <c r="H165" s="82">
        <v>0</v>
      </c>
      <c r="I165" s="82">
        <v>0</v>
      </c>
      <c r="J165" s="82"/>
      <c r="K165" s="327"/>
    </row>
    <row r="166" spans="1:11" ht="15.75" customHeight="1" x14ac:dyDescent="0.2">
      <c r="A166" s="65">
        <f t="shared" si="16"/>
        <v>98</v>
      </c>
      <c r="B166" s="251"/>
      <c r="C166" s="256" t="s">
        <v>140</v>
      </c>
      <c r="D166" s="256" t="s">
        <v>137</v>
      </c>
      <c r="E166" s="257"/>
      <c r="F166" s="258"/>
      <c r="G166" s="259">
        <f>+'[1]WKSHT6 - Cost of Capital'!P9</f>
        <v>0</v>
      </c>
      <c r="H166" s="109">
        <v>0</v>
      </c>
      <c r="I166" s="109">
        <v>0</v>
      </c>
      <c r="J166" s="109"/>
      <c r="K166" s="369"/>
    </row>
    <row r="167" spans="1:11" ht="15.75" customHeight="1" x14ac:dyDescent="0.2">
      <c r="A167" s="65">
        <f t="shared" si="16"/>
        <v>99</v>
      </c>
      <c r="B167" s="251"/>
      <c r="C167" s="251" t="s">
        <v>141</v>
      </c>
      <c r="D167" s="251" t="str">
        <f>"(Sum Ln "&amp;A163&amp;" through "&amp;A166&amp;""</f>
        <v>(Sum Ln 95 through 98</v>
      </c>
      <c r="E167" s="253"/>
      <c r="F167" s="254"/>
      <c r="G167" s="255">
        <f>SUM(G163:G166)</f>
        <v>5070013846.1538458</v>
      </c>
      <c r="H167" s="82">
        <v>5663090769.2307692</v>
      </c>
      <c r="I167" s="82">
        <v>5070013846.1538458</v>
      </c>
      <c r="J167" s="82">
        <f t="shared" si="14"/>
        <v>593076923.07692337</v>
      </c>
      <c r="K167" s="327">
        <f t="shared" si="15"/>
        <v>0.11697737739450878</v>
      </c>
    </row>
    <row r="168" spans="1:11" ht="15.75" customHeight="1" x14ac:dyDescent="0.2">
      <c r="A168" s="65"/>
      <c r="B168" s="251"/>
      <c r="C168" s="251"/>
      <c r="D168" s="251"/>
      <c r="E168" s="253"/>
      <c r="F168" s="254"/>
      <c r="G168" s="255"/>
      <c r="H168" s="82"/>
      <c r="I168" s="82"/>
      <c r="J168" s="82"/>
      <c r="K168" s="327"/>
    </row>
    <row r="169" spans="1:11" ht="15.75" customHeight="1" x14ac:dyDescent="0.2">
      <c r="A169" s="65">
        <f>+A167+1</f>
        <v>100</v>
      </c>
      <c r="B169" s="251"/>
      <c r="C169" s="251" t="s">
        <v>142</v>
      </c>
      <c r="D169" s="251" t="s">
        <v>137</v>
      </c>
      <c r="E169" s="253"/>
      <c r="F169" s="254" t="s">
        <v>143</v>
      </c>
      <c r="G169" s="255">
        <f>+'[1]WKSHT6 - Cost of Capital'!P12</f>
        <v>-17567751.48153846</v>
      </c>
      <c r="H169" s="82">
        <v>-21439197.076923076</v>
      </c>
      <c r="I169" s="82">
        <v>-17567751.48153846</v>
      </c>
      <c r="J169" s="82">
        <f t="shared" si="14"/>
        <v>-3871445.5953846164</v>
      </c>
      <c r="K169" s="327">
        <f t="shared" si="15"/>
        <v>0.22037228836331321</v>
      </c>
    </row>
    <row r="170" spans="1:11" ht="15.75" customHeight="1" x14ac:dyDescent="0.2">
      <c r="A170" s="65">
        <f t="shared" si="16"/>
        <v>101</v>
      </c>
      <c r="B170" s="251"/>
      <c r="C170" s="251" t="s">
        <v>144</v>
      </c>
      <c r="D170" s="251" t="s">
        <v>137</v>
      </c>
      <c r="E170" s="253"/>
      <c r="F170" s="254" t="s">
        <v>143</v>
      </c>
      <c r="G170" s="255">
        <f>+'[1]WKSHT6 - Cost of Capital'!P13</f>
        <v>-23908641.103846155</v>
      </c>
      <c r="H170" s="82">
        <v>-23536766.846153848</v>
      </c>
      <c r="I170" s="82">
        <v>-23908641.103846155</v>
      </c>
      <c r="J170" s="82">
        <f t="shared" si="14"/>
        <v>371874.25769230723</v>
      </c>
      <c r="K170" s="327">
        <f t="shared" si="15"/>
        <v>-1.5553968796348039E-2</v>
      </c>
    </row>
    <row r="171" spans="1:11" ht="15.75" customHeight="1" x14ac:dyDescent="0.2">
      <c r="A171" s="65">
        <f t="shared" si="16"/>
        <v>102</v>
      </c>
      <c r="B171" s="251"/>
      <c r="C171" s="251" t="s">
        <v>145</v>
      </c>
      <c r="D171" s="251" t="s">
        <v>137</v>
      </c>
      <c r="E171" s="253"/>
      <c r="F171" s="254" t="s">
        <v>143</v>
      </c>
      <c r="G171" s="255">
        <f>+'[1]WKSHT6 - Cost of Capital'!P14</f>
        <v>-32677380.176153842</v>
      </c>
      <c r="H171" s="82">
        <v>-30646987.384615384</v>
      </c>
      <c r="I171" s="82">
        <v>-32677380.176153842</v>
      </c>
      <c r="J171" s="82">
        <f t="shared" si="14"/>
        <v>2030392.7915384583</v>
      </c>
      <c r="K171" s="327">
        <f t="shared" si="15"/>
        <v>-6.213450345753628E-2</v>
      </c>
    </row>
    <row r="172" spans="1:11" ht="15.75" customHeight="1" x14ac:dyDescent="0.2">
      <c r="A172" s="65">
        <f t="shared" si="16"/>
        <v>103</v>
      </c>
      <c r="B172" s="251"/>
      <c r="C172" s="251" t="s">
        <v>146</v>
      </c>
      <c r="D172" s="251" t="s">
        <v>137</v>
      </c>
      <c r="E172" s="253"/>
      <c r="F172" s="254" t="s">
        <v>143</v>
      </c>
      <c r="G172" s="255">
        <f>+'[1]WKSHT6 - Cost of Capital'!P15</f>
        <v>0</v>
      </c>
      <c r="H172" s="82">
        <v>0</v>
      </c>
      <c r="I172" s="82">
        <v>0</v>
      </c>
      <c r="J172" s="82"/>
      <c r="K172" s="327"/>
    </row>
    <row r="173" spans="1:11" ht="15.75" customHeight="1" x14ac:dyDescent="0.2">
      <c r="A173" s="65">
        <f t="shared" si="16"/>
        <v>104</v>
      </c>
      <c r="B173" s="251"/>
      <c r="C173" s="256" t="s">
        <v>147</v>
      </c>
      <c r="D173" s="256" t="s">
        <v>137</v>
      </c>
      <c r="E173" s="257"/>
      <c r="F173" s="258" t="s">
        <v>143</v>
      </c>
      <c r="G173" s="259">
        <f>+'[1]WKSHT6 - Cost of Capital'!P16</f>
        <v>0</v>
      </c>
      <c r="H173" s="109">
        <v>0</v>
      </c>
      <c r="I173" s="109">
        <v>0</v>
      </c>
      <c r="J173" s="109"/>
      <c r="K173" s="369"/>
    </row>
    <row r="174" spans="1:11" ht="15.75" customHeight="1" x14ac:dyDescent="0.2">
      <c r="A174" s="65">
        <f t="shared" si="16"/>
        <v>105</v>
      </c>
      <c r="B174" s="251"/>
      <c r="C174" s="251" t="s">
        <v>148</v>
      </c>
      <c r="D174" s="251" t="str">
        <f>"(Sum Ln "&amp;A169&amp;" through "&amp;A173&amp;""</f>
        <v>(Sum Ln 100 through 104</v>
      </c>
      <c r="E174" s="253"/>
      <c r="F174" s="254"/>
      <c r="G174" s="255">
        <f>SUM(G167:G173)</f>
        <v>4995860073.3923063</v>
      </c>
      <c r="H174" s="82">
        <v>5587467817.9230766</v>
      </c>
      <c r="I174" s="82">
        <v>4995860073.3923063</v>
      </c>
      <c r="J174" s="82">
        <f t="shared" si="14"/>
        <v>591607744.5307703</v>
      </c>
      <c r="K174" s="327">
        <f t="shared" si="15"/>
        <v>0.1184195985955737</v>
      </c>
    </row>
    <row r="175" spans="1:11" ht="15.75" customHeight="1" x14ac:dyDescent="0.2">
      <c r="A175" s="65"/>
      <c r="B175" s="251"/>
      <c r="C175" s="251"/>
      <c r="D175" s="251"/>
      <c r="E175" s="253"/>
      <c r="F175" s="254"/>
      <c r="G175" s="255"/>
      <c r="H175" s="82"/>
      <c r="I175" s="82"/>
      <c r="J175" s="82"/>
      <c r="K175" s="327"/>
    </row>
    <row r="176" spans="1:11" ht="15.75" customHeight="1" x14ac:dyDescent="0.25">
      <c r="A176" s="65"/>
      <c r="B176" s="247" t="s">
        <v>149</v>
      </c>
      <c r="C176" s="251"/>
      <c r="D176" s="251"/>
      <c r="E176" s="253"/>
      <c r="F176" s="254"/>
      <c r="G176" s="255"/>
      <c r="H176" s="82"/>
      <c r="I176" s="82"/>
      <c r="J176" s="82"/>
      <c r="K176" s="327"/>
    </row>
    <row r="177" spans="1:11" ht="15.75" customHeight="1" x14ac:dyDescent="0.2">
      <c r="A177" s="65">
        <f>+A174+1</f>
        <v>106</v>
      </c>
      <c r="B177" s="251"/>
      <c r="C177" s="251" t="s">
        <v>150</v>
      </c>
      <c r="D177" s="251" t="s">
        <v>137</v>
      </c>
      <c r="E177" s="253"/>
      <c r="F177" s="254" t="s">
        <v>143</v>
      </c>
      <c r="G177" s="255">
        <f>+'[1]WKSHT6 - Cost of Capital'!P24</f>
        <v>253214629</v>
      </c>
      <c r="H177" s="82">
        <v>285985469</v>
      </c>
      <c r="I177" s="82">
        <v>253214629</v>
      </c>
      <c r="J177" s="82">
        <f t="shared" si="14"/>
        <v>32770840</v>
      </c>
      <c r="K177" s="327">
        <f t="shared" si="15"/>
        <v>0.12941922087763735</v>
      </c>
    </row>
    <row r="178" spans="1:11" ht="15.75" customHeight="1" x14ac:dyDescent="0.2">
      <c r="A178" s="65">
        <f t="shared" si="16"/>
        <v>107</v>
      </c>
      <c r="B178" s="251"/>
      <c r="C178" s="251" t="s">
        <v>151</v>
      </c>
      <c r="D178" s="251" t="s">
        <v>137</v>
      </c>
      <c r="E178" s="253"/>
      <c r="F178" s="254" t="s">
        <v>143</v>
      </c>
      <c r="G178" s="255">
        <f>+'[1]WKSHT6 - Cost of Capital'!P25</f>
        <v>2648196</v>
      </c>
      <c r="H178" s="82">
        <v>3006234</v>
      </c>
      <c r="I178" s="82">
        <v>2648196</v>
      </c>
      <c r="J178" s="82">
        <f t="shared" si="14"/>
        <v>358038</v>
      </c>
      <c r="K178" s="327">
        <f t="shared" si="15"/>
        <v>0.1352007177716453</v>
      </c>
    </row>
    <row r="179" spans="1:11" ht="15.75" customHeight="1" x14ac:dyDescent="0.2">
      <c r="A179" s="65">
        <f>+A178+1</f>
        <v>108</v>
      </c>
      <c r="B179" s="251"/>
      <c r="C179" s="251" t="s">
        <v>152</v>
      </c>
      <c r="D179" s="251" t="s">
        <v>137</v>
      </c>
      <c r="E179" s="253"/>
      <c r="F179" s="254" t="s">
        <v>143</v>
      </c>
      <c r="G179" s="255">
        <f>+'[1]WKSHT6 - Cost of Capital'!P26</f>
        <v>2106146</v>
      </c>
      <c r="H179" s="82">
        <v>1945126</v>
      </c>
      <c r="I179" s="82">
        <v>2106146</v>
      </c>
      <c r="J179" s="82">
        <f t="shared" si="14"/>
        <v>-161020</v>
      </c>
      <c r="K179" s="327">
        <f t="shared" si="15"/>
        <v>-7.6452439669424624E-2</v>
      </c>
    </row>
    <row r="180" spans="1:11" ht="15.75" customHeight="1" x14ac:dyDescent="0.2">
      <c r="A180" s="65">
        <f t="shared" si="16"/>
        <v>109</v>
      </c>
      <c r="B180" s="251"/>
      <c r="C180" s="251" t="s">
        <v>153</v>
      </c>
      <c r="D180" s="251" t="s">
        <v>137</v>
      </c>
      <c r="E180" s="253"/>
      <c r="F180" s="254" t="s">
        <v>143</v>
      </c>
      <c r="G180" s="255">
        <f>+'[1]WKSHT6 - Cost of Capital'!P27</f>
        <v>0</v>
      </c>
      <c r="H180" s="82">
        <v>0</v>
      </c>
      <c r="I180" s="82">
        <v>0</v>
      </c>
      <c r="J180" s="82"/>
      <c r="K180" s="327"/>
    </row>
    <row r="181" spans="1:11" ht="15.75" customHeight="1" x14ac:dyDescent="0.2">
      <c r="A181" s="65">
        <f>+A180+1</f>
        <v>110</v>
      </c>
      <c r="B181" s="251"/>
      <c r="C181" s="251" t="s">
        <v>154</v>
      </c>
      <c r="D181" s="251" t="s">
        <v>137</v>
      </c>
      <c r="E181" s="253"/>
      <c r="F181" s="254" t="s">
        <v>155</v>
      </c>
      <c r="G181" s="255">
        <v>0</v>
      </c>
      <c r="H181" s="82">
        <v>0</v>
      </c>
      <c r="I181" s="82">
        <v>0</v>
      </c>
      <c r="J181" s="82"/>
      <c r="K181" s="327"/>
    </row>
    <row r="182" spans="1:11" ht="15.75" customHeight="1" x14ac:dyDescent="0.2">
      <c r="A182" s="65">
        <f>+A181+1</f>
        <v>111</v>
      </c>
      <c r="B182" s="251"/>
      <c r="C182" s="256" t="s">
        <v>156</v>
      </c>
      <c r="D182" s="256" t="s">
        <v>137</v>
      </c>
      <c r="E182" s="257"/>
      <c r="F182" s="258" t="s">
        <v>143</v>
      </c>
      <c r="G182" s="259">
        <f>+'[1]WKSHT6 - Cost of Capital'!P28</f>
        <v>0</v>
      </c>
      <c r="H182" s="109">
        <v>0</v>
      </c>
      <c r="I182" s="109">
        <v>0</v>
      </c>
      <c r="J182" s="109"/>
      <c r="K182" s="369"/>
    </row>
    <row r="183" spans="1:11" ht="15.75" customHeight="1" x14ac:dyDescent="0.2">
      <c r="A183" s="65">
        <f>+A182+1</f>
        <v>112</v>
      </c>
      <c r="B183" s="251"/>
      <c r="C183" s="251" t="s">
        <v>157</v>
      </c>
      <c r="D183" s="251" t="str">
        <f>"(Sum Ln "&amp;A177&amp;" through "&amp;A183&amp;""</f>
        <v>(Sum Ln 106 through 112</v>
      </c>
      <c r="E183" s="253"/>
      <c r="F183" s="254"/>
      <c r="G183" s="255">
        <f>SUM(G177:G182)</f>
        <v>257968971</v>
      </c>
      <c r="H183" s="82">
        <v>290936829</v>
      </c>
      <c r="I183" s="82">
        <v>257968971</v>
      </c>
      <c r="J183" s="82">
        <f t="shared" si="14"/>
        <v>32967858</v>
      </c>
      <c r="K183" s="327">
        <f t="shared" si="15"/>
        <v>0.12779776525914041</v>
      </c>
    </row>
    <row r="184" spans="1:11" ht="15.75" customHeight="1" x14ac:dyDescent="0.2">
      <c r="A184" s="65"/>
      <c r="B184" s="251"/>
      <c r="C184" s="251"/>
      <c r="D184" s="251"/>
      <c r="E184" s="253"/>
      <c r="F184" s="254"/>
      <c r="G184" s="255"/>
      <c r="H184" s="82"/>
      <c r="I184" s="82"/>
      <c r="J184" s="82"/>
      <c r="K184" s="327"/>
    </row>
    <row r="185" spans="1:11" ht="15.75" customHeight="1" x14ac:dyDescent="0.25">
      <c r="A185" s="65"/>
      <c r="B185" s="247" t="s">
        <v>158</v>
      </c>
      <c r="C185" s="248"/>
      <c r="D185" s="251"/>
      <c r="E185" s="253"/>
      <c r="F185" s="254"/>
      <c r="G185" s="262"/>
      <c r="H185" s="82"/>
      <c r="I185" s="82"/>
      <c r="J185" s="82"/>
      <c r="K185" s="327"/>
    </row>
    <row r="186" spans="1:11" ht="15.75" customHeight="1" x14ac:dyDescent="0.2">
      <c r="A186" s="65">
        <f>+A183+1</f>
        <v>113</v>
      </c>
      <c r="B186" s="251"/>
      <c r="C186" s="251" t="s">
        <v>159</v>
      </c>
      <c r="D186" s="251" t="s">
        <v>137</v>
      </c>
      <c r="E186" s="253"/>
      <c r="F186" s="254"/>
      <c r="G186" s="255">
        <f>+'[1]WKSHT6 - Cost of Capital'!P32</f>
        <v>0</v>
      </c>
      <c r="H186" s="82">
        <v>0</v>
      </c>
      <c r="I186" s="82">
        <v>0</v>
      </c>
      <c r="J186" s="82"/>
      <c r="K186" s="327"/>
    </row>
    <row r="187" spans="1:11" ht="15.75" customHeight="1" x14ac:dyDescent="0.2">
      <c r="A187" s="65">
        <f t="shared" si="16"/>
        <v>114</v>
      </c>
      <c r="B187" s="251"/>
      <c r="C187" s="251" t="s">
        <v>160</v>
      </c>
      <c r="D187" s="251" t="s">
        <v>137</v>
      </c>
      <c r="E187" s="253"/>
      <c r="F187" s="254"/>
      <c r="G187" s="255">
        <f>+'[1]WKSHT6 - Cost of Capital'!P33</f>
        <v>0</v>
      </c>
      <c r="H187" s="82">
        <v>0</v>
      </c>
      <c r="I187" s="82">
        <v>0</v>
      </c>
      <c r="J187" s="82"/>
      <c r="K187" s="327"/>
    </row>
    <row r="188" spans="1:11" ht="15.75" customHeight="1" x14ac:dyDescent="0.2">
      <c r="A188" s="65">
        <f t="shared" si="16"/>
        <v>115</v>
      </c>
      <c r="B188" s="251"/>
      <c r="C188" s="251" t="s">
        <v>161</v>
      </c>
      <c r="D188" s="251" t="s">
        <v>137</v>
      </c>
      <c r="E188" s="253"/>
      <c r="F188" s="254"/>
      <c r="G188" s="255">
        <f>+'[1]WKSHT6 - Cost of Capital'!P34</f>
        <v>0</v>
      </c>
      <c r="H188" s="82">
        <v>0</v>
      </c>
      <c r="I188" s="82">
        <v>0</v>
      </c>
      <c r="J188" s="82"/>
      <c r="K188" s="327"/>
    </row>
    <row r="189" spans="1:11" ht="15.75" customHeight="1" x14ac:dyDescent="0.2">
      <c r="A189" s="65">
        <f t="shared" si="16"/>
        <v>116</v>
      </c>
      <c r="B189" s="251"/>
      <c r="C189" s="251" t="s">
        <v>162</v>
      </c>
      <c r="D189" s="251" t="s">
        <v>137</v>
      </c>
      <c r="E189" s="253"/>
      <c r="F189" s="254"/>
      <c r="G189" s="255">
        <f>+'[1]WKSHT6 - Cost of Capital'!P35</f>
        <v>0</v>
      </c>
      <c r="H189" s="82">
        <v>0</v>
      </c>
      <c r="I189" s="82">
        <v>0</v>
      </c>
      <c r="J189" s="82"/>
      <c r="K189" s="327"/>
    </row>
    <row r="190" spans="1:11" ht="15.75" customHeight="1" x14ac:dyDescent="0.2">
      <c r="A190" s="65">
        <f t="shared" si="16"/>
        <v>117</v>
      </c>
      <c r="B190" s="251"/>
      <c r="C190" s="251" t="s">
        <v>163</v>
      </c>
      <c r="D190" s="251" t="s">
        <v>137</v>
      </c>
      <c r="E190" s="253"/>
      <c r="F190" s="254"/>
      <c r="G190" s="255">
        <f>+'[1]WKSHT6 - Cost of Capital'!P36</f>
        <v>0</v>
      </c>
      <c r="H190" s="82">
        <v>0</v>
      </c>
      <c r="I190" s="82">
        <v>0</v>
      </c>
      <c r="J190" s="82"/>
      <c r="K190" s="327"/>
    </row>
    <row r="191" spans="1:11" ht="15.75" customHeight="1" x14ac:dyDescent="0.2">
      <c r="A191" s="65">
        <f t="shared" si="16"/>
        <v>118</v>
      </c>
      <c r="B191" s="251"/>
      <c r="C191" s="256" t="s">
        <v>164</v>
      </c>
      <c r="D191" s="256" t="s">
        <v>137</v>
      </c>
      <c r="E191" s="257"/>
      <c r="F191" s="258"/>
      <c r="G191" s="259">
        <f>+'[1]WKSHT6 - Cost of Capital'!P37</f>
        <v>0</v>
      </c>
      <c r="H191" s="109">
        <v>0</v>
      </c>
      <c r="I191" s="109">
        <v>0</v>
      </c>
      <c r="J191" s="109"/>
      <c r="K191" s="369"/>
    </row>
    <row r="192" spans="1:11" ht="15.75" customHeight="1" x14ac:dyDescent="0.2">
      <c r="A192" s="65">
        <f t="shared" si="16"/>
        <v>119</v>
      </c>
      <c r="B192" s="251"/>
      <c r="C192" s="251" t="s">
        <v>165</v>
      </c>
      <c r="D192" s="251" t="str">
        <f>"(Sum Ln "&amp;A186&amp;" through "&amp;A191&amp;""</f>
        <v>(Sum Ln 113 through 118</v>
      </c>
      <c r="E192" s="251"/>
      <c r="F192" s="250"/>
      <c r="G192" s="255">
        <f>SUM(G186:G191)</f>
        <v>0</v>
      </c>
      <c r="H192" s="82">
        <v>0</v>
      </c>
      <c r="I192" s="82">
        <v>0</v>
      </c>
      <c r="J192" s="82"/>
      <c r="K192" s="327"/>
    </row>
    <row r="193" spans="1:11" ht="15.75" customHeight="1" x14ac:dyDescent="0.2">
      <c r="A193" s="65"/>
      <c r="B193" s="251"/>
      <c r="C193" s="251"/>
      <c r="D193" s="251"/>
      <c r="E193" s="251"/>
      <c r="F193" s="250"/>
      <c r="G193" s="255"/>
      <c r="H193" s="82"/>
      <c r="I193" s="82"/>
      <c r="J193" s="82"/>
      <c r="K193" s="327"/>
    </row>
    <row r="194" spans="1:11" ht="15.75" customHeight="1" x14ac:dyDescent="0.2">
      <c r="A194" s="65">
        <f>+A192+1</f>
        <v>120</v>
      </c>
      <c r="B194" s="251"/>
      <c r="C194" s="251" t="s">
        <v>166</v>
      </c>
      <c r="D194" s="251" t="s">
        <v>137</v>
      </c>
      <c r="E194" s="253"/>
      <c r="F194" s="254" t="s">
        <v>167</v>
      </c>
      <c r="G194" s="255">
        <f>+'[1]WKSHT6 - Cost of Capital'!P39</f>
        <v>0</v>
      </c>
      <c r="H194" s="82">
        <v>0</v>
      </c>
      <c r="I194" s="82">
        <v>0</v>
      </c>
      <c r="J194" s="82"/>
      <c r="K194" s="327"/>
    </row>
    <row r="195" spans="1:11" ht="15.75" customHeight="1" x14ac:dyDescent="0.2">
      <c r="A195" s="65"/>
      <c r="B195" s="251"/>
      <c r="C195" s="251"/>
      <c r="D195" s="251"/>
      <c r="E195" s="253"/>
      <c r="F195" s="254"/>
      <c r="G195" s="255"/>
      <c r="H195" s="82"/>
      <c r="I195" s="82"/>
      <c r="J195" s="82"/>
      <c r="K195" s="327"/>
    </row>
    <row r="196" spans="1:11" ht="15.75" customHeight="1" x14ac:dyDescent="0.25">
      <c r="A196" s="65"/>
      <c r="B196" s="247" t="s">
        <v>168</v>
      </c>
      <c r="C196" s="248"/>
      <c r="D196" s="251"/>
      <c r="E196" s="253"/>
      <c r="F196" s="254"/>
      <c r="G196" s="262"/>
      <c r="H196" s="82"/>
      <c r="I196" s="82"/>
      <c r="J196" s="82"/>
      <c r="K196" s="327"/>
    </row>
    <row r="197" spans="1:11" ht="15.75" customHeight="1" x14ac:dyDescent="0.2">
      <c r="A197" s="65">
        <f>+A194+1</f>
        <v>121</v>
      </c>
      <c r="B197" s="251"/>
      <c r="C197" s="251" t="s">
        <v>169</v>
      </c>
      <c r="D197" s="251" t="s">
        <v>137</v>
      </c>
      <c r="E197" s="253"/>
      <c r="F197" s="254"/>
      <c r="G197" s="255">
        <f>+'[1]WKSHT6 - Cost of Capital'!P42</f>
        <v>4899404507.3269234</v>
      </c>
      <c r="H197" s="82">
        <v>5310010036.9230766</v>
      </c>
      <c r="I197" s="82">
        <v>4899404507.3269234</v>
      </c>
      <c r="J197" s="82">
        <f t="shared" si="14"/>
        <v>410605529.59615326</v>
      </c>
      <c r="K197" s="327">
        <f t="shared" si="15"/>
        <v>8.3807231875242E-2</v>
      </c>
    </row>
    <row r="198" spans="1:11" ht="15.75" customHeight="1" x14ac:dyDescent="0.2">
      <c r="A198" s="65">
        <f t="shared" si="16"/>
        <v>122</v>
      </c>
      <c r="B198" s="251"/>
      <c r="C198" s="251" t="s">
        <v>170</v>
      </c>
      <c r="D198" s="251" t="s">
        <v>137</v>
      </c>
      <c r="E198" s="253"/>
      <c r="F198" s="254"/>
      <c r="G198" s="255">
        <f>+'[1]WKSHT6 - Cost of Capital'!P43</f>
        <v>0</v>
      </c>
      <c r="H198" s="82">
        <v>0.1</v>
      </c>
      <c r="I198" s="82">
        <v>0</v>
      </c>
      <c r="J198" s="82"/>
      <c r="K198" s="327"/>
    </row>
    <row r="199" spans="1:11" ht="15.75" customHeight="1" x14ac:dyDescent="0.2">
      <c r="A199" s="65">
        <f t="shared" si="16"/>
        <v>123</v>
      </c>
      <c r="B199" s="251"/>
      <c r="C199" s="251" t="s">
        <v>171</v>
      </c>
      <c r="D199" s="251" t="s">
        <v>137</v>
      </c>
      <c r="E199" s="253"/>
      <c r="F199" s="254"/>
      <c r="G199" s="255">
        <f>+'[1]WKSHT6 - Cost of Capital'!P44</f>
        <v>-12921594.898461539</v>
      </c>
      <c r="H199" s="82">
        <v>-13170198</v>
      </c>
      <c r="I199" s="82">
        <v>-12921594.898461539</v>
      </c>
      <c r="J199" s="82">
        <f t="shared" si="14"/>
        <v>-248603.1015384607</v>
      </c>
      <c r="K199" s="327">
        <f t="shared" si="15"/>
        <v>1.9239351139855011E-2</v>
      </c>
    </row>
    <row r="200" spans="1:11" ht="15.75" customHeight="1" x14ac:dyDescent="0.2">
      <c r="A200" s="65">
        <f t="shared" si="16"/>
        <v>124</v>
      </c>
      <c r="B200" s="251"/>
      <c r="C200" s="256" t="s">
        <v>172</v>
      </c>
      <c r="D200" s="256" t="s">
        <v>137</v>
      </c>
      <c r="E200" s="257"/>
      <c r="F200" s="258"/>
      <c r="G200" s="259">
        <f>+'[1]WKSHT6 - Cost of Capital'!P45</f>
        <v>-102552552.7176923</v>
      </c>
      <c r="H200" s="109">
        <v>-57993069.846153848</v>
      </c>
      <c r="I200" s="109">
        <v>-102552552.7176923</v>
      </c>
      <c r="J200" s="109">
        <f t="shared" si="14"/>
        <v>44559482.871538453</v>
      </c>
      <c r="K200" s="369">
        <f t="shared" si="15"/>
        <v>-0.43450388791590833</v>
      </c>
    </row>
    <row r="201" spans="1:11" ht="15.75" customHeight="1" x14ac:dyDescent="0.2">
      <c r="A201" s="65">
        <f t="shared" si="16"/>
        <v>125</v>
      </c>
      <c r="B201" s="251"/>
      <c r="C201" s="251" t="s">
        <v>173</v>
      </c>
      <c r="D201" s="251" t="str">
        <f>"(Sum Ln "&amp;A197&amp;" through "&amp;A200&amp;""</f>
        <v>(Sum Ln 121 through 124</v>
      </c>
      <c r="E201" s="251"/>
      <c r="F201" s="250"/>
      <c r="G201" s="255">
        <f>+G197-G198-G199-G200</f>
        <v>5014878654.9430771</v>
      </c>
      <c r="H201" s="82">
        <v>5381173304.6692305</v>
      </c>
      <c r="I201" s="82">
        <v>5014878654.9430771</v>
      </c>
      <c r="J201" s="82">
        <f t="shared" si="14"/>
        <v>366294649.72615337</v>
      </c>
      <c r="K201" s="327">
        <f t="shared" si="15"/>
        <v>7.3041577858539652E-2</v>
      </c>
    </row>
    <row r="202" spans="1:11" ht="15.75" customHeight="1" x14ac:dyDescent="0.2">
      <c r="A202" s="65"/>
      <c r="B202" s="251"/>
      <c r="C202" s="251"/>
      <c r="D202" s="251"/>
      <c r="E202" s="251"/>
      <c r="F202" s="250"/>
      <c r="G202" s="255"/>
      <c r="H202" s="82"/>
      <c r="I202" s="82"/>
      <c r="J202" s="82"/>
      <c r="K202" s="327"/>
    </row>
    <row r="203" spans="1:11" ht="15.75" customHeight="1" x14ac:dyDescent="0.2">
      <c r="A203" s="65">
        <f>+A201+1</f>
        <v>126</v>
      </c>
      <c r="B203" s="41"/>
      <c r="C203" s="114" t="s">
        <v>174</v>
      </c>
      <c r="D203" s="91" t="s">
        <v>175</v>
      </c>
      <c r="E203" s="103" t="s">
        <v>176</v>
      </c>
      <c r="F203" s="152" t="str">
        <f>"1 minus Sum Lines "&amp;A204&amp;" &amp; "&amp;A205&amp;"))"</f>
        <v>1 minus Sum Lines 127 &amp; 128))</v>
      </c>
      <c r="G203" s="263">
        <f>1-G204-G205</f>
        <v>0.5027335537391584</v>
      </c>
      <c r="H203" s="327">
        <v>0.51276307152179434</v>
      </c>
      <c r="I203" s="327">
        <v>0.5027335537391584</v>
      </c>
      <c r="J203" s="371">
        <f t="shared" si="14"/>
        <v>1.0029517782635944E-2</v>
      </c>
      <c r="K203" s="327">
        <f t="shared" si="15"/>
        <v>1.9949966951757759E-2</v>
      </c>
    </row>
    <row r="204" spans="1:11" ht="15.75" customHeight="1" x14ac:dyDescent="0.2">
      <c r="A204" s="65">
        <f>+A203+1</f>
        <v>127</v>
      </c>
      <c r="B204" s="41"/>
      <c r="C204" s="114" t="s">
        <v>177</v>
      </c>
      <c r="D204" s="91" t="s">
        <v>178</v>
      </c>
      <c r="E204" s="103"/>
      <c r="F204" s="73" t="str">
        <f>"(Line "&amp;A192&amp;" / (Lines "&amp;A$167&amp;" + "&amp;A$192&amp;" +"&amp;A$201&amp;"))"</f>
        <v>(Line 119 / (Lines 99 + 119 +125))</v>
      </c>
      <c r="G204" s="264">
        <f>G192/(G167+G192+G201)</f>
        <v>0</v>
      </c>
      <c r="H204" s="327">
        <v>0</v>
      </c>
      <c r="I204" s="327">
        <v>0</v>
      </c>
      <c r="J204" s="371"/>
      <c r="K204" s="327"/>
    </row>
    <row r="205" spans="1:11" ht="15.75" customHeight="1" x14ac:dyDescent="0.2">
      <c r="A205" s="65">
        <f>+A204+1</f>
        <v>128</v>
      </c>
      <c r="B205" s="41"/>
      <c r="C205" s="114" t="s">
        <v>179</v>
      </c>
      <c r="D205" s="91" t="s">
        <v>180</v>
      </c>
      <c r="E205" s="103"/>
      <c r="F205" s="152" t="str">
        <f>"Lesser of 50% or (Line "&amp;A201&amp;" / (Lines "&amp;A$167&amp;" + "&amp;A$192&amp;" +"&amp;A$201&amp;"))"</f>
        <v>Lesser of 50% or (Line 125 / (Lines 99 + 119 +125))</v>
      </c>
      <c r="G205" s="264">
        <f>IF(G201/(G167+G192+G201)&gt;0.5,0.5,G201/(G167+G192+G201))</f>
        <v>0.49726644626084154</v>
      </c>
      <c r="H205" s="327">
        <v>0.48723692847820566</v>
      </c>
      <c r="I205" s="327">
        <v>0.49726644626084154</v>
      </c>
      <c r="J205" s="371">
        <f t="shared" si="14"/>
        <v>-1.0029517782635888E-2</v>
      </c>
      <c r="K205" s="327">
        <f t="shared" si="15"/>
        <v>-2.0169303314253574E-2</v>
      </c>
    </row>
    <row r="206" spans="1:11" ht="18" x14ac:dyDescent="0.25">
      <c r="A206" s="65"/>
      <c r="B206" s="41"/>
      <c r="C206" s="265"/>
      <c r="D206" s="57"/>
      <c r="E206" s="43"/>
      <c r="F206" s="73"/>
      <c r="G206" s="266"/>
      <c r="H206" s="82"/>
      <c r="I206" s="82"/>
      <c r="J206" s="371"/>
      <c r="K206" s="327"/>
    </row>
    <row r="207" spans="1:11" ht="15.75" customHeight="1" x14ac:dyDescent="0.2">
      <c r="A207" s="65"/>
      <c r="B207" s="41"/>
      <c r="C207" s="265"/>
      <c r="D207" s="57"/>
      <c r="E207" s="43"/>
      <c r="F207" s="73"/>
      <c r="G207" s="137"/>
      <c r="H207" s="82"/>
      <c r="I207" s="82"/>
      <c r="J207" s="371"/>
      <c r="K207" s="327"/>
    </row>
    <row r="208" spans="1:11" ht="66.75" customHeight="1" x14ac:dyDescent="0.2">
      <c r="A208" s="65">
        <f>+A205+1</f>
        <v>129</v>
      </c>
      <c r="B208" s="41"/>
      <c r="C208" s="265" t="s">
        <v>181</v>
      </c>
      <c r="D208" s="267" t="s">
        <v>182</v>
      </c>
      <c r="E208" s="43"/>
      <c r="F208" s="73" t="str">
        <f>"(Line "&amp;A183&amp;" / Line "&amp;A174&amp;")"</f>
        <v>(Line 112 / Line 105)</v>
      </c>
      <c r="G208" s="263">
        <f>G183/G174</f>
        <v>5.1636548504216416E-2</v>
      </c>
      <c r="H208" s="327">
        <v>5.2069531043517386E-2</v>
      </c>
      <c r="I208" s="327">
        <v>5.1636548504216416E-2</v>
      </c>
      <c r="J208" s="371">
        <f t="shared" si="14"/>
        <v>4.3298253930097036E-4</v>
      </c>
      <c r="K208" s="327">
        <f t="shared" si="15"/>
        <v>8.3851952123720052E-3</v>
      </c>
    </row>
    <row r="209" spans="1:11" ht="15.75" customHeight="1" x14ac:dyDescent="0.2">
      <c r="A209" s="65">
        <f>+A208+1</f>
        <v>130</v>
      </c>
      <c r="B209" s="41"/>
      <c r="C209" s="265" t="s">
        <v>183</v>
      </c>
      <c r="D209" s="267" t="s">
        <v>184</v>
      </c>
      <c r="E209" s="43"/>
      <c r="F209" s="73" t="str">
        <f>"(Line "&amp;A194&amp;" / Line "&amp;A192&amp;")"</f>
        <v>(Line 120 / Line 119)</v>
      </c>
      <c r="G209" s="263">
        <f>IF(G194=0,0,G194/G192)</f>
        <v>0</v>
      </c>
      <c r="H209" s="327">
        <v>0</v>
      </c>
      <c r="I209" s="327">
        <v>0</v>
      </c>
      <c r="J209" s="371">
        <f t="shared" si="14"/>
        <v>0</v>
      </c>
      <c r="K209" s="327">
        <v>0</v>
      </c>
    </row>
    <row r="210" spans="1:11" ht="15.75" customHeight="1" x14ac:dyDescent="0.2">
      <c r="A210" s="65">
        <f>+A209+1</f>
        <v>131</v>
      </c>
      <c r="B210" s="41"/>
      <c r="C210" s="265" t="s">
        <v>185</v>
      </c>
      <c r="D210" s="91" t="s">
        <v>168</v>
      </c>
      <c r="E210" s="103" t="e">
        <f>"(Note "&amp;#REF!&amp;")"</f>
        <v>#REF!</v>
      </c>
      <c r="F210" s="73" t="s">
        <v>186</v>
      </c>
      <c r="G210" s="263">
        <v>9.8000000000000004E-2</v>
      </c>
      <c r="H210" s="327">
        <v>9.8000000000000004E-2</v>
      </c>
      <c r="I210" s="327">
        <v>9.8000000000000004E-2</v>
      </c>
      <c r="J210" s="371">
        <f t="shared" si="14"/>
        <v>0</v>
      </c>
      <c r="K210" s="327">
        <f t="shared" si="15"/>
        <v>0</v>
      </c>
    </row>
    <row r="211" spans="1:11" ht="15.75" customHeight="1" x14ac:dyDescent="0.2">
      <c r="A211" s="65"/>
      <c r="B211" s="41"/>
      <c r="C211" s="265"/>
      <c r="D211" s="91"/>
      <c r="E211" s="103"/>
      <c r="F211" s="73"/>
      <c r="G211" s="263"/>
      <c r="H211" s="82"/>
      <c r="I211" s="82"/>
      <c r="J211" s="82"/>
      <c r="K211" s="327"/>
    </row>
    <row r="212" spans="1:11" ht="15.75" customHeight="1" x14ac:dyDescent="0.2">
      <c r="A212" s="65">
        <f>+A210+1</f>
        <v>132</v>
      </c>
      <c r="B212" s="102"/>
      <c r="C212" s="114" t="s">
        <v>187</v>
      </c>
      <c r="D212" s="91"/>
      <c r="E212" s="43"/>
      <c r="F212" s="73" t="str">
        <f>"(Line "&amp;A203&amp;" * "&amp;A208&amp;")"</f>
        <v>(Line 126 * 129)</v>
      </c>
      <c r="G212" s="268">
        <f>+G203*G208</f>
        <v>2.5959425532349142E-2</v>
      </c>
      <c r="H212" s="421">
        <v>2.6699332670573398E-2</v>
      </c>
      <c r="I212" s="421">
        <v>2.5959425532349142E-2</v>
      </c>
      <c r="J212" s="364">
        <f t="shared" si="14"/>
        <v>7.3990713822425641E-4</v>
      </c>
      <c r="K212" s="327">
        <f t="shared" si="15"/>
        <v>2.8502446531500737E-2</v>
      </c>
    </row>
    <row r="213" spans="1:11" ht="15.75" customHeight="1" x14ac:dyDescent="0.2">
      <c r="A213" s="65">
        <f>+A212+1</f>
        <v>133</v>
      </c>
      <c r="B213" s="102"/>
      <c r="C213" s="114" t="s">
        <v>188</v>
      </c>
      <c r="D213" s="91"/>
      <c r="E213" s="43"/>
      <c r="F213" s="73" t="str">
        <f>"(Line "&amp;A204&amp;" * "&amp;A209&amp;")"</f>
        <v>(Line 127 * 130)</v>
      </c>
      <c r="G213" s="268">
        <f>+G204*G209</f>
        <v>0</v>
      </c>
      <c r="H213" s="421">
        <v>0</v>
      </c>
      <c r="I213" s="421">
        <v>0</v>
      </c>
      <c r="J213" s="364">
        <f t="shared" si="14"/>
        <v>0</v>
      </c>
      <c r="K213" s="327"/>
    </row>
    <row r="214" spans="1:11" ht="15.75" customHeight="1" x14ac:dyDescent="0.2">
      <c r="A214" s="65">
        <f>+A213+1</f>
        <v>134</v>
      </c>
      <c r="B214" s="269"/>
      <c r="C214" s="270" t="s">
        <v>189</v>
      </c>
      <c r="D214" s="271"/>
      <c r="E214" s="272"/>
      <c r="F214" s="128" t="str">
        <f>"(Line "&amp;A205&amp;" * "&amp;A210&amp;")"</f>
        <v>(Line 128 * 131)</v>
      </c>
      <c r="G214" s="273">
        <f>+G205*G210</f>
        <v>4.8732111733562476E-2</v>
      </c>
      <c r="H214" s="185">
        <v>4.7749218990864158E-2</v>
      </c>
      <c r="I214" s="185">
        <v>4.8732111733562476E-2</v>
      </c>
      <c r="J214" s="367">
        <f t="shared" si="14"/>
        <v>-9.8289274269831861E-4</v>
      </c>
      <c r="K214" s="369">
        <f t="shared" si="15"/>
        <v>-2.0169303314253605E-2</v>
      </c>
    </row>
    <row r="215" spans="1:11" s="8" customFormat="1" ht="15.75" customHeight="1" x14ac:dyDescent="0.25">
      <c r="A215" s="39">
        <f>+A214+1</f>
        <v>135</v>
      </c>
      <c r="B215" s="274" t="s">
        <v>190</v>
      </c>
      <c r="C215" s="274"/>
      <c r="D215" s="275"/>
      <c r="E215" s="192"/>
      <c r="F215" s="36" t="str">
        <f>"(Sum Lines "&amp;A212&amp;" to "&amp;A214&amp;")"</f>
        <v>(Sum Lines 132 to 134)</v>
      </c>
      <c r="G215" s="276">
        <f>SUM(G212:G214)</f>
        <v>7.4691537265911614E-2</v>
      </c>
      <c r="H215" s="366">
        <v>7.4448551661437559E-2</v>
      </c>
      <c r="I215" s="366">
        <v>7.4691537265911614E-2</v>
      </c>
      <c r="J215" s="365">
        <f t="shared" si="14"/>
        <v>-2.4298560447405526E-4</v>
      </c>
      <c r="K215" s="398">
        <f t="shared" si="15"/>
        <v>-3.2531878893989666E-3</v>
      </c>
    </row>
    <row r="216" spans="1:11" s="8" customFormat="1" ht="15.75" customHeight="1" x14ac:dyDescent="0.25">
      <c r="A216" s="277"/>
      <c r="B216" s="278"/>
      <c r="C216" s="274"/>
      <c r="D216" s="275"/>
      <c r="E216" s="192"/>
      <c r="F216" s="279"/>
      <c r="G216" s="280"/>
      <c r="H216" s="216"/>
      <c r="I216" s="216"/>
      <c r="J216" s="82"/>
      <c r="K216" s="327"/>
    </row>
    <row r="217" spans="1:11" ht="16.5" customHeight="1" thickBot="1" x14ac:dyDescent="0.3">
      <c r="A217" s="39">
        <f>+A215+1</f>
        <v>136</v>
      </c>
      <c r="B217" s="281" t="s">
        <v>191</v>
      </c>
      <c r="C217" s="87"/>
      <c r="D217" s="242"/>
      <c r="E217" s="282"/>
      <c r="F217" s="133" t="str">
        <f>"(Line "&amp;A102&amp;" * "&amp;A215&amp;")"</f>
        <v>(Line 59 * 135)</v>
      </c>
      <c r="G217" s="133" t="e">
        <f>+G102*G215</f>
        <v>#REF!</v>
      </c>
      <c r="H217" s="223">
        <v>3141940.7721443176</v>
      </c>
      <c r="I217" s="223">
        <v>3272948.6899750475</v>
      </c>
      <c r="J217" s="412">
        <f t="shared" si="14"/>
        <v>-131007.91783072986</v>
      </c>
      <c r="K217" s="397">
        <f t="shared" si="15"/>
        <v>-4.0027489044360376E-2</v>
      </c>
    </row>
    <row r="218" spans="1:11" ht="16.5" customHeight="1" thickTop="1" x14ac:dyDescent="0.2">
      <c r="A218" s="39"/>
      <c r="B218" s="40"/>
      <c r="C218" s="127"/>
      <c r="D218" s="34"/>
      <c r="E218" s="62"/>
      <c r="F218" s="36"/>
      <c r="G218" s="283"/>
      <c r="H218" s="82"/>
      <c r="I218" s="82"/>
      <c r="J218" s="82"/>
      <c r="K218" s="327"/>
    </row>
    <row r="219" spans="1:11" ht="15.75" customHeight="1" x14ac:dyDescent="0.25">
      <c r="A219" s="95" t="s">
        <v>192</v>
      </c>
      <c r="B219" s="17"/>
      <c r="C219" s="205"/>
      <c r="D219" s="18"/>
      <c r="E219" s="245"/>
      <c r="F219" s="96"/>
      <c r="G219" s="97"/>
      <c r="H219" s="82"/>
      <c r="I219" s="82"/>
      <c r="J219" s="82"/>
      <c r="K219" s="82"/>
    </row>
    <row r="220" spans="1:11" ht="15.75" customHeight="1" x14ac:dyDescent="0.25">
      <c r="A220" s="284"/>
      <c r="B220" s="40"/>
      <c r="C220" s="33"/>
      <c r="D220" s="57"/>
      <c r="E220" s="35"/>
      <c r="F220" s="59"/>
      <c r="G220" s="94"/>
      <c r="H220" s="82"/>
      <c r="I220" s="82"/>
      <c r="J220" s="82"/>
      <c r="K220" s="327"/>
    </row>
    <row r="221" spans="1:11" ht="15.75" customHeight="1" x14ac:dyDescent="0.25">
      <c r="A221" s="39" t="s">
        <v>193</v>
      </c>
      <c r="B221" s="285" t="s">
        <v>194</v>
      </c>
      <c r="C221" s="34"/>
      <c r="D221" s="34"/>
      <c r="E221" s="35"/>
      <c r="F221" s="36"/>
      <c r="G221" s="286"/>
      <c r="H221" s="82"/>
      <c r="I221" s="82"/>
      <c r="J221" s="82"/>
      <c r="K221" s="327"/>
    </row>
    <row r="222" spans="1:11" ht="15.75" customHeight="1" x14ac:dyDescent="0.2">
      <c r="A222" s="39">
        <f>+A217+1</f>
        <v>137</v>
      </c>
      <c r="B222" s="40"/>
      <c r="C222" s="34" t="s">
        <v>195</v>
      </c>
      <c r="D222" s="34"/>
      <c r="E222" s="62"/>
      <c r="F222" s="59"/>
      <c r="G222" s="287">
        <v>0.21</v>
      </c>
      <c r="H222" s="82"/>
      <c r="I222" s="82"/>
      <c r="J222" s="82"/>
      <c r="K222" s="327"/>
    </row>
    <row r="223" spans="1:11" ht="15.75" customHeight="1" x14ac:dyDescent="0.2">
      <c r="A223" s="39">
        <f>+A222+1</f>
        <v>138</v>
      </c>
      <c r="B223" s="40"/>
      <c r="C223" s="288" t="s">
        <v>196</v>
      </c>
      <c r="D223" s="289"/>
      <c r="E223" s="103" t="e">
        <f>"(Note "&amp;#REF!&amp;")"</f>
        <v>#REF!</v>
      </c>
      <c r="F223" s="59"/>
      <c r="G223" s="287">
        <v>0</v>
      </c>
      <c r="H223" s="82"/>
      <c r="I223" s="82"/>
      <c r="J223" s="82"/>
      <c r="K223" s="327"/>
    </row>
    <row r="224" spans="1:11" ht="15.75" customHeight="1" x14ac:dyDescent="0.2">
      <c r="A224" s="39">
        <f>+A223+1</f>
        <v>139</v>
      </c>
      <c r="B224" s="40"/>
      <c r="C224" s="288" t="s">
        <v>197</v>
      </c>
      <c r="D224" s="288" t="s">
        <v>198</v>
      </c>
      <c r="E224" s="62"/>
      <c r="F224" s="59" t="s">
        <v>199</v>
      </c>
      <c r="G224" s="287">
        <v>0</v>
      </c>
      <c r="H224" s="82"/>
      <c r="I224" s="82"/>
      <c r="J224" s="82"/>
      <c r="K224" s="327"/>
    </row>
    <row r="225" spans="1:11" ht="15.75" customHeight="1" x14ac:dyDescent="0.2">
      <c r="A225" s="39">
        <f>+A224+1</f>
        <v>140</v>
      </c>
      <c r="B225" s="40"/>
      <c r="C225" s="288" t="s">
        <v>200</v>
      </c>
      <c r="D225" s="290" t="s">
        <v>201</v>
      </c>
      <c r="E225" s="62"/>
      <c r="F225" s="59"/>
      <c r="G225" s="291">
        <f>IF(G222&gt;0,1-(((1-G223)*(1-G222))/(1-G223*G222*G224)),0)</f>
        <v>0.20999999999999996</v>
      </c>
      <c r="H225" s="82"/>
      <c r="I225" s="82"/>
      <c r="J225" s="82"/>
      <c r="K225" s="327"/>
    </row>
    <row r="226" spans="1:11" ht="15.75" customHeight="1" x14ac:dyDescent="0.2">
      <c r="A226" s="39">
        <f>+A225+1</f>
        <v>141</v>
      </c>
      <c r="B226" s="40"/>
      <c r="C226" s="288" t="s">
        <v>202</v>
      </c>
      <c r="D226" s="289"/>
      <c r="E226" s="62"/>
      <c r="F226" s="59"/>
      <c r="G226" s="287">
        <f>+G225/(1-G225)</f>
        <v>0.2658227848101265</v>
      </c>
      <c r="H226" s="82"/>
      <c r="I226" s="82"/>
      <c r="J226" s="82"/>
      <c r="K226" s="327"/>
    </row>
    <row r="227" spans="1:11" ht="15.75" customHeight="1" x14ac:dyDescent="0.2">
      <c r="A227" s="39"/>
      <c r="B227" s="40"/>
      <c r="C227" s="34"/>
      <c r="D227" s="34"/>
      <c r="E227" s="292"/>
      <c r="F227" s="293"/>
      <c r="G227" s="291"/>
      <c r="H227" s="82"/>
      <c r="I227" s="82"/>
      <c r="J227" s="82"/>
      <c r="K227" s="327"/>
    </row>
    <row r="228" spans="1:11" ht="15.75" customHeight="1" x14ac:dyDescent="0.25">
      <c r="A228" s="39"/>
      <c r="B228" s="285" t="s">
        <v>203</v>
      </c>
      <c r="C228" s="127"/>
      <c r="D228" s="34"/>
      <c r="E228" s="103" t="e">
        <f>"(Note "&amp;#REF!&amp;")"</f>
        <v>#REF!</v>
      </c>
      <c r="F228" s="36"/>
      <c r="G228" s="294"/>
      <c r="H228" s="82"/>
      <c r="I228" s="82"/>
      <c r="J228" s="82"/>
      <c r="K228" s="327"/>
    </row>
    <row r="229" spans="1:11" ht="15.75" customHeight="1" x14ac:dyDescent="0.2">
      <c r="A229" s="39">
        <f>+A226+1</f>
        <v>142</v>
      </c>
      <c r="B229" s="40"/>
      <c r="C229" s="91" t="s">
        <v>204</v>
      </c>
      <c r="D229" s="57" t="e">
        <f>"(Note "&amp;#REF!&amp;")"</f>
        <v>#REF!</v>
      </c>
      <c r="E229" s="58" t="s">
        <v>205</v>
      </c>
      <c r="F229" s="171" t="s">
        <v>56</v>
      </c>
      <c r="G229" s="74">
        <f>+'[1]1 - ADIT'!H132</f>
        <v>0</v>
      </c>
      <c r="H229" s="82"/>
      <c r="I229" s="82"/>
      <c r="J229" s="82"/>
      <c r="K229" s="327"/>
    </row>
    <row r="230" spans="1:11" ht="15.75" customHeight="1" x14ac:dyDescent="0.2">
      <c r="A230" s="39">
        <f>+A229+1</f>
        <v>143</v>
      </c>
      <c r="B230" s="40"/>
      <c r="C230" s="91" t="s">
        <v>206</v>
      </c>
      <c r="D230" s="57"/>
      <c r="E230" s="40"/>
      <c r="F230" s="73" t="str">
        <f>"(1 / (1-Line "&amp;A225&amp;"))"</f>
        <v>(1 / (1-Line 140))</v>
      </c>
      <c r="G230" s="263">
        <f>1/(1-G225)</f>
        <v>1.2658227848101264</v>
      </c>
      <c r="H230" s="82"/>
      <c r="I230" s="82"/>
      <c r="J230" s="82"/>
      <c r="K230" s="327"/>
    </row>
    <row r="231" spans="1:11" ht="15.75" customHeight="1" x14ac:dyDescent="0.2">
      <c r="A231" s="39">
        <f>+A230+1</f>
        <v>144</v>
      </c>
      <c r="B231" s="40"/>
      <c r="C231" s="127" t="s">
        <v>113</v>
      </c>
      <c r="D231" s="125"/>
      <c r="E231" s="269"/>
      <c r="F231" s="128" t="str">
        <f>"(Line "&amp;A$26&amp;")"</f>
        <v>(Line 14)</v>
      </c>
      <c r="G231" s="296" t="e">
        <f>+G26</f>
        <v>#REF!</v>
      </c>
      <c r="H231" s="109"/>
      <c r="I231" s="109"/>
      <c r="J231" s="109"/>
      <c r="K231" s="369"/>
    </row>
    <row r="232" spans="1:11" ht="15.75" customHeight="1" x14ac:dyDescent="0.25">
      <c r="A232" s="39">
        <f>+A231+1</f>
        <v>145</v>
      </c>
      <c r="B232" s="40"/>
      <c r="C232" s="297" t="s">
        <v>207</v>
      </c>
      <c r="D232" s="112"/>
      <c r="E232" s="103"/>
      <c r="F232" s="36" t="str">
        <f>"(Line "&amp;A229&amp;" *  "&amp;A230&amp;" * "&amp;A231&amp;")"</f>
        <v>(Line 142 *  143 * 144)</v>
      </c>
      <c r="G232" s="298" t="e">
        <f>+G229*G230*G231</f>
        <v>#REF!</v>
      </c>
      <c r="H232" s="82"/>
      <c r="I232" s="82"/>
      <c r="J232" s="82"/>
      <c r="K232" s="327"/>
    </row>
    <row r="233" spans="1:11" ht="15.75" customHeight="1" x14ac:dyDescent="0.25">
      <c r="A233" s="39"/>
      <c r="B233" s="40"/>
      <c r="C233" s="232"/>
      <c r="D233" s="57"/>
      <c r="E233" s="103"/>
      <c r="F233" s="36"/>
      <c r="G233" s="299"/>
      <c r="H233" s="82"/>
      <c r="I233" s="82"/>
      <c r="J233" s="82"/>
      <c r="K233" s="327"/>
    </row>
    <row r="234" spans="1:11" ht="15.75" customHeight="1" x14ac:dyDescent="0.25">
      <c r="A234" s="39"/>
      <c r="B234" s="285" t="s">
        <v>208</v>
      </c>
      <c r="C234" s="232"/>
      <c r="D234" s="57"/>
      <c r="E234" s="103"/>
      <c r="F234" s="36"/>
      <c r="G234" s="299"/>
      <c r="H234" s="82">
        <v>-3962122.5756236343</v>
      </c>
      <c r="I234" s="82">
        <v>-3549779.0332462043</v>
      </c>
      <c r="J234" s="82">
        <f t="shared" ref="J234" si="17">H234-I234</f>
        <v>-412343.54237743001</v>
      </c>
      <c r="K234" s="327">
        <f t="shared" ref="K234" si="18">(H234-I234)/I234</f>
        <v>0.1161603408312291</v>
      </c>
    </row>
    <row r="235" spans="1:11" ht="15.75" customHeight="1" x14ac:dyDescent="0.25">
      <c r="A235" s="39" t="s">
        <v>209</v>
      </c>
      <c r="B235" s="285"/>
      <c r="C235" s="232" t="s">
        <v>210</v>
      </c>
      <c r="D235" s="57"/>
      <c r="E235" s="207"/>
      <c r="F235" s="63" t="s">
        <v>22</v>
      </c>
      <c r="G235" s="299">
        <f>'[1]5 - Cost Support'!H253</f>
        <v>-3406526.2511169529</v>
      </c>
      <c r="H235" s="82">
        <v>-5015345.0324349795</v>
      </c>
      <c r="I235" s="82">
        <v>-4493391.1813243087</v>
      </c>
      <c r="J235" s="82">
        <f t="shared" ref="J235:K250" si="19">H235-I235</f>
        <v>-521953.85111067072</v>
      </c>
      <c r="K235" s="327">
        <f t="shared" ref="K235:K286" si="20">(H235-I235)/I235</f>
        <v>0.11616034083122907</v>
      </c>
    </row>
    <row r="236" spans="1:11" ht="15.75" customHeight="1" x14ac:dyDescent="0.25">
      <c r="A236" s="39" t="s">
        <v>211</v>
      </c>
      <c r="B236" s="40"/>
      <c r="C236" s="232" t="s">
        <v>212</v>
      </c>
      <c r="D236" s="34" t="s">
        <v>213</v>
      </c>
      <c r="F236" s="36" t="s">
        <v>214</v>
      </c>
      <c r="G236" s="299">
        <f>G235*(1/(1-G225))</f>
        <v>-4312058.5457176613</v>
      </c>
      <c r="H236" s="82"/>
      <c r="I236" s="82"/>
      <c r="J236" s="82"/>
      <c r="K236" s="327"/>
    </row>
    <row r="237" spans="1:11" ht="15.75" customHeight="1" x14ac:dyDescent="0.25">
      <c r="A237" s="39"/>
      <c r="B237" s="40"/>
      <c r="C237" s="232"/>
      <c r="D237" s="57"/>
      <c r="E237" s="300"/>
      <c r="F237" s="301"/>
      <c r="G237" s="302"/>
      <c r="H237" s="82">
        <v>15759359.816093279</v>
      </c>
      <c r="I237" s="82">
        <v>13538576.19077573</v>
      </c>
      <c r="J237" s="82">
        <f t="shared" ref="J237" si="21">H237-I237</f>
        <v>2220783.6253175493</v>
      </c>
      <c r="K237" s="327">
        <f t="shared" ref="K237" si="22">(H237-I237)/I237</f>
        <v>0.16403376500038763</v>
      </c>
    </row>
    <row r="238" spans="1:11" ht="15.75" customHeight="1" x14ac:dyDescent="0.25">
      <c r="A238" s="39">
        <f>+A232+1</f>
        <v>146</v>
      </c>
      <c r="B238" s="189" t="s">
        <v>215</v>
      </c>
      <c r="C238" s="4"/>
      <c r="D238" s="34" t="s">
        <v>216</v>
      </c>
      <c r="E238" s="35"/>
      <c r="F238" s="36" t="str">
        <f>"[Line "&amp;A226&amp;" * "&amp;A217&amp;" * (1-("&amp;A212&amp;" / "&amp;A215&amp;"))]"</f>
        <v>[Line 141 * 136 * (1-(132 / 135))]</v>
      </c>
      <c r="G238" s="303" t="e">
        <f>+G226*(1-G212/G215)*G217</f>
        <v>#REF!</v>
      </c>
      <c r="H238" s="82"/>
      <c r="I238" s="82"/>
      <c r="J238" s="82"/>
      <c r="K238" s="327"/>
    </row>
    <row r="239" spans="1:11" ht="15.75" customHeight="1" x14ac:dyDescent="0.2">
      <c r="A239" s="39"/>
      <c r="B239" s="40"/>
      <c r="C239" s="304"/>
      <c r="D239" s="57"/>
      <c r="E239" s="102"/>
      <c r="F239" s="183"/>
      <c r="G239" s="305"/>
      <c r="H239" s="82"/>
      <c r="I239" s="82"/>
      <c r="J239" s="82"/>
      <c r="K239" s="327"/>
    </row>
    <row r="240" spans="1:11" ht="16.5" customHeight="1" thickBot="1" x14ac:dyDescent="0.3">
      <c r="A240" s="39">
        <f>+A238+1</f>
        <v>147</v>
      </c>
      <c r="B240" s="281" t="s">
        <v>217</v>
      </c>
      <c r="C240" s="281"/>
      <c r="D240" s="242"/>
      <c r="E240" s="132"/>
      <c r="F240" s="133" t="str">
        <f>"(Line "&amp;A232&amp;" + 145b + "&amp;A238&amp;")"</f>
        <v>(Line 145 + 145b + 146)</v>
      </c>
      <c r="G240" s="306" t="e">
        <f>+G238+G236+G232</f>
        <v>#REF!</v>
      </c>
      <c r="H240" s="223">
        <v>365197.87552877341</v>
      </c>
      <c r="I240" s="223">
        <v>379605.61596534407</v>
      </c>
      <c r="J240" s="412">
        <f t="shared" si="19"/>
        <v>-14407.740436570661</v>
      </c>
      <c r="K240" s="397">
        <f t="shared" si="20"/>
        <v>-3.7954497590694254E-2</v>
      </c>
    </row>
    <row r="241" spans="1:11" ht="16.5" customHeight="1" thickTop="1" x14ac:dyDescent="0.2">
      <c r="A241" s="39"/>
      <c r="B241" s="40"/>
      <c r="C241" s="290"/>
      <c r="D241" s="34"/>
      <c r="E241" s="62"/>
      <c r="F241" s="152"/>
      <c r="G241" s="307"/>
      <c r="H241" s="82"/>
      <c r="I241" s="82"/>
      <c r="J241" s="82"/>
      <c r="K241" s="327"/>
    </row>
    <row r="242" spans="1:11" ht="15.75" customHeight="1" x14ac:dyDescent="0.25">
      <c r="A242" s="95" t="s">
        <v>218</v>
      </c>
      <c r="B242" s="17"/>
      <c r="C242" s="205"/>
      <c r="D242" s="18"/>
      <c r="E242" s="19"/>
      <c r="F242" s="96"/>
      <c r="G242" s="97"/>
      <c r="H242" s="82"/>
      <c r="I242" s="82"/>
      <c r="J242" s="82"/>
      <c r="K242" s="82"/>
    </row>
    <row r="243" spans="1:11" ht="15.75" customHeight="1" x14ac:dyDescent="0.2">
      <c r="A243" s="61"/>
      <c r="B243" s="4"/>
      <c r="C243" s="4"/>
      <c r="D243" s="4"/>
      <c r="E243" s="62"/>
      <c r="F243" s="63"/>
      <c r="G243" s="137"/>
      <c r="H243" s="82"/>
      <c r="I243" s="82"/>
      <c r="J243" s="82"/>
      <c r="K243" s="327"/>
    </row>
    <row r="244" spans="1:11" ht="15.75" customHeight="1" x14ac:dyDescent="0.25">
      <c r="A244" s="61"/>
      <c r="B244" s="189" t="s">
        <v>219</v>
      </c>
      <c r="C244" s="4"/>
      <c r="D244" s="4"/>
      <c r="E244" s="62"/>
      <c r="F244" s="63"/>
      <c r="G244" s="137"/>
      <c r="H244" s="82"/>
      <c r="I244" s="82"/>
      <c r="J244" s="82"/>
      <c r="K244" s="327"/>
    </row>
    <row r="245" spans="1:11" ht="15.75" customHeight="1" x14ac:dyDescent="0.2">
      <c r="A245" s="61">
        <f>+A240+1</f>
        <v>148</v>
      </c>
      <c r="B245" s="4"/>
      <c r="C245" s="4" t="s">
        <v>220</v>
      </c>
      <c r="D245" s="4"/>
      <c r="E245" s="62"/>
      <c r="F245" s="36" t="str">
        <f>"(Line "&amp;A61&amp;")"</f>
        <v>(Line 37)</v>
      </c>
      <c r="G245" s="134" t="e">
        <f>+G61</f>
        <v>#REF!</v>
      </c>
      <c r="H245" s="85">
        <v>42202846.15384616</v>
      </c>
      <c r="I245" s="85">
        <v>43819538.461538456</v>
      </c>
      <c r="J245" s="82">
        <f t="shared" si="19"/>
        <v>-1616692.3076922968</v>
      </c>
      <c r="K245" s="327">
        <f t="shared" si="20"/>
        <v>-3.6894325327303697E-2</v>
      </c>
    </row>
    <row r="246" spans="1:11" ht="15.75" customHeight="1" x14ac:dyDescent="0.2">
      <c r="A246" s="39">
        <f>+A245+1</f>
        <v>149</v>
      </c>
      <c r="B246" s="4"/>
      <c r="C246" s="4" t="s">
        <v>221</v>
      </c>
      <c r="D246" s="4"/>
      <c r="E246" s="62"/>
      <c r="F246" s="128" t="str">
        <f>"(Line "&amp;A100&amp;")"</f>
        <v>(Line 58)</v>
      </c>
      <c r="G246" s="134" t="e">
        <f>+G100</f>
        <v>#REF!</v>
      </c>
      <c r="H246" s="85">
        <v>0</v>
      </c>
      <c r="I246" s="85">
        <v>0</v>
      </c>
      <c r="J246" s="109">
        <f t="shared" si="19"/>
        <v>0</v>
      </c>
      <c r="K246" s="109">
        <f t="shared" si="19"/>
        <v>0</v>
      </c>
    </row>
    <row r="247" spans="1:11" ht="15.75" customHeight="1" x14ac:dyDescent="0.25">
      <c r="A247" s="39">
        <f>+A246+1</f>
        <v>150</v>
      </c>
      <c r="B247" s="40"/>
      <c r="C247" s="309" t="s">
        <v>84</v>
      </c>
      <c r="D247" s="180"/>
      <c r="E247" s="310"/>
      <c r="F247" s="36" t="str">
        <f>"(Line "&amp;A102&amp;")"</f>
        <v>(Line 59)</v>
      </c>
      <c r="G247" s="311" t="e">
        <f>+G102</f>
        <v>#REF!</v>
      </c>
      <c r="H247" s="422">
        <v>42202846.15384616</v>
      </c>
      <c r="I247" s="422">
        <v>43819538.461538456</v>
      </c>
      <c r="J247" s="216">
        <f t="shared" si="19"/>
        <v>-1616692.3076922968</v>
      </c>
      <c r="K247" s="398">
        <f t="shared" si="20"/>
        <v>-3.6894325327303697E-2</v>
      </c>
    </row>
    <row r="248" spans="1:11" ht="15.75" customHeight="1" x14ac:dyDescent="0.2">
      <c r="A248" s="39"/>
      <c r="B248" s="40"/>
      <c r="C248" s="91"/>
      <c r="D248" s="57"/>
      <c r="E248" s="35"/>
      <c r="F248" s="59"/>
      <c r="G248" s="134"/>
      <c r="H248" s="82"/>
      <c r="I248" s="82"/>
      <c r="J248" s="82"/>
      <c r="K248" s="327"/>
    </row>
    <row r="249" spans="1:11" ht="15.75" customHeight="1" x14ac:dyDescent="0.2">
      <c r="A249" s="39">
        <f>+A247+1</f>
        <v>151</v>
      </c>
      <c r="B249" s="34"/>
      <c r="C249" s="91" t="s">
        <v>85</v>
      </c>
      <c r="D249" s="34"/>
      <c r="E249" s="62"/>
      <c r="F249" s="36" t="str">
        <f>"(Line "&amp;A135&amp;")"</f>
        <v>(Line 82)</v>
      </c>
      <c r="G249" s="134" t="e">
        <f>+G135</f>
        <v>#REF!</v>
      </c>
      <c r="H249" s="85">
        <v>2188641.7495065359</v>
      </c>
      <c r="I249" s="85">
        <v>1679232.1744583808</v>
      </c>
      <c r="J249" s="82">
        <f t="shared" si="19"/>
        <v>509409.57504815515</v>
      </c>
      <c r="K249" s="327">
        <f t="shared" si="20"/>
        <v>0.30335863187736978</v>
      </c>
    </row>
    <row r="250" spans="1:11" ht="15.75" customHeight="1" x14ac:dyDescent="0.2">
      <c r="A250" s="39">
        <f>+A249+1</f>
        <v>152</v>
      </c>
      <c r="B250" s="34"/>
      <c r="C250" s="304" t="s">
        <v>222</v>
      </c>
      <c r="D250" s="34"/>
      <c r="E250" s="62"/>
      <c r="F250" s="36" t="str">
        <f>"(Line "&amp;A152&amp;")"</f>
        <v>(Line 92)</v>
      </c>
      <c r="G250" s="134">
        <f>+G152</f>
        <v>49360184.523502246</v>
      </c>
      <c r="H250" s="85">
        <v>1621521.6199999999</v>
      </c>
      <c r="I250" s="85">
        <v>1621729</v>
      </c>
      <c r="J250" s="82">
        <f t="shared" si="19"/>
        <v>-207.38000000012107</v>
      </c>
      <c r="K250" s="327">
        <f t="shared" si="20"/>
        <v>-1.2787586581982629E-4</v>
      </c>
    </row>
    <row r="251" spans="1:11" ht="15.75" customHeight="1" x14ac:dyDescent="0.2">
      <c r="A251" s="39">
        <f>+A250+1</f>
        <v>153</v>
      </c>
      <c r="B251" s="40"/>
      <c r="C251" s="91" t="s">
        <v>223</v>
      </c>
      <c r="D251" s="57"/>
      <c r="E251" s="35"/>
      <c r="F251" s="36" t="str">
        <f>"(Line "&amp;A158&amp;")"</f>
        <v>(Line 94)</v>
      </c>
      <c r="G251" s="134">
        <f>+G158</f>
        <v>547687.83000000007</v>
      </c>
      <c r="H251" s="85">
        <v>547687.83000000007</v>
      </c>
      <c r="I251" s="85">
        <v>542448</v>
      </c>
      <c r="J251" s="82">
        <f t="shared" ref="J251:K295" si="23">H251-I251</f>
        <v>5239.8300000000745</v>
      </c>
      <c r="K251" s="327">
        <f t="shared" si="20"/>
        <v>9.6595987080790677E-3</v>
      </c>
    </row>
    <row r="252" spans="1:11" ht="15.75" customHeight="1" x14ac:dyDescent="0.2">
      <c r="A252" s="39">
        <f>+A251+1</f>
        <v>154</v>
      </c>
      <c r="B252" s="40"/>
      <c r="C252" s="290" t="s">
        <v>224</v>
      </c>
      <c r="D252" s="57"/>
      <c r="E252" s="35"/>
      <c r="F252" s="36" t="str">
        <f>"(Line "&amp;A217&amp;")"</f>
        <v>(Line 136)</v>
      </c>
      <c r="G252" s="134" t="e">
        <f>+G217</f>
        <v>#REF!</v>
      </c>
      <c r="H252" s="85">
        <v>3141940.7721443172</v>
      </c>
      <c r="I252" s="85">
        <v>3272948.6899750475</v>
      </c>
      <c r="J252" s="82">
        <f t="shared" si="23"/>
        <v>-131007.91783073032</v>
      </c>
      <c r="K252" s="327">
        <f t="shared" si="20"/>
        <v>-4.0027489044360515E-2</v>
      </c>
    </row>
    <row r="253" spans="1:11" ht="15.75" customHeight="1" x14ac:dyDescent="0.2">
      <c r="A253" s="39">
        <f>+A252+1</f>
        <v>155</v>
      </c>
      <c r="B253" s="40"/>
      <c r="C253" s="290" t="s">
        <v>225</v>
      </c>
      <c r="D253" s="57"/>
      <c r="E253" s="35"/>
      <c r="F253" s="36" t="str">
        <f>"(Line "&amp;A240&amp;")"</f>
        <v>(Line 147)</v>
      </c>
      <c r="G253" s="134" t="e">
        <f>+G240</f>
        <v>#REF!</v>
      </c>
      <c r="H253" s="85">
        <v>365197.87552877341</v>
      </c>
      <c r="I253" s="85">
        <v>379605.61596534407</v>
      </c>
      <c r="J253" s="82">
        <f t="shared" si="23"/>
        <v>-14407.740436570661</v>
      </c>
      <c r="K253" s="327">
        <f t="shared" si="20"/>
        <v>-3.7954497590694254E-2</v>
      </c>
    </row>
    <row r="254" spans="1:11" ht="16.5" customHeight="1" thickBot="1" x14ac:dyDescent="0.25">
      <c r="A254" s="39"/>
      <c r="B254" s="40"/>
      <c r="C254" s="290"/>
      <c r="D254" s="57"/>
      <c r="E254" s="35"/>
      <c r="F254" s="59"/>
      <c r="G254" s="134"/>
      <c r="H254" s="85"/>
      <c r="I254" s="85"/>
      <c r="J254" s="82"/>
      <c r="K254" s="327"/>
    </row>
    <row r="255" spans="1:11" ht="18.75" customHeight="1" thickBot="1" x14ac:dyDescent="0.3">
      <c r="A255" s="312">
        <f>+A253+1</f>
        <v>156</v>
      </c>
      <c r="B255" s="313"/>
      <c r="C255" s="314" t="s">
        <v>226</v>
      </c>
      <c r="D255" s="315"/>
      <c r="E255" s="316"/>
      <c r="F255" s="317" t="str">
        <f>"(Sum Lines "&amp;A249&amp;" to "&amp;A253&amp;")"</f>
        <v>(Sum Lines 151 to 155)</v>
      </c>
      <c r="G255" s="317" t="e">
        <f>SUM(G253,G252,G251,G250,G249)</f>
        <v>#REF!</v>
      </c>
      <c r="H255" s="414">
        <v>7864989.8471796261</v>
      </c>
      <c r="I255" s="414">
        <v>7495963.4803987723</v>
      </c>
      <c r="J255" s="413">
        <f t="shared" si="23"/>
        <v>369026.36678085383</v>
      </c>
      <c r="K255" s="436">
        <f t="shared" si="20"/>
        <v>4.9230011291520097E-2</v>
      </c>
    </row>
    <row r="256" spans="1:11" ht="18" customHeight="1" x14ac:dyDescent="0.25">
      <c r="A256" s="318"/>
      <c r="B256" s="319"/>
      <c r="C256" s="320"/>
      <c r="D256" s="321"/>
      <c r="E256" s="322"/>
      <c r="F256" s="279"/>
      <c r="G256" s="323"/>
      <c r="H256" s="82"/>
      <c r="I256" s="82"/>
      <c r="J256" s="82"/>
      <c r="K256" s="327"/>
    </row>
    <row r="257" spans="1:11" ht="18" customHeight="1" x14ac:dyDescent="0.25">
      <c r="A257" s="318"/>
      <c r="B257" s="232" t="s">
        <v>227</v>
      </c>
      <c r="C257" s="320"/>
      <c r="D257" s="321"/>
      <c r="E257" s="322"/>
      <c r="F257" s="279"/>
      <c r="G257" s="323"/>
      <c r="H257" s="82"/>
      <c r="I257" s="82"/>
      <c r="J257" s="82"/>
      <c r="K257" s="327"/>
    </row>
    <row r="258" spans="1:11" ht="18" customHeight="1" x14ac:dyDescent="0.25">
      <c r="A258" s="65">
        <f>+A255+1</f>
        <v>157</v>
      </c>
      <c r="B258" s="102"/>
      <c r="C258" s="91" t="str">
        <f>+C31</f>
        <v>Transmission Plant In Service</v>
      </c>
      <c r="D258" s="321"/>
      <c r="E258" s="322"/>
      <c r="F258" s="73" t="str">
        <f>"(Line "&amp;A33&amp;")"</f>
        <v>(Line 17)</v>
      </c>
      <c r="G258" s="85">
        <f>+G33</f>
        <v>1776046230.7692306</v>
      </c>
      <c r="H258" s="85">
        <v>94802615.384615391</v>
      </c>
      <c r="I258" s="85">
        <v>94798000</v>
      </c>
      <c r="J258" s="82">
        <f t="shared" si="23"/>
        <v>4615.3846153914928</v>
      </c>
      <c r="K258" s="327">
        <f t="shared" si="20"/>
        <v>4.8686518865287169E-5</v>
      </c>
    </row>
    <row r="259" spans="1:11" ht="18" customHeight="1" x14ac:dyDescent="0.25">
      <c r="A259" s="65">
        <f>+A258+1</f>
        <v>158</v>
      </c>
      <c r="B259" s="102"/>
      <c r="C259" s="104" t="s">
        <v>228</v>
      </c>
      <c r="D259" s="324"/>
      <c r="E259" s="68" t="e">
        <f>"(Note "&amp;#REF!&amp;")"</f>
        <v>#REF!</v>
      </c>
      <c r="F259" s="83" t="s">
        <v>22</v>
      </c>
      <c r="G259" s="325" t="e">
        <f>+#REF!+#REF!+H259</f>
        <v>#REF!</v>
      </c>
      <c r="H259" s="325">
        <v>0</v>
      </c>
      <c r="I259" s="325">
        <v>0</v>
      </c>
      <c r="J259" s="109">
        <f t="shared" si="23"/>
        <v>0</v>
      </c>
      <c r="K259" s="109">
        <f t="shared" si="23"/>
        <v>0</v>
      </c>
    </row>
    <row r="260" spans="1:11" ht="18" customHeight="1" x14ac:dyDescent="0.25">
      <c r="A260" s="65">
        <f>+A259+1</f>
        <v>159</v>
      </c>
      <c r="B260" s="102"/>
      <c r="C260" s="91" t="s">
        <v>229</v>
      </c>
      <c r="D260" s="321"/>
      <c r="E260" s="326"/>
      <c r="F260" s="73" t="str">
        <f>"(Line "&amp;A258&amp;" - "&amp;A259&amp;")"</f>
        <v>(Line 157 - 158)</v>
      </c>
      <c r="G260" s="85" t="e">
        <f>+G258-G259</f>
        <v>#REF!</v>
      </c>
      <c r="H260" s="85">
        <v>94802615.384615391</v>
      </c>
      <c r="I260" s="85">
        <v>94798000</v>
      </c>
      <c r="J260" s="82">
        <f t="shared" si="23"/>
        <v>4615.3846153914928</v>
      </c>
      <c r="K260" s="327">
        <f t="shared" si="20"/>
        <v>4.8686518865287169E-5</v>
      </c>
    </row>
    <row r="261" spans="1:11" s="5" customFormat="1" ht="18" customHeight="1" x14ac:dyDescent="0.25">
      <c r="A261" s="65">
        <f>+A260+1</f>
        <v>160</v>
      </c>
      <c r="B261" s="102"/>
      <c r="C261" s="91" t="s">
        <v>230</v>
      </c>
      <c r="D261" s="321"/>
      <c r="E261" s="326"/>
      <c r="F261" s="73" t="str">
        <f>"(Line "&amp;A260&amp;" / "&amp;A258&amp;")"</f>
        <v>(Line 159 / 157)</v>
      </c>
      <c r="G261" s="327" t="e">
        <f>+G260/G258</f>
        <v>#REF!</v>
      </c>
      <c r="H261" s="327">
        <v>1</v>
      </c>
      <c r="I261" s="327">
        <v>1</v>
      </c>
      <c r="J261" s="327">
        <f t="shared" si="23"/>
        <v>0</v>
      </c>
      <c r="K261" s="327">
        <f t="shared" si="20"/>
        <v>0</v>
      </c>
    </row>
    <row r="262" spans="1:11" ht="18" customHeight="1" x14ac:dyDescent="0.25">
      <c r="A262" s="65">
        <f>+A261+1</f>
        <v>161</v>
      </c>
      <c r="B262" s="102"/>
      <c r="C262" s="104" t="s">
        <v>226</v>
      </c>
      <c r="D262" s="324"/>
      <c r="E262" s="328"/>
      <c r="F262" s="83" t="str">
        <f>"(Line "&amp;A255&amp;")"</f>
        <v>(Line 156)</v>
      </c>
      <c r="G262" s="325" t="e">
        <f>+G255</f>
        <v>#REF!</v>
      </c>
      <c r="H262" s="325">
        <v>7864989.8471796261</v>
      </c>
      <c r="I262" s="325">
        <v>7495963.4803987723</v>
      </c>
      <c r="J262" s="109">
        <f t="shared" si="23"/>
        <v>369026.36678085383</v>
      </c>
      <c r="K262" s="369">
        <f t="shared" si="20"/>
        <v>4.9230011291520097E-2</v>
      </c>
    </row>
    <row r="263" spans="1:11" ht="18" customHeight="1" x14ac:dyDescent="0.25">
      <c r="A263" s="65">
        <f>+A262+1</f>
        <v>162</v>
      </c>
      <c r="B263" s="102"/>
      <c r="C263" s="33" t="s">
        <v>231</v>
      </c>
      <c r="D263" s="321"/>
      <c r="E263" s="329"/>
      <c r="F263" s="73" t="str">
        <f>"(Line "&amp;A261&amp;" * "&amp;A262&amp;")"</f>
        <v>(Line 160 * 161)</v>
      </c>
      <c r="G263" s="161" t="e">
        <f>+G262*G261</f>
        <v>#REF!</v>
      </c>
      <c r="H263" s="161">
        <v>7864989.8471796261</v>
      </c>
      <c r="I263" s="161">
        <v>7495963.4803987723</v>
      </c>
      <c r="J263" s="216">
        <f t="shared" si="23"/>
        <v>369026.36678085383</v>
      </c>
      <c r="K263" s="398">
        <f t="shared" si="20"/>
        <v>4.9230011291520097E-2</v>
      </c>
    </row>
    <row r="264" spans="1:11" ht="15.75" customHeight="1" x14ac:dyDescent="0.25">
      <c r="A264" s="135"/>
      <c r="B264" s="40"/>
      <c r="C264" s="91"/>
      <c r="D264" s="57"/>
      <c r="E264" s="330"/>
      <c r="F264" s="59"/>
      <c r="G264" s="94"/>
      <c r="H264" s="82"/>
      <c r="I264" s="82"/>
      <c r="J264" s="82"/>
      <c r="K264" s="327"/>
    </row>
    <row r="265" spans="1:11" ht="15.75" customHeight="1" x14ac:dyDescent="0.25">
      <c r="A265" s="135"/>
      <c r="B265" s="232" t="s">
        <v>232</v>
      </c>
      <c r="C265" s="91"/>
      <c r="D265" s="57"/>
      <c r="E265" s="330"/>
      <c r="F265" s="59"/>
      <c r="G265" s="94"/>
      <c r="H265" s="82"/>
      <c r="I265" s="82"/>
      <c r="J265" s="82"/>
      <c r="K265" s="327"/>
    </row>
    <row r="266" spans="1:11" ht="15.75" customHeight="1" x14ac:dyDescent="0.25">
      <c r="A266" s="65">
        <f>+A263+1</f>
        <v>163</v>
      </c>
      <c r="B266" s="4"/>
      <c r="C266" s="144" t="s">
        <v>233</v>
      </c>
      <c r="D266" s="57"/>
      <c r="E266" s="331"/>
      <c r="F266" s="59" t="s">
        <v>234</v>
      </c>
      <c r="G266" s="332">
        <f>+'[1]3 - Revenue Credits'!D22</f>
        <v>78588135.671559781</v>
      </c>
      <c r="H266" s="82">
        <v>480459.08367491409</v>
      </c>
      <c r="I266" s="82">
        <v>1168478.8874653839</v>
      </c>
      <c r="J266" s="82">
        <f t="shared" si="23"/>
        <v>-688019.80379046977</v>
      </c>
      <c r="K266" s="327">
        <f t="shared" si="20"/>
        <v>-0.58881663260762362</v>
      </c>
    </row>
    <row r="267" spans="1:11" ht="15.75" customHeight="1" x14ac:dyDescent="0.25">
      <c r="A267" s="65">
        <f>+A266+1</f>
        <v>164</v>
      </c>
      <c r="B267" s="4"/>
      <c r="C267" s="232" t="s">
        <v>235</v>
      </c>
      <c r="D267" s="57"/>
      <c r="E267" s="103" t="e">
        <f>"(Note "&amp;#REF!&amp;")"</f>
        <v>#REF!</v>
      </c>
      <c r="F267" s="59" t="s">
        <v>22</v>
      </c>
      <c r="G267" s="332" t="e">
        <f>#REF!+#REF!+H267</f>
        <v>#REF!</v>
      </c>
      <c r="H267" s="82">
        <v>0</v>
      </c>
      <c r="I267" s="82">
        <v>0</v>
      </c>
      <c r="J267" s="82"/>
      <c r="K267" s="327"/>
    </row>
    <row r="268" spans="1:11" ht="16.5" customHeight="1" thickBot="1" x14ac:dyDescent="0.3">
      <c r="A268" s="39"/>
      <c r="B268" s="40"/>
      <c r="C268" s="41"/>
      <c r="D268" s="41"/>
      <c r="E268" s="333"/>
      <c r="F268" s="59"/>
      <c r="G268" s="94"/>
      <c r="H268" s="82"/>
      <c r="I268" s="82"/>
      <c r="J268" s="82"/>
      <c r="K268" s="327"/>
    </row>
    <row r="269" spans="1:11" s="8" customFormat="1" ht="18.75" customHeight="1" thickBot="1" x14ac:dyDescent="0.3">
      <c r="A269" s="312">
        <f>+A267+1</f>
        <v>165</v>
      </c>
      <c r="B269" s="334"/>
      <c r="C269" s="335" t="s">
        <v>236</v>
      </c>
      <c r="D269" s="336"/>
      <c r="E269" s="337"/>
      <c r="F269" s="338" t="str">
        <f>"(Line "&amp;A263&amp;" - "&amp;A266&amp;" + "&amp;A267&amp;")"</f>
        <v>(Line 162 - 163 + 164)</v>
      </c>
      <c r="G269" s="317" t="e">
        <f>+G263-G266+G267</f>
        <v>#REF!</v>
      </c>
      <c r="H269" s="414">
        <v>7384530.7635047119</v>
      </c>
      <c r="I269" s="414">
        <v>6327484.5929333884</v>
      </c>
      <c r="J269" s="414">
        <f t="shared" si="23"/>
        <v>1057046.1705713235</v>
      </c>
      <c r="K269" s="436">
        <f t="shared" si="20"/>
        <v>0.16705630097493174</v>
      </c>
    </row>
    <row r="270" spans="1:11" ht="15.75" customHeight="1" x14ac:dyDescent="0.25">
      <c r="A270" s="135"/>
      <c r="B270" s="40"/>
      <c r="C270" s="41"/>
      <c r="D270" s="41"/>
      <c r="E270" s="62"/>
      <c r="F270" s="59"/>
      <c r="G270" s="94"/>
      <c r="H270" s="82"/>
      <c r="I270" s="82"/>
      <c r="J270" s="82"/>
      <c r="K270" s="327"/>
    </row>
    <row r="271" spans="1:11" ht="15.75" customHeight="1" x14ac:dyDescent="0.25">
      <c r="A271" s="65"/>
      <c r="B271" s="9" t="s">
        <v>237</v>
      </c>
      <c r="C271" s="41"/>
      <c r="D271" s="41"/>
      <c r="E271" s="62"/>
      <c r="F271" s="59"/>
      <c r="G271" s="94"/>
      <c r="H271" s="82"/>
      <c r="I271" s="82"/>
      <c r="J271" s="82"/>
      <c r="K271" s="327"/>
    </row>
    <row r="272" spans="1:11" ht="15.75" customHeight="1" x14ac:dyDescent="0.25">
      <c r="A272" s="65">
        <f>+A269+1</f>
        <v>166</v>
      </c>
      <c r="B272" s="102"/>
      <c r="C272" s="41" t="str">
        <f>+C255</f>
        <v>Gross Revenue Requirement</v>
      </c>
      <c r="D272" s="41"/>
      <c r="E272" s="43"/>
      <c r="F272" s="209" t="str">
        <f>"(Line "&amp;A255&amp;")"</f>
        <v>(Line 156)</v>
      </c>
      <c r="G272" s="303" t="e">
        <f>+G263</f>
        <v>#REF!</v>
      </c>
      <c r="H272" s="303">
        <v>7864989.8471796261</v>
      </c>
      <c r="I272" s="303">
        <v>7495963.4803987723</v>
      </c>
      <c r="J272" s="82">
        <f t="shared" si="23"/>
        <v>369026.36678085383</v>
      </c>
      <c r="K272" s="327">
        <f t="shared" si="20"/>
        <v>4.9230011291520097E-2</v>
      </c>
    </row>
    <row r="273" spans="1:11" ht="15.75" customHeight="1" x14ac:dyDescent="0.25">
      <c r="A273" s="65">
        <f>+A272+1</f>
        <v>167</v>
      </c>
      <c r="B273" s="102"/>
      <c r="C273" s="41" t="s">
        <v>238</v>
      </c>
      <c r="D273" s="41"/>
      <c r="E273" s="43"/>
      <c r="F273" s="209" t="str">
        <f>"(Line "&amp;A31&amp;" - "&amp;A47&amp;")"</f>
        <v>(Line 15 - 26)</v>
      </c>
      <c r="G273" s="303">
        <f>+G31-G47</f>
        <v>1103399209.4399996</v>
      </c>
      <c r="H273" s="303">
        <v>42202846.15384616</v>
      </c>
      <c r="I273" s="303">
        <v>43819538.461538456</v>
      </c>
      <c r="J273" s="82">
        <f t="shared" si="23"/>
        <v>-1616692.3076922968</v>
      </c>
      <c r="K273" s="327">
        <f t="shared" si="20"/>
        <v>-3.6894325327303697E-2</v>
      </c>
    </row>
    <row r="274" spans="1:11" ht="15.75" customHeight="1" x14ac:dyDescent="0.25">
      <c r="A274" s="65">
        <f>+A273+1</f>
        <v>168</v>
      </c>
      <c r="B274" s="102"/>
      <c r="C274" s="41" t="s">
        <v>239</v>
      </c>
      <c r="D274" s="41"/>
      <c r="E274" s="43"/>
      <c r="F274" s="209" t="str">
        <f>"(Line "&amp;A255&amp;" / "&amp;A273&amp;")"</f>
        <v>(Line 156 / 167)</v>
      </c>
      <c r="G274" s="60" t="e">
        <f>+G255/G273</f>
        <v>#REF!</v>
      </c>
      <c r="H274" s="60">
        <v>0.18636159794788745</v>
      </c>
      <c r="I274" s="60">
        <v>0.17106440970340603</v>
      </c>
      <c r="J274" s="82">
        <f t="shared" si="23"/>
        <v>1.5297188244481424E-2</v>
      </c>
      <c r="K274" s="327">
        <f t="shared" si="20"/>
        <v>8.9423558477206996E-2</v>
      </c>
    </row>
    <row r="275" spans="1:11" ht="15.75" customHeight="1" x14ac:dyDescent="0.25">
      <c r="A275" s="65">
        <f>+A274+1</f>
        <v>169</v>
      </c>
      <c r="B275" s="102"/>
      <c r="C275" s="41" t="s">
        <v>240</v>
      </c>
      <c r="D275" s="41"/>
      <c r="E275" s="43"/>
      <c r="F275" s="209" t="str">
        <f>"(Line "&amp;A255&amp;" - "&amp;A140&amp;") / "&amp;A273</f>
        <v>(Line 156 - 83) / 167</v>
      </c>
      <c r="G275" s="60" t="e">
        <f>(G255-G140)/G273</f>
        <v>#REF!</v>
      </c>
      <c r="H275" s="60">
        <v>0.14793950636456368</v>
      </c>
      <c r="I275" s="60">
        <v>0.13405514267464821</v>
      </c>
      <c r="J275" s="82">
        <f t="shared" si="23"/>
        <v>1.3884363689915469E-2</v>
      </c>
      <c r="K275" s="327">
        <f t="shared" si="20"/>
        <v>0.10357203321630722</v>
      </c>
    </row>
    <row r="276" spans="1:11" ht="15.75" customHeight="1" x14ac:dyDescent="0.25">
      <c r="A276" s="65">
        <f>+A275+1</f>
        <v>170</v>
      </c>
      <c r="B276" s="102"/>
      <c r="C276" s="41" t="s">
        <v>241</v>
      </c>
      <c r="D276" s="41"/>
      <c r="E276" s="43"/>
      <c r="F276" s="209" t="str">
        <f>"(Line "&amp;A255&amp;" - "&amp;A140&amp;" - "&amp;A217&amp;" - "&amp;A240&amp;") / "&amp;A273</f>
        <v>(Line 156 - 83 - 136 - 147) / 167</v>
      </c>
      <c r="G276" s="60" t="e">
        <f>(G255-G140-G217-G240)/G273</f>
        <v>#REF!</v>
      </c>
      <c r="H276" s="60">
        <v>6.483756023305931E-2</v>
      </c>
      <c r="I276" s="60">
        <v>5.0700674914876315E-2</v>
      </c>
      <c r="J276" s="82">
        <f t="shared" si="23"/>
        <v>1.4136885318182996E-2</v>
      </c>
      <c r="K276" s="327">
        <f t="shared" si="20"/>
        <v>0.27883031817462117</v>
      </c>
    </row>
    <row r="277" spans="1:11" ht="15.75" customHeight="1" x14ac:dyDescent="0.25">
      <c r="A277" s="65"/>
      <c r="B277" s="102"/>
      <c r="C277" s="41"/>
      <c r="D277" s="41"/>
      <c r="E277" s="43"/>
      <c r="F277" s="209"/>
      <c r="G277" s="60"/>
      <c r="H277" s="82"/>
      <c r="I277" s="82"/>
      <c r="J277" s="82"/>
      <c r="K277" s="327"/>
    </row>
    <row r="278" spans="1:11" ht="15.75" customHeight="1" x14ac:dyDescent="0.25">
      <c r="A278" s="65"/>
      <c r="B278" s="9" t="s">
        <v>242</v>
      </c>
      <c r="C278" s="41"/>
      <c r="D278" s="41"/>
      <c r="E278" s="43"/>
      <c r="F278" s="209"/>
      <c r="G278" s="60"/>
      <c r="H278" s="82"/>
      <c r="I278" s="82"/>
      <c r="J278" s="82"/>
      <c r="K278" s="327"/>
    </row>
    <row r="279" spans="1:11" ht="15.75" customHeight="1" x14ac:dyDescent="0.25">
      <c r="A279" s="65">
        <f>+A276+1</f>
        <v>171</v>
      </c>
      <c r="B279" s="102"/>
      <c r="C279" s="41" t="s">
        <v>243</v>
      </c>
      <c r="D279" s="41"/>
      <c r="E279" s="43"/>
      <c r="F279" s="209" t="str">
        <f>"(Line "&amp;A255&amp;" - "&amp;A252&amp;" - "&amp;A253&amp;")"</f>
        <v>(Line 156 - 154 - 155)</v>
      </c>
      <c r="G279" s="303" t="e">
        <f>+G255-G252-G253</f>
        <v>#REF!</v>
      </c>
      <c r="H279" s="303">
        <v>4357851.1995065361</v>
      </c>
      <c r="I279" s="303">
        <v>3843409.1744583808</v>
      </c>
      <c r="J279" s="82">
        <f t="shared" si="23"/>
        <v>514442.02504815534</v>
      </c>
      <c r="K279" s="327">
        <f t="shared" si="20"/>
        <v>0.1338504441491456</v>
      </c>
    </row>
    <row r="280" spans="1:11" ht="16.5" customHeight="1" x14ac:dyDescent="0.25">
      <c r="A280" s="65">
        <f>+A279+1</f>
        <v>172</v>
      </c>
      <c r="B280" s="102"/>
      <c r="C280" s="41" t="s">
        <v>244</v>
      </c>
      <c r="D280" s="41"/>
      <c r="E280" s="62"/>
      <c r="F280" s="209" t="s">
        <v>245</v>
      </c>
      <c r="G280" s="303">
        <f>+'[1]4 - 100 Basis Pt ROE'!G9</f>
        <v>86877408.266886964</v>
      </c>
      <c r="H280" s="303">
        <v>3767427.0670786379</v>
      </c>
      <c r="I280" s="303">
        <v>3928376.9156563347</v>
      </c>
      <c r="J280" s="82">
        <f t="shared" si="23"/>
        <v>-160949.84857769683</v>
      </c>
      <c r="K280" s="327">
        <f t="shared" si="20"/>
        <v>-4.0971080940894411E-2</v>
      </c>
    </row>
    <row r="281" spans="1:11" ht="16.5" customHeight="1" x14ac:dyDescent="0.25">
      <c r="A281" s="65">
        <f>+A280+1</f>
        <v>173</v>
      </c>
      <c r="B281" s="102"/>
      <c r="C281" s="41" t="s">
        <v>246</v>
      </c>
      <c r="D281" s="41"/>
      <c r="E281" s="62"/>
      <c r="F281" s="209" t="str">
        <f>"(Line "&amp;A279&amp;" + "&amp;A280&amp;")"</f>
        <v>(Line 171 + 172)</v>
      </c>
      <c r="G281" s="339" t="e">
        <f>+G280+G279</f>
        <v>#REF!</v>
      </c>
      <c r="H281" s="303">
        <v>8125278.266585174</v>
      </c>
      <c r="I281" s="303">
        <v>7771786.0901147155</v>
      </c>
      <c r="J281" s="82">
        <f t="shared" si="23"/>
        <v>353492.17647045851</v>
      </c>
      <c r="K281" s="327">
        <f t="shared" si="20"/>
        <v>4.5484033190270265E-2</v>
      </c>
    </row>
    <row r="282" spans="1:11" ht="15.75" customHeight="1" x14ac:dyDescent="0.25">
      <c r="A282" s="65">
        <f>+A281+1</f>
        <v>174</v>
      </c>
      <c r="B282" s="102"/>
      <c r="C282" s="41" t="str">
        <f>+C273</f>
        <v>Net Transmission Plant</v>
      </c>
      <c r="D282" s="41"/>
      <c r="E282" s="62"/>
      <c r="F282" s="59" t="str">
        <f>"(Line "&amp;A31&amp;" - "&amp;A47&amp;")"</f>
        <v>(Line 15 - 26)</v>
      </c>
      <c r="G282" s="339">
        <f>+G273</f>
        <v>1103399209.4399996</v>
      </c>
      <c r="H282" s="303">
        <v>42202846.15384616</v>
      </c>
      <c r="I282" s="303">
        <v>43819538.461538456</v>
      </c>
      <c r="J282" s="82">
        <f t="shared" si="23"/>
        <v>-1616692.3076922968</v>
      </c>
      <c r="K282" s="327">
        <f t="shared" si="20"/>
        <v>-3.6894325327303697E-2</v>
      </c>
    </row>
    <row r="283" spans="1:11" ht="15.75" customHeight="1" x14ac:dyDescent="0.25">
      <c r="A283" s="65">
        <f>+A282+1</f>
        <v>175</v>
      </c>
      <c r="B283" s="102"/>
      <c r="C283" s="41" t="s">
        <v>247</v>
      </c>
      <c r="D283" s="41"/>
      <c r="E283" s="62"/>
      <c r="F283" s="59" t="str">
        <f>"(Line "&amp;A281&amp;" / "&amp;A282&amp;")"</f>
        <v>(Line 173 / 174)</v>
      </c>
      <c r="G283" s="94" t="e">
        <f>+G281/G282</f>
        <v>#REF!</v>
      </c>
      <c r="H283" s="60">
        <v>0.1925291540045736</v>
      </c>
      <c r="I283" s="60">
        <v>0.17735892168139136</v>
      </c>
      <c r="J283" s="82">
        <f t="shared" si="23"/>
        <v>1.5170232323182237E-2</v>
      </c>
      <c r="K283" s="327">
        <f t="shared" si="20"/>
        <v>8.553408071816164E-2</v>
      </c>
    </row>
    <row r="284" spans="1:11" ht="15.75" customHeight="1" x14ac:dyDescent="0.25">
      <c r="A284" s="65">
        <f>+A283+1</f>
        <v>176</v>
      </c>
      <c r="B284" s="102"/>
      <c r="C284" s="41" t="s">
        <v>248</v>
      </c>
      <c r="D284" s="41"/>
      <c r="E284" s="62"/>
      <c r="F284" s="59" t="str">
        <f>"(Line "&amp;A281&amp;" - "&amp;A140&amp;") / "&amp;A282</f>
        <v>(Line 173 - 83) / 174</v>
      </c>
      <c r="G284" s="94" t="e">
        <f>(G281-G140)/G282</f>
        <v>#REF!</v>
      </c>
      <c r="H284" s="60">
        <v>0.15410706242124983</v>
      </c>
      <c r="I284" s="60">
        <v>0.14034965465263355</v>
      </c>
      <c r="J284" s="82">
        <f t="shared" si="23"/>
        <v>1.3757407768616281E-2</v>
      </c>
      <c r="K284" s="327">
        <f t="shared" si="20"/>
        <v>9.8022384185169315E-2</v>
      </c>
    </row>
    <row r="285" spans="1:11" ht="15.75" customHeight="1" x14ac:dyDescent="0.25">
      <c r="A285" s="65"/>
      <c r="B285" s="102"/>
      <c r="C285" s="41"/>
      <c r="D285" s="41"/>
      <c r="E285" s="62"/>
      <c r="F285" s="59"/>
      <c r="G285" s="94"/>
      <c r="H285" s="82"/>
      <c r="I285" s="82"/>
      <c r="J285" s="82"/>
      <c r="K285" s="327"/>
    </row>
    <row r="286" spans="1:11" ht="15.75" customHeight="1" x14ac:dyDescent="0.25">
      <c r="A286" s="65">
        <f>+A284+1</f>
        <v>177</v>
      </c>
      <c r="B286" s="102"/>
      <c r="C286" s="9" t="s">
        <v>236</v>
      </c>
      <c r="D286" s="41"/>
      <c r="E286" s="43"/>
      <c r="F286" s="59" t="str">
        <f>"(Line "&amp;A269&amp;")"</f>
        <v>(Line 165)</v>
      </c>
      <c r="G286" s="339" t="e">
        <f>+G269</f>
        <v>#REF!</v>
      </c>
      <c r="H286" s="303">
        <v>7384530.7635047119</v>
      </c>
      <c r="I286" s="303">
        <v>6327484.5929333884</v>
      </c>
      <c r="J286" s="82">
        <f t="shared" si="23"/>
        <v>1057046.1705713235</v>
      </c>
      <c r="K286" s="327">
        <f t="shared" si="20"/>
        <v>0.16705630097493174</v>
      </c>
    </row>
    <row r="287" spans="1:11" ht="15.75" customHeight="1" x14ac:dyDescent="0.25">
      <c r="A287" s="65">
        <f>+A286+1</f>
        <v>178</v>
      </c>
      <c r="B287" s="102"/>
      <c r="C287" s="41" t="s">
        <v>249</v>
      </c>
      <c r="D287" s="41"/>
      <c r="E287" s="35"/>
      <c r="F287" s="123" t="s">
        <v>34</v>
      </c>
      <c r="G287" s="303">
        <f>SUM(H287:H287)</f>
        <v>1331239.6190435521</v>
      </c>
      <c r="H287" s="303">
        <v>1331239.6190435521</v>
      </c>
      <c r="I287" s="303">
        <v>-227403.42724710761</v>
      </c>
      <c r="J287" s="82">
        <f t="shared" si="23"/>
        <v>1558643.0462906598</v>
      </c>
      <c r="K287" s="327">
        <f>(H287-I287)/I287</f>
        <v>-6.854087755665013</v>
      </c>
    </row>
    <row r="288" spans="1:11" ht="15.75" customHeight="1" x14ac:dyDescent="0.25">
      <c r="A288" s="65">
        <f>+A287+1</f>
        <v>179</v>
      </c>
      <c r="B288" s="102"/>
      <c r="C288" s="340" t="s">
        <v>250</v>
      </c>
      <c r="D288" s="41"/>
      <c r="E288" s="35"/>
      <c r="F288" s="123" t="s">
        <v>251</v>
      </c>
      <c r="G288" s="303">
        <f>+'[1]7 - Cap Add WS'!M32</f>
        <v>0</v>
      </c>
      <c r="H288" s="303">
        <v>0</v>
      </c>
      <c r="I288" s="303">
        <v>0</v>
      </c>
      <c r="J288" s="82"/>
      <c r="K288" s="327"/>
    </row>
    <row r="289" spans="1:150" ht="15.75" customHeight="1" x14ac:dyDescent="0.25">
      <c r="A289" s="65">
        <f>+A288+1</f>
        <v>180</v>
      </c>
      <c r="B289" s="102"/>
      <c r="C289" s="57" t="s">
        <v>252</v>
      </c>
      <c r="D289" s="341"/>
      <c r="E289" s="103"/>
      <c r="F289" s="209" t="s">
        <v>253</v>
      </c>
      <c r="G289" s="303">
        <v>0</v>
      </c>
      <c r="H289" s="303">
        <v>0</v>
      </c>
      <c r="I289" s="303">
        <v>0</v>
      </c>
      <c r="J289" s="82"/>
      <c r="K289" s="327"/>
      <c r="ET289" s="3">
        <f>SUM(A289:ES289)</f>
        <v>180</v>
      </c>
    </row>
    <row r="290" spans="1:150" ht="15.75" customHeight="1" x14ac:dyDescent="0.25">
      <c r="A290" s="65">
        <f>+A289+1</f>
        <v>181</v>
      </c>
      <c r="B290" s="102"/>
      <c r="C290" s="9" t="s">
        <v>254</v>
      </c>
      <c r="D290" s="41"/>
      <c r="E290" s="43"/>
      <c r="F290" s="59" t="str">
        <f>"(Line "&amp;A286&amp;" - "&amp;A287&amp;" + "&amp;A288&amp;" + "&amp;A289&amp;")"</f>
        <v>(Line 177 - 178 + 179 + 180)</v>
      </c>
      <c r="G290" s="303" t="e">
        <f>SUM(G286:G289)</f>
        <v>#REF!</v>
      </c>
      <c r="H290" s="303">
        <v>8715770.3825482633</v>
      </c>
      <c r="I290" s="303">
        <v>6100081.1656862805</v>
      </c>
      <c r="J290" s="82">
        <f t="shared" si="23"/>
        <v>2615689.2168619828</v>
      </c>
      <c r="K290" s="327">
        <f t="shared" ref="K290:K295" si="24">(H290-I290)/I290</f>
        <v>0.4287958054682226</v>
      </c>
    </row>
    <row r="291" spans="1:150" ht="15.75" customHeight="1" x14ac:dyDescent="0.25">
      <c r="A291" s="65"/>
      <c r="B291" s="40"/>
      <c r="C291" s="41"/>
      <c r="D291" s="41"/>
      <c r="E291" s="62"/>
      <c r="F291" s="59"/>
      <c r="G291" s="60"/>
      <c r="H291" s="82"/>
      <c r="I291" s="82"/>
      <c r="J291" s="82"/>
      <c r="K291" s="327"/>
    </row>
    <row r="292" spans="1:150" ht="15.75" customHeight="1" x14ac:dyDescent="0.25">
      <c r="A292" s="65"/>
      <c r="B292" s="144" t="s">
        <v>255</v>
      </c>
      <c r="C292" s="41"/>
      <c r="D292" s="41"/>
      <c r="E292" s="62"/>
      <c r="F292" s="59"/>
      <c r="G292" s="60"/>
      <c r="H292" s="38"/>
      <c r="I292" s="38"/>
      <c r="J292" s="82"/>
      <c r="K292" s="327"/>
    </row>
    <row r="293" spans="1:150" ht="15.75" customHeight="1" x14ac:dyDescent="0.25">
      <c r="A293" s="65">
        <f>+A290+1</f>
        <v>182</v>
      </c>
      <c r="B293" s="102"/>
      <c r="C293" s="304" t="s">
        <v>256</v>
      </c>
      <c r="D293" s="343" t="s">
        <v>193</v>
      </c>
      <c r="E293" s="103" t="s">
        <v>257</v>
      </c>
      <c r="F293" s="45" t="s">
        <v>258</v>
      </c>
      <c r="G293" s="344">
        <f>+'[1]WKSHT4 - Monthly Tx System Peak'!C26</f>
        <v>4453205.3016066216</v>
      </c>
      <c r="H293" s="339">
        <v>675000</v>
      </c>
      <c r="I293" s="339">
        <v>700000</v>
      </c>
      <c r="J293" s="82">
        <f t="shared" si="23"/>
        <v>-25000</v>
      </c>
      <c r="K293" s="327">
        <f t="shared" si="24"/>
        <v>-3.5714285714285712E-2</v>
      </c>
    </row>
    <row r="294" spans="1:150" ht="15.75" customHeight="1" x14ac:dyDescent="0.25">
      <c r="A294" s="101">
        <f>+A293+1</f>
        <v>183</v>
      </c>
      <c r="B294" s="57"/>
      <c r="C294" s="304" t="s">
        <v>255</v>
      </c>
      <c r="D294" s="345"/>
      <c r="E294" s="346"/>
      <c r="F294" s="36" t="str">
        <f>"(Line "&amp;A290&amp;" / "&amp;A293&amp;")"</f>
        <v>(Line 181 / 182)</v>
      </c>
      <c r="G294" s="347"/>
      <c r="H294" s="376">
        <v>12.91225241859002</v>
      </c>
      <c r="I294" s="376">
        <v>8.7144016652661147</v>
      </c>
      <c r="J294" s="372">
        <f t="shared" si="23"/>
        <v>4.1978507533239053</v>
      </c>
      <c r="K294" s="327">
        <f t="shared" si="24"/>
        <v>0.48171416863371241</v>
      </c>
    </row>
    <row r="295" spans="1:150" ht="15.75" customHeight="1" thickBot="1" x14ac:dyDescent="0.3">
      <c r="A295" s="349">
        <f>+A294+1</f>
        <v>184</v>
      </c>
      <c r="B295" s="350"/>
      <c r="C295" s="351" t="s">
        <v>259</v>
      </c>
      <c r="D295" s="352"/>
      <c r="E295" s="353"/>
      <c r="F295" s="399" t="str">
        <f>"(Line "&amp;A293&amp;" / 12)"</f>
        <v>(Line 182 / 12)</v>
      </c>
      <c r="G295" s="355"/>
      <c r="H295" s="418">
        <v>1.0760210348825017</v>
      </c>
      <c r="I295" s="418">
        <v>0.72620013877217626</v>
      </c>
      <c r="J295" s="400">
        <f t="shared" si="23"/>
        <v>0.34982089611032541</v>
      </c>
      <c r="K295" s="428">
        <f t="shared" si="24"/>
        <v>0.4817141686337123</v>
      </c>
    </row>
    <row r="296" spans="1:150" ht="15.75" x14ac:dyDescent="0.25">
      <c r="A296" s="102"/>
      <c r="B296" s="102"/>
      <c r="C296" s="3"/>
      <c r="D296" s="57"/>
      <c r="E296" s="346"/>
      <c r="F296" s="358"/>
      <c r="G296" s="357"/>
      <c r="H296" s="308"/>
      <c r="I296" s="308"/>
      <c r="J296" s="308"/>
    </row>
  </sheetData>
  <mergeCells count="1">
    <mergeCell ref="H3:K3"/>
  </mergeCells>
  <pageMargins left="0.7" right="0.7" top="0.75" bottom="0.75" header="0.3" footer="0.3"/>
  <pageSetup scale="10" fitToHeight="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</vt:lpstr>
      <vt:lpstr>Colstrip</vt:lpstr>
      <vt:lpstr>Southern Intertie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Dillender, Lynn</dc:creator>
  <cp:lastModifiedBy>Dillender, Lynn</cp:lastModifiedBy>
  <cp:lastPrinted>2024-05-07T23:56:05Z</cp:lastPrinted>
  <dcterms:created xsi:type="dcterms:W3CDTF">2024-05-03T20:52:42Z</dcterms:created>
  <dcterms:modified xsi:type="dcterms:W3CDTF">2025-06-23T21:01:37Z</dcterms:modified>
</cp:coreProperties>
</file>