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Z:\Federal &amp; Regional Policy\PSE Transmission Rates\OATT Formula Rates\Formula Rate Annual Updates\2026 Annual Update\"/>
    </mc:Choice>
  </mc:AlternateContent>
  <xr:revisionPtr revIDLastSave="0" documentId="13_ncr:1_{8F428265-E920-4C16-9743-23304D456934}" xr6:coauthVersionLast="47" xr6:coauthVersionMax="47" xr10:uidLastSave="{00000000-0000-0000-0000-000000000000}"/>
  <bookViews>
    <workbookView xWindow="-25320" yWindow="-120" windowWidth="25440" windowHeight="15270" tabRatio="826" activeTab="1" xr2:uid="{00000000-000D-0000-FFFF-FFFF00000000}"/>
  </bookViews>
  <sheets>
    <sheet name="Sch 1" sheetId="33" r:id="rId1"/>
    <sheet name="ATT H-1 " sheetId="31" r:id="rId2"/>
    <sheet name="1 - ADIT" sheetId="2" r:id="rId3"/>
    <sheet name="2 - Other Tax" sheetId="3" r:id="rId4"/>
    <sheet name="3 - Revenue Credits" sheetId="5" r:id="rId5"/>
    <sheet name="4 - 100 Basis Pt ROE" sheetId="22" r:id="rId6"/>
    <sheet name="5 - Cost Support" sheetId="20" r:id="rId7"/>
    <sheet name="6 - Est and True up" sheetId="34" r:id="rId8"/>
    <sheet name="6A-Colstrip" sheetId="45" r:id="rId9"/>
    <sheet name="6B-So Intertie" sheetId="46" r:id="rId10"/>
    <sheet name="7 - Cap Add WS" sheetId="39" r:id="rId11"/>
    <sheet name="8 - Depreciation Rates" sheetId="40" r:id="rId12"/>
    <sheet name="WKSHT1 - Rev Credits" sheetId="19" r:id="rId13"/>
    <sheet name="WKSHT2 - Prepaid" sheetId="23" r:id="rId14"/>
    <sheet name="WKSHT3 - All GIFs" sheetId="38" r:id="rId15"/>
    <sheet name="WKSHT4 - Monthly Tx System Peak" sheetId="41" r:id="rId16"/>
    <sheet name="WKSHT5 - Plant in Service 13mo " sheetId="43" r:id="rId17"/>
    <sheet name="WKSHT6 - Cost of Capital" sheetId="44" r:id="rId18"/>
    <sheet name="WKSHT7 - EDIT" sheetId="47" r:id="rId19"/>
  </sheets>
  <externalReferences>
    <externalReference r:id="rId20"/>
    <externalReference r:id="rId21"/>
    <externalReference r:id="rId22"/>
    <externalReference r:id="rId23"/>
    <externalReference r:id="rId24"/>
    <externalReference r:id="rId25"/>
  </externalReferences>
  <definedNames>
    <definedName name="\0" localSheetId="17">'[1]Header Data'!#REF!</definedName>
    <definedName name="\0">#N/A</definedName>
    <definedName name="\1">'[1]Header Data'!#REF!</definedName>
    <definedName name="\b">#N/A</definedName>
    <definedName name="\c">#N/A</definedName>
    <definedName name="\d">#N/A</definedName>
    <definedName name="\E">#REF!</definedName>
    <definedName name="\f">#N/A</definedName>
    <definedName name="\m">#N/A</definedName>
    <definedName name="__123Graph_A" hidden="1">'[2]AL2 151'!#REF!</definedName>
    <definedName name="__123Graph_B" hidden="1">'[2]AL2 151'!#REF!</definedName>
    <definedName name="__123Graph_C" hidden="1">'[2]AL2 151'!#REF!</definedName>
    <definedName name="__123Graph_D" hidden="1">'[2]AL2 151'!#REF!</definedName>
    <definedName name="__123Graph_E" hidden="1">'[2]AL2 151'!#REF!</definedName>
    <definedName name="__123Graph_F" hidden="1">'[2]AL2 151'!#REF!</definedName>
    <definedName name="__123Graph_X" hidden="1">'[2]AL2 151'!#REF!</definedName>
    <definedName name="__CPK1" localSheetId="10">#REF!</definedName>
    <definedName name="__CPK1">#REF!</definedName>
    <definedName name="__CPK2">#REF!</definedName>
    <definedName name="__CPK3">#REF!</definedName>
    <definedName name="__EGR1">#N/A</definedName>
    <definedName name="__EGR2">#N/A</definedName>
    <definedName name="__EGR3">#N/A</definedName>
    <definedName name="_CPK1" localSheetId="10">#REF!</definedName>
    <definedName name="_CPK1">#REF!</definedName>
    <definedName name="_CPK2">#REF!</definedName>
    <definedName name="_CPK3">#REF!</definedName>
    <definedName name="_EGR1">#N/A</definedName>
    <definedName name="_EGR2">#N/A</definedName>
    <definedName name="_EGR3">#N/A</definedName>
    <definedName name="_Fill" hidden="1">#REF!</definedName>
    <definedName name="_Key1" hidden="1">#REF!</definedName>
    <definedName name="_Order1" hidden="1">0</definedName>
    <definedName name="_Sort" hidden="1">#REF!</definedName>
    <definedName name="A">#REF!</definedName>
    <definedName name="ACCTTextLen">#REF!</definedName>
    <definedName name="ACTTextLen">#REF!</definedName>
    <definedName name="ALOC">#REF!</definedName>
    <definedName name="ALOC_2">#REF!</definedName>
    <definedName name="AMOUNT">#REF!</definedName>
    <definedName name="APR">#N/A</definedName>
    <definedName name="AREA">#N/A</definedName>
    <definedName name="AUG">#N/A</definedName>
    <definedName name="AVG">#N/A</definedName>
    <definedName name="B">#REF!</definedName>
    <definedName name="BadErrMsg">#REF!</definedName>
    <definedName name="BalanceSheet">#REF!</definedName>
    <definedName name="Bio_Flora">#REF!</definedName>
    <definedName name="C_">'[3]RR 8 2'!#REF!</definedName>
    <definedName name="CALC_C03">#REF!</definedName>
    <definedName name="CALC_C04">#REF!</definedName>
    <definedName name="CALC_C09">#REF!</definedName>
    <definedName name="CALC_LRG">#REF!</definedName>
    <definedName name="CALC_XLG">#REF!</definedName>
    <definedName name="CELL">#N/A</definedName>
    <definedName name="CLASSES">#N/A</definedName>
    <definedName name="CompanyTextLen">#REF!</definedName>
    <definedName name="CP">#N/A</definedName>
    <definedName name="CP_1">#N/A</definedName>
    <definedName name="CP_PG1B">#REF!</definedName>
    <definedName name="cp_pg2">#REF!</definedName>
    <definedName name="cp_pg2b">#REF!</definedName>
    <definedName name="CP_PG3B">#REF!</definedName>
    <definedName name="CPK1X">#REF!</definedName>
    <definedName name="CPK2X">#REF!</definedName>
    <definedName name="CREDITS">#REF!</definedName>
    <definedName name="CSTextLen">#REF!</definedName>
    <definedName name="CUST">#N/A</definedName>
    <definedName name="CUST1">#N/A</definedName>
    <definedName name="CUSTOM1">#REF!</definedName>
    <definedName name="CUSTOM2">#REF!</definedName>
    <definedName name="DATALINE">'[1]Header Data'!#REF!</definedName>
    <definedName name="DB_CPK">#N/A</definedName>
    <definedName name="DB_CPK1">[4]FERCFACT!#REF!</definedName>
    <definedName name="DB_CPK2">#REF!</definedName>
    <definedName name="DB_CPK3">#REF!</definedName>
    <definedName name="DB_CUST">#N/A</definedName>
    <definedName name="DB_EGR">#N/A</definedName>
    <definedName name="DB_EGR1">[4]FERCFACT!#REF!</definedName>
    <definedName name="DB_EGR2">#REF!</definedName>
    <definedName name="DB_IMAX">#N/A</definedName>
    <definedName name="DB_NCPK">#N/A</definedName>
    <definedName name="DB_NCPK1">#REF!</definedName>
    <definedName name="DB_NCPK2">#REF!</definedName>
    <definedName name="DB_NCPK3">#REF!</definedName>
    <definedName name="DB_NCPK4">#REF!</definedName>
    <definedName name="DEBITS">#REF!</definedName>
    <definedName name="DEC">#N/A</definedName>
    <definedName name="DecCP">#REF!</definedName>
    <definedName name="DISPLAY">#N/A</definedName>
    <definedName name="DR_1">#N/A</definedName>
    <definedName name="ED8_BIOFLORA_Print">#REF!</definedName>
    <definedName name="EFF_DATE">'[1]Header Data'!#REF!</definedName>
    <definedName name="EGR">#N/A</definedName>
    <definedName name="EGR1X">#REF!</definedName>
    <definedName name="EIGHT">#N/A</definedName>
    <definedName name="ELEVEN">#N/A</definedName>
    <definedName name="END">#REF!</definedName>
    <definedName name="ENERGY">#REF!</definedName>
    <definedName name="ENERGY_SUP" localSheetId="10">[4]FERCFACT!#REF!</definedName>
    <definedName name="ENERGY_SUP">[4]FERCFACT!#REF!</definedName>
    <definedName name="ENERGY1">#N/A</definedName>
    <definedName name="EST_BY_ACCT">#REF!</definedName>
    <definedName name="FACTORS">#REF!</definedName>
    <definedName name="FACTRS">#REF!</definedName>
    <definedName name="FIVE">#N/A</definedName>
    <definedName name="FOUR">#N/A</definedName>
    <definedName name="GJC_03">#REF!</definedName>
    <definedName name="GJC_04">#REF!</definedName>
    <definedName name="GJC_09">#REF!</definedName>
    <definedName name="HCTextLen">#REF!</definedName>
    <definedName name="head">#REF!</definedName>
    <definedName name="IMAX1">#REF!</definedName>
    <definedName name="IMAX2">#REF!</definedName>
    <definedName name="IMAX3">#REF!</definedName>
    <definedName name="IncomeStatement">#REF!</definedName>
    <definedName name="IND.MAX">#N/A</definedName>
    <definedName name="IND.MAX1">#N/A</definedName>
    <definedName name="INPUT" localSheetId="17">#REF!</definedName>
    <definedName name="INPUT">#N/A</definedName>
    <definedName name="INPUT_AREA">#REF!</definedName>
    <definedName name="INPUT_DATA">#REF!</definedName>
    <definedName name="JanCP">#REF!</definedName>
    <definedName name="jor">#REF!</definedName>
    <definedName name="JOUR_ENTRY">#REF!</definedName>
    <definedName name="JUL">#N/A</definedName>
    <definedName name="JUN">#N/A</definedName>
    <definedName name="LOCATE3">#N/A</definedName>
    <definedName name="LOCTABLE">#REF!</definedName>
    <definedName name="LOCTextLen">#REF!</definedName>
    <definedName name="losses">#REF!</definedName>
    <definedName name="LRG_GE">#REF!</definedName>
    <definedName name="LRG_GJ">#REF!</definedName>
    <definedName name="M">[4]FERCFACT!#REF!</definedName>
    <definedName name="MACRO">#N/A</definedName>
    <definedName name="MAIN">#N/A</definedName>
    <definedName name="MAR">#N/A</definedName>
    <definedName name="MAY">#N/A</definedName>
    <definedName name="MENUALL">#N/A</definedName>
    <definedName name="MENUALLOC">#N/A</definedName>
    <definedName name="MENUDBASE">#N/A</definedName>
    <definedName name="MENUDBS">#N/A</definedName>
    <definedName name="MENUPIC">#N/A</definedName>
    <definedName name="MENUPICK">#N/A</definedName>
    <definedName name="MENUPRNT">#N/A</definedName>
    <definedName name="MENUPRST">#N/A</definedName>
    <definedName name="MONTHS">#N/A</definedName>
    <definedName name="MOVE">#N/A</definedName>
    <definedName name="MTH">#N/A</definedName>
    <definedName name="NCP">#N/A</definedName>
    <definedName name="NCP_1">#N/A</definedName>
    <definedName name="NCPK1">#N/A</definedName>
    <definedName name="NCPK1X">#REF!</definedName>
    <definedName name="NCPK2">#REF!</definedName>
    <definedName name="NCPK2X">#REF!</definedName>
    <definedName name="NCPK3">#REF!</definedName>
    <definedName name="NETWK_TRANS_PK_RPT_Print_Area" localSheetId="10">#REF!</definedName>
    <definedName name="NETWK_TRANS_PK_RPT_Print_Area">#REF!</definedName>
    <definedName name="NINE">#N/A</definedName>
    <definedName name="NoErrMsg">#REF!</definedName>
    <definedName name="NormErrMsg">#REF!</definedName>
    <definedName name="NOTE">#REF!</definedName>
    <definedName name="NOTE_A">#REF!</definedName>
    <definedName name="NOTE_B">#REF!</definedName>
    <definedName name="NOTE2">#REF!</definedName>
    <definedName name="NOV">#N/A</definedName>
    <definedName name="OCT">#N/A</definedName>
    <definedName name="ONE">#N/A</definedName>
    <definedName name="P_TYPE">#N/A</definedName>
    <definedName name="page1" localSheetId="17">'[5]W&amp;S by group'!#REF!</definedName>
    <definedName name="PAGE1">[4]FERCFACT!#REF!</definedName>
    <definedName name="page10">'[5]W&amp;S by group'!#REF!</definedName>
    <definedName name="page11">'[5]W&amp;S by group'!#REF!</definedName>
    <definedName name="page12">'[5]W&amp;S by group'!#REF!</definedName>
    <definedName name="page13">'[5]W&amp;S by group'!#REF!</definedName>
    <definedName name="page14">'[5]W&amp;S by group'!#REF!</definedName>
    <definedName name="page15">'[5]W&amp;S by group'!#REF!</definedName>
    <definedName name="page16">'[5]W&amp;S by group'!#REF!</definedName>
    <definedName name="page2" localSheetId="17">'[5]W&amp;S by group'!#REF!</definedName>
    <definedName name="PAGE2">#REF!</definedName>
    <definedName name="PAGE3" localSheetId="10">[4]FERCFACT!#REF!</definedName>
    <definedName name="page3" localSheetId="17">'[5]W&amp;S by group'!#REF!</definedName>
    <definedName name="PAGE3">[4]FERCFACT!#REF!</definedName>
    <definedName name="page4" localSheetId="17">'[5]W&amp;S by group'!#REF!</definedName>
    <definedName name="PAGE4">#REF!</definedName>
    <definedName name="page5" localSheetId="17">#REF!</definedName>
    <definedName name="PAGE5">#REF!</definedName>
    <definedName name="page6" localSheetId="17">#REF!</definedName>
    <definedName name="PAGE6">#REF!</definedName>
    <definedName name="page7" localSheetId="17">'[5]W&amp;S by group'!#REF!</definedName>
    <definedName name="PAGE7">#REF!</definedName>
    <definedName name="page8" localSheetId="17">'[5]W&amp;S by group'!#REF!</definedName>
    <definedName name="PAGE8">#REF!</definedName>
    <definedName name="page9" localSheetId="17">'[5]W&amp;S by group'!#REF!</definedName>
    <definedName name="PAGE9">#REF!</definedName>
    <definedName name="PageA">#REF!</definedName>
    <definedName name="PageB">#REF!</definedName>
    <definedName name="PageC">#REF!</definedName>
    <definedName name="PEAK">#N/A</definedName>
    <definedName name="PK_1">#N/A</definedName>
    <definedName name="_xlnm.Print_Area" localSheetId="3">'2 - Other Tax'!$A$1:$L$86</definedName>
    <definedName name="_xlnm.Print_Area" localSheetId="4">'3 - Revenue Credits'!$A$1:$I$34</definedName>
    <definedName name="_xlnm.Print_Area" localSheetId="6">'5 - Cost Support'!$A$1:$Q$257</definedName>
    <definedName name="_xlnm.Print_Area" localSheetId="7">'6 - Est and True up'!$A$1:$O$190</definedName>
    <definedName name="_xlnm.Print_Area" localSheetId="8">'6A-Colstrip'!$A$1:$Q$169</definedName>
    <definedName name="_xlnm.Print_Area" localSheetId="9">'6B-So Intertie'!$A$1:$R$172</definedName>
    <definedName name="_xlnm.Print_Area" localSheetId="10">'7 - Cap Add WS'!$A$1:$M$77</definedName>
    <definedName name="_xlnm.Print_Area" localSheetId="11">'8 - Depreciation Rates'!$A$1:$E$46</definedName>
    <definedName name="_xlnm.Print_Area" localSheetId="1">'ATT H-1 '!$A$1:$L$315</definedName>
    <definedName name="_xlnm.Print_Area" localSheetId="0">'Sch 1'!$A$2:$E$40</definedName>
    <definedName name="_xlnm.Print_Area" localSheetId="12">'WKSHT1 - Rev Credits'!$A$1:$L$153</definedName>
    <definedName name="_xlnm.Print_Area" localSheetId="14">'WKSHT3 - All GIFs'!$A$1:$E$87</definedName>
    <definedName name="_xlnm.Print_Area" localSheetId="15">'WKSHT4 - Monthly Tx System Peak'!$A$1:$K$74</definedName>
    <definedName name="_xlnm.Print_Area" localSheetId="17">'WKSHT6 - Cost of Capital'!$A$1:$P$58</definedName>
    <definedName name="_xlnm.Print_Area">'[2]BC 2 2005BC'!#REF!</definedName>
    <definedName name="PRINT_AREA_MI">'[2]BC 2 2005BC'!#REF!</definedName>
    <definedName name="PRINTFILE">#REF!</definedName>
    <definedName name="PROJ_WOTextLen">#REF!</definedName>
    <definedName name="PSLJ8LG">#N/A</definedName>
    <definedName name="PSOKI6">#N/A</definedName>
    <definedName name="Q">#REF!</definedName>
    <definedName name="_xlnm.Recorder">#REF!</definedName>
    <definedName name="RES_CPB">#REF!</definedName>
    <definedName name="SELECT">#N/A</definedName>
    <definedName name="SEP">#N/A</definedName>
    <definedName name="SEVEN">#N/A</definedName>
    <definedName name="SIX">#N/A</definedName>
    <definedName name="SORT">#N/A</definedName>
    <definedName name="SPACE">#N/A</definedName>
    <definedName name="Spot_Purchases_and_Tailgate">#REF!</definedName>
    <definedName name="SPOTE_04">#REF!</definedName>
    <definedName name="START">#REF!</definedName>
    <definedName name="STARTCR">#REF!</definedName>
    <definedName name="STARTDR">#REF!</definedName>
    <definedName name="SUBTITLE">#N/A</definedName>
    <definedName name="SUPPORTING_DATA_TO_UPLOAD">#REF!</definedName>
    <definedName name="suz">'[2]BC 2 2005BC'!#REF!</definedName>
    <definedName name="TEN">#N/A</definedName>
    <definedName name="THREE">#N/A</definedName>
    <definedName name="TWELVE">#N/A</definedName>
    <definedName name="TWO">#N/A</definedName>
    <definedName name="TYE">#N/A</definedName>
    <definedName name="TYE_1">#N/A</definedName>
    <definedName name="TYPETextLen">#REF!</definedName>
    <definedName name="Underground_Storage_Activity">#REF!</definedName>
    <definedName name="WELL_HEAD_ESTIMATES">#REF!</definedName>
    <definedName name="WITHSTD">#REF!</definedName>
    <definedName name="wrn.CP._.Demand." localSheetId="10" hidden="1">{"Retail CP pg1",#N/A,FALSE,"FACTOR3";"Retail CP pg2",#N/A,FALSE,"FACTOR3";"Retail CP pg3",#N/A,FALSE,"FACTOR3"}</definedName>
    <definedName name="wrn.CP._.Demand." hidden="1">{"Retail CP pg1",#N/A,FALSE,"FACTOR3";"Retail CP pg2",#N/A,FALSE,"FACTOR3";"Retail CP pg3",#N/A,FALSE,"FACTOR3"}</definedName>
    <definedName name="wrn.CP._.Demand2." localSheetId="10" hidden="1">{"Retail CP pg1",#N/A,FALSE,"FACTOR3";"Retail CP pg2",#N/A,FALSE,"FACTOR3";"Retail CP pg3",#N/A,FALSE,"FACTOR3"}</definedName>
    <definedName name="wrn.CP._.Demand2." hidden="1">{"Retail CP pg1",#N/A,FALSE,"FACTOR3";"Retail CP pg2",#N/A,FALSE,"FACTOR3";"Retail CP pg3",#N/A,FALSE,"FACTOR3"}</definedName>
    <definedName name="XLRG_GE">#REF!</definedName>
    <definedName name="XLRG_GJ">#REF!</definedName>
    <definedName name="Z_1155D18F_BFDD_426B_8E78_817CEB25FB23_.wvu.Cols" localSheetId="2" hidden="1">'1 - ADIT'!#REF!</definedName>
    <definedName name="Z_1155D18F_BFDD_426B_8E78_817CEB25FB23_.wvu.PrintArea" localSheetId="2" hidden="1">'1 - ADIT'!$A$1:$J$139</definedName>
    <definedName name="Z_1155D18F_BFDD_426B_8E78_817CEB25FB23_.wvu.PrintArea" localSheetId="4" hidden="1">'3 - Revenue Credits'!$A$1:$D$35</definedName>
    <definedName name="Z_16940A0E_2B20_4241_BF05_A4686E5A0274_.wvu.Cols" localSheetId="2" hidden="1">'1 - ADIT'!#REF!</definedName>
    <definedName name="Z_16940A0E_2B20_4241_BF05_A4686E5A0274_.wvu.PrintArea" localSheetId="2" hidden="1">'1 - ADIT'!$A$1:$J$140</definedName>
    <definedName name="Z_16940A0E_2B20_4241_BF05_A4686E5A0274_.wvu.PrintArea" localSheetId="4" hidden="1">'3 - Revenue Credits'!$A$1:$D$35</definedName>
    <definedName name="Z_28948E05_8F34_4F1E_96FB_A80A6A844600_.wvu.Cols" localSheetId="2" hidden="1">'1 - ADIT'!#REF!</definedName>
    <definedName name="Z_28948E05_8F34_4F1E_96FB_A80A6A844600_.wvu.PrintArea" localSheetId="2" hidden="1">'1 - ADIT'!$A$1:$J$139</definedName>
    <definedName name="Z_28948E05_8F34_4F1E_96FB_A80A6A844600_.wvu.PrintArea" localSheetId="4" hidden="1">'3 - Revenue Credits'!$A$1:$D$35</definedName>
    <definedName name="Z_3768C7C8_9953_11DA_B318_000FB55D51DC_.wvu.Cols" localSheetId="10" hidden="1">'7 - Cap Add WS'!#REF!</definedName>
    <definedName name="Z_3768C7C8_9953_11DA_B318_000FB55D51DC_.wvu.PrintArea" localSheetId="5" hidden="1">'4 - 100 Basis Pt ROE'!$A$9:$G$52</definedName>
    <definedName name="Z_3768C7C8_9953_11DA_B318_000FB55D51DC_.wvu.PrintArea" localSheetId="6" hidden="1">'5 - Cost Support'!$A$74:$N$239</definedName>
    <definedName name="Z_3768C7C8_9953_11DA_B318_000FB55D51DC_.wvu.PrintTitles" localSheetId="6" hidden="1">'5 - Cost Support'!#REF!</definedName>
    <definedName name="Z_3768C7C8_9953_11DA_B318_000FB55D51DC_.wvu.PrintTitles" localSheetId="10" hidden="1">'7 - Cap Add WS'!$B:$C</definedName>
    <definedName name="Z_3768C7C8_9953_11DA_B318_000FB55D51DC_.wvu.Rows" localSheetId="6" hidden="1">'5 - Cost Support'!#REF!</definedName>
    <definedName name="Z_3BDD6235_B127_4929_8311_BDAF7BB89818_.wvu.Cols" localSheetId="10" hidden="1">'7 - Cap Add WS'!#REF!</definedName>
    <definedName name="Z_3BDD6235_B127_4929_8311_BDAF7BB89818_.wvu.PrintArea" localSheetId="5" hidden="1">'4 - 100 Basis Pt ROE'!$A$9:$G$52</definedName>
    <definedName name="Z_3BDD6235_B127_4929_8311_BDAF7BB89818_.wvu.PrintArea" localSheetId="6" hidden="1">'5 - Cost Support'!$A$74:$N$239</definedName>
    <definedName name="Z_3BDD6235_B127_4929_8311_BDAF7BB89818_.wvu.PrintTitles" localSheetId="6" hidden="1">'5 - Cost Support'!#REF!</definedName>
    <definedName name="Z_3BDD6235_B127_4929_8311_BDAF7BB89818_.wvu.PrintTitles" localSheetId="10" hidden="1">'7 - Cap Add WS'!$B:$C</definedName>
    <definedName name="Z_3BDD6235_B127_4929_8311_BDAF7BB89818_.wvu.Rows" localSheetId="6" hidden="1">'5 - Cost Support'!#REF!</definedName>
    <definedName name="Z_44504B44_F20F_4B6F_B585_74D55BA74563_.wvu.Cols" localSheetId="2" hidden="1">'1 - ADIT'!#REF!</definedName>
    <definedName name="Z_44504B44_F20F_4B6F_B585_74D55BA74563_.wvu.PrintArea" localSheetId="2" hidden="1">'1 - ADIT'!$A$1:$J$140</definedName>
    <definedName name="Z_44504B44_F20F_4B6F_B585_74D55BA74563_.wvu.PrintArea" localSheetId="4" hidden="1">'3 - Revenue Credits'!$A$1:$D$35</definedName>
    <definedName name="Z_63011E91_4609_4523_98FE_FD252E915668_.wvu.Cols" localSheetId="2" hidden="1">'1 - ADIT'!#REF!</definedName>
    <definedName name="Z_63011E91_4609_4523_98FE_FD252E915668_.wvu.PrintArea" localSheetId="2" hidden="1">'1 - ADIT'!$A$1:$J$139</definedName>
    <definedName name="Z_63011E91_4609_4523_98FE_FD252E915668_.wvu.PrintArea" localSheetId="3" hidden="1">'2 - Other Tax'!$A$1:$H$86</definedName>
    <definedName name="Z_63011E91_4609_4523_98FE_FD252E915668_.wvu.PrintArea" localSheetId="4" hidden="1">'3 - Revenue Credits'!$A$1:$D$35</definedName>
    <definedName name="Z_71B42B22_A376_44B5_B0C1_23FC1AA3DBA2_.wvu.Cols" localSheetId="2" hidden="1">'1 - ADIT'!#REF!</definedName>
    <definedName name="Z_71B42B22_A376_44B5_B0C1_23FC1AA3DBA2_.wvu.PrintArea" localSheetId="2" hidden="1">'1 - ADIT'!$A$1:$J$139</definedName>
    <definedName name="Z_71B42B22_A376_44B5_B0C1_23FC1AA3DBA2_.wvu.PrintArea" localSheetId="4" hidden="1">'3 - Revenue Credits'!$A$1:$D$35</definedName>
    <definedName name="Z_B0241363_5C8A_48FC_89A6_56D55586BABE_.wvu.Cols" localSheetId="10" hidden="1">'7 - Cap Add WS'!#REF!</definedName>
    <definedName name="Z_B0241363_5C8A_48FC_89A6_56D55586BABE_.wvu.PrintArea" localSheetId="5" hidden="1">'4 - 100 Basis Pt ROE'!$A$9:$G$52</definedName>
    <definedName name="Z_B0241363_5C8A_48FC_89A6_56D55586BABE_.wvu.PrintArea" localSheetId="6" hidden="1">'5 - Cost Support'!$A$74:$N$239</definedName>
    <definedName name="Z_B0241363_5C8A_48FC_89A6_56D55586BABE_.wvu.PrintTitles" localSheetId="6" hidden="1">'5 - Cost Support'!#REF!</definedName>
    <definedName name="Z_B0241363_5C8A_48FC_89A6_56D55586BABE_.wvu.PrintTitles" localSheetId="10" hidden="1">'7 - Cap Add WS'!$B:$C</definedName>
    <definedName name="Z_B0241363_5C8A_48FC_89A6_56D55586BABE_.wvu.Rows" localSheetId="6" hidden="1">'5 - Cost Support'!#REF!</definedName>
    <definedName name="Z_B647CB7F_C846_4278_B6B1_1EF7F3C004F5_.wvu.Cols" localSheetId="2" hidden="1">'1 - ADIT'!#REF!</definedName>
    <definedName name="Z_B647CB7F_C846_4278_B6B1_1EF7F3C004F5_.wvu.PrintArea" localSheetId="2" hidden="1">'1 - ADIT'!$A$1:$J$139</definedName>
    <definedName name="Z_B647CB7F_C846_4278_B6B1_1EF7F3C004F5_.wvu.PrintArea" localSheetId="4" hidden="1">'3 - Revenue Credits'!$A$1:$D$35</definedName>
    <definedName name="Z_C0EA0F9F_7310_4201_82C9_7B8FC8DB9137_.wvu.Cols" localSheetId="10" hidden="1">'7 - Cap Add WS'!#REF!</definedName>
    <definedName name="Z_C0EA0F9F_7310_4201_82C9_7B8FC8DB9137_.wvu.PrintArea" localSheetId="5" hidden="1">'4 - 100 Basis Pt ROE'!$A$9:$G$52</definedName>
    <definedName name="Z_C0EA0F9F_7310_4201_82C9_7B8FC8DB9137_.wvu.PrintArea" localSheetId="6" hidden="1">'5 - Cost Support'!$A$74:$N$239</definedName>
    <definedName name="Z_C0EA0F9F_7310_4201_82C9_7B8FC8DB9137_.wvu.PrintTitles" localSheetId="6" hidden="1">'5 - Cost Support'!#REF!</definedName>
    <definedName name="Z_C0EA0F9F_7310_4201_82C9_7B8FC8DB9137_.wvu.PrintTitles" localSheetId="10" hidden="1">'7 - Cap Add WS'!$B:$C</definedName>
    <definedName name="Z_C0EA0F9F_7310_4201_82C9_7B8FC8DB9137_.wvu.Rows" localSheetId="6" hidden="1">'5 - Cost Support'!#REF!</definedName>
    <definedName name="Z_DC91DEF3_837B_4BB9_A81E_3B78C5914E6C_.wvu.Cols" localSheetId="2" hidden="1">'1 - ADIT'!#REF!</definedName>
    <definedName name="Z_DC91DEF3_837B_4BB9_A81E_3B78C5914E6C_.wvu.PrintArea" localSheetId="2" hidden="1">'1 - ADIT'!$A$1:$J$139</definedName>
    <definedName name="Z_DC91DEF3_837B_4BB9_A81E_3B78C5914E6C_.wvu.PrintArea" localSheetId="4" hidden="1">'3 - Revenue Credits'!$A$1:$D$35</definedName>
    <definedName name="Z_FAAD9AAC_1337_43AB_BF1F_CCF9DFCF5B78_.wvu.Cols" localSheetId="2" hidden="1">'1 - ADIT'!#REF!</definedName>
    <definedName name="Z_FAAD9AAC_1337_43AB_BF1F_CCF9DFCF5B78_.wvu.PrintArea" localSheetId="2" hidden="1">'1 - ADIT'!$A$1:$J$139</definedName>
    <definedName name="Z_FAAD9AAC_1337_43AB_BF1F_CCF9DFCF5B78_.wvu.PrintArea" localSheetId="4" hidden="1">'3 - Revenue Credits'!$A$1:$D$35</definedName>
  </definedNames>
  <calcPr calcId="191029"/>
  <customWorkbookViews>
    <customWorkbookView name="alan - Personal View" guid="{1155D18F-BFDD-426B-8E78-817CEB25FB23}" mergeInterval="0" personalView="1" maximized="1" windowWidth="1009" windowHeight="568" tabRatio="809" activeSheetId="1"/>
    <customWorkbookView name="Preferred Customer - Personal View" guid="{DC91DEF3-837B-4BB9-A81E-3B78C5914E6C}" mergeInterval="0" personalView="1" maximized="1" windowWidth="1020" windowHeight="603" tabRatio="809" activeSheetId="2"/>
    <customWorkbookView name="Dana Olds - Personal View" guid="{63011E91-4609-4523-98FE-FD252E915668}" mergeInterval="0" personalView="1" maximized="1" windowWidth="1020" windowHeight="605" tabRatio="809" activeSheetId="11"/>
    <customWorkbookView name="wdbooth - Personal View" guid="{B647CB7F-C846-4278-B6B1-1EF7F3C004F5}" mergeInterval="0" personalView="1" maximized="1" windowWidth="756" windowHeight="354" tabRatio="809" activeSheetId="9"/>
    <customWorkbookView name="Helen Hight - Personal View" guid="{28948E05-8F34-4F1E-96FB-A80A6A844600}" mergeInterval="0" personalView="1" maximized="1" windowWidth="1020" windowHeight="570" tabRatio="809" activeSheetId="1"/>
    <customWorkbookView name="x086hmh - Personal View" guid="{71B42B22-A376-44B5-B0C1-23FC1AA3DBA2}" mergeInterval="0" personalView="1" maximized="1" windowWidth="1676" windowHeight="904" tabRatio="809" activeSheetId="1"/>
    <customWorkbookView name="x317aks - Personal View" guid="{FAAD9AAC-1337-43AB-BF1F-CCF9DFCF5B78}" mergeInterval="0" personalView="1" maximized="1" windowWidth="1020" windowHeight="592" tabRatio="809" activeSheetId="4"/>
    <customWorkbookView name="z93536 - Personal View" guid="{44504B44-F20F-4B6F-B585-74D55BA74563}" mergeInterval="0" personalView="1" maximized="1" windowWidth="1020" windowHeight="579" tabRatio="809" activeSheetId="1"/>
    <customWorkbookView name="Ken Lee - Personal View" guid="{16940A0E-2B20-4241-BF05-A4686E5A0274}" mergeInterval="0" personalView="1" maximized="1" windowWidth="1020" windowHeight="593" tabRatio="809"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31" l="1"/>
  <c r="H32" i="31" s="1"/>
  <c r="K152" i="19" l="1"/>
  <c r="K150" i="19"/>
  <c r="E12" i="33" l="1"/>
  <c r="F146" i="19" l="1"/>
  <c r="I77" i="20" l="1"/>
  <c r="F108" i="20" l="1"/>
  <c r="L197" i="20"/>
  <c r="J149" i="20"/>
  <c r="J133" i="20"/>
  <c r="J190" i="20"/>
  <c r="J193" i="20"/>
  <c r="J194" i="20"/>
  <c r="H196" i="20"/>
  <c r="I196" i="20"/>
  <c r="E71" i="2" l="1"/>
  <c r="L14" i="47" l="1"/>
  <c r="K14" i="47"/>
  <c r="L13" i="47"/>
  <c r="K13" i="47"/>
  <c r="L12" i="47"/>
  <c r="K12" i="47"/>
  <c r="L11" i="47"/>
  <c r="K11" i="47"/>
  <c r="C87" i="38" l="1"/>
  <c r="E87" i="38"/>
  <c r="E84" i="38"/>
  <c r="E85" i="38"/>
  <c r="A80" i="38"/>
  <c r="A81" i="38"/>
  <c r="A82" i="38" s="1"/>
  <c r="A83" i="38" s="1"/>
  <c r="A84" i="38" s="1"/>
  <c r="A85" i="38" s="1"/>
  <c r="A86" i="38" s="1"/>
  <c r="A87" i="38" s="1"/>
  <c r="A88" i="38" s="1"/>
  <c r="A89" i="38" s="1"/>
  <c r="D87" i="38"/>
  <c r="C89" i="38"/>
  <c r="O262" i="43" l="1"/>
  <c r="O230" i="43"/>
  <c r="O224" i="43"/>
  <c r="O182" i="43"/>
  <c r="O183" i="43"/>
  <c r="O184" i="43"/>
  <c r="O185" i="43"/>
  <c r="O186" i="43"/>
  <c r="O97" i="43"/>
  <c r="O98" i="43"/>
  <c r="O64" i="43"/>
  <c r="O7" i="43"/>
  <c r="O8" i="43"/>
  <c r="O9" i="43"/>
  <c r="O10" i="43"/>
  <c r="B80" i="43" l="1"/>
  <c r="C80" i="43"/>
  <c r="D80" i="43"/>
  <c r="E80" i="43"/>
  <c r="F80" i="43"/>
  <c r="G80" i="43"/>
  <c r="H80" i="43"/>
  <c r="I80" i="43"/>
  <c r="J80" i="43"/>
  <c r="K80" i="43"/>
  <c r="L80" i="43"/>
  <c r="M80" i="43"/>
  <c r="N80" i="43"/>
  <c r="C178" i="34" l="1"/>
  <c r="C71" i="41" l="1"/>
  <c r="C70" i="41"/>
  <c r="C69" i="41"/>
  <c r="C68" i="41"/>
  <c r="C67" i="41"/>
  <c r="C66" i="41"/>
  <c r="C65" i="41"/>
  <c r="C63" i="41"/>
  <c r="C62" i="41"/>
  <c r="C61" i="41"/>
  <c r="C64" i="41" s="1"/>
  <c r="C59" i="41"/>
  <c r="C58" i="41"/>
  <c r="C60" i="41" s="1"/>
  <c r="C57" i="41"/>
  <c r="C40" i="41"/>
  <c r="C39" i="41"/>
  <c r="C38" i="41"/>
  <c r="C41" i="41" s="1"/>
  <c r="C36" i="41"/>
  <c r="C35" i="41"/>
  <c r="C34" i="41"/>
  <c r="C37" i="41" s="1"/>
  <c r="C48" i="41"/>
  <c r="C47" i="41"/>
  <c r="C46" i="41"/>
  <c r="C49" i="41" s="1"/>
  <c r="C44" i="41"/>
  <c r="C43" i="41"/>
  <c r="C42" i="41"/>
  <c r="C23" i="41"/>
  <c r="C22" i="41"/>
  <c r="C21" i="41"/>
  <c r="C19" i="41"/>
  <c r="C18" i="41"/>
  <c r="C17" i="41"/>
  <c r="C15" i="41"/>
  <c r="C14" i="41"/>
  <c r="C13" i="41"/>
  <c r="C16" i="41" s="1"/>
  <c r="C11" i="41"/>
  <c r="C10" i="41"/>
  <c r="C9" i="41"/>
  <c r="C20" i="41" l="1"/>
  <c r="C12" i="41"/>
  <c r="C72" i="41"/>
  <c r="C45" i="41"/>
  <c r="C24" i="41"/>
  <c r="F55" i="20" l="1"/>
  <c r="I80" i="46" l="1"/>
  <c r="I81" i="46"/>
  <c r="I82" i="46"/>
  <c r="I83" i="46"/>
  <c r="I79" i="46"/>
  <c r="I80" i="45"/>
  <c r="I81" i="45"/>
  <c r="I82" i="45"/>
  <c r="I83" i="45"/>
  <c r="I79" i="45"/>
  <c r="I81" i="34"/>
  <c r="I82" i="34"/>
  <c r="I83" i="34"/>
  <c r="I84" i="34"/>
  <c r="I80" i="34"/>
  <c r="I103" i="34" l="1"/>
  <c r="I104" i="34"/>
  <c r="I105" i="34"/>
  <c r="I106" i="34"/>
  <c r="I107" i="34"/>
  <c r="I108" i="34"/>
  <c r="I102" i="34"/>
  <c r="I85" i="34"/>
  <c r="I86" i="34"/>
  <c r="I87" i="34"/>
  <c r="I88" i="34"/>
  <c r="I89" i="34"/>
  <c r="I90" i="34"/>
  <c r="I91" i="34"/>
  <c r="I84" i="45"/>
  <c r="I85" i="45"/>
  <c r="I86" i="45"/>
  <c r="I87" i="45"/>
  <c r="I88" i="45"/>
  <c r="I89" i="45"/>
  <c r="I90" i="45"/>
  <c r="I85" i="46"/>
  <c r="I86" i="46"/>
  <c r="I87" i="46"/>
  <c r="I88" i="46"/>
  <c r="I89" i="46"/>
  <c r="I90" i="46"/>
  <c r="I84" i="46"/>
  <c r="H77" i="20" l="1"/>
  <c r="K244" i="20" l="1"/>
  <c r="E20" i="3" l="1"/>
  <c r="E31" i="3"/>
  <c r="E40" i="3"/>
  <c r="E45" i="3"/>
  <c r="E49" i="3"/>
  <c r="E50" i="3"/>
  <c r="P38" i="23" l="1"/>
  <c r="K10" i="19" l="1"/>
  <c r="L9" i="31" l="1"/>
  <c r="L10" i="31"/>
  <c r="L11" i="31"/>
  <c r="N55" i="43"/>
  <c r="B55" i="43"/>
  <c r="C55" i="43"/>
  <c r="D55" i="43"/>
  <c r="E55" i="43"/>
  <c r="F55" i="43"/>
  <c r="G55" i="43"/>
  <c r="H55" i="43"/>
  <c r="I55" i="43"/>
  <c r="J55" i="43"/>
  <c r="K55" i="43"/>
  <c r="L55" i="43"/>
  <c r="M55" i="43"/>
  <c r="O26" i="43"/>
  <c r="O299" i="43"/>
  <c r="B324" i="43"/>
  <c r="C324" i="43"/>
  <c r="D324" i="43"/>
  <c r="E324" i="43"/>
  <c r="F324" i="43"/>
  <c r="G324" i="43"/>
  <c r="H324" i="43"/>
  <c r="I324" i="43"/>
  <c r="J324" i="43"/>
  <c r="K324" i="43"/>
  <c r="L324" i="43"/>
  <c r="M324" i="43"/>
  <c r="N324" i="43"/>
  <c r="P5" i="44" l="1"/>
  <c r="C58" i="44"/>
  <c r="I149" i="20" l="1"/>
  <c r="I133" i="20"/>
  <c r="P20" i="44" l="1"/>
  <c r="I86" i="20" l="1"/>
  <c r="J192" i="20" l="1"/>
  <c r="C146" i="19" l="1"/>
  <c r="D146" i="19"/>
  <c r="E146" i="19"/>
  <c r="K146" i="19" l="1"/>
  <c r="F148" i="19"/>
  <c r="K153" i="19"/>
  <c r="P57" i="44" l="1"/>
  <c r="P42" i="44"/>
  <c r="E80" i="38" l="1"/>
  <c r="E81" i="38"/>
  <c r="E82" i="38"/>
  <c r="E83" i="38"/>
  <c r="O220" i="43"/>
  <c r="O221" i="43"/>
  <c r="C222" i="43"/>
  <c r="D222" i="43"/>
  <c r="E222" i="43"/>
  <c r="F222" i="43"/>
  <c r="G222" i="43"/>
  <c r="H222" i="43"/>
  <c r="I222" i="43"/>
  <c r="J222" i="43"/>
  <c r="K222" i="43"/>
  <c r="L222" i="43"/>
  <c r="M222" i="43"/>
  <c r="N222" i="43"/>
  <c r="B222" i="43"/>
  <c r="G85" i="34" l="1"/>
  <c r="J107" i="31" l="1"/>
  <c r="O155" i="43" l="1"/>
  <c r="B14" i="19" l="1"/>
  <c r="B33" i="19"/>
  <c r="P24" i="44" l="1"/>
  <c r="O58" i="44" l="1"/>
  <c r="Q20" i="23" l="1"/>
  <c r="W20" i="23" s="1"/>
  <c r="D22" i="23"/>
  <c r="L15" i="47" l="1"/>
  <c r="K15" i="47"/>
  <c r="J15" i="47"/>
  <c r="J11" i="31" l="1"/>
  <c r="J10" i="31"/>
  <c r="J9" i="31"/>
  <c r="J267" i="31" l="1"/>
  <c r="E251" i="20" l="1"/>
  <c r="J156" i="20" l="1"/>
  <c r="J157" i="20"/>
  <c r="J158" i="20"/>
  <c r="J159" i="20"/>
  <c r="J160" i="20"/>
  <c r="J161" i="20"/>
  <c r="J162" i="20"/>
  <c r="J163" i="20"/>
  <c r="J164" i="20"/>
  <c r="J165" i="20"/>
  <c r="J166" i="20"/>
  <c r="J167" i="20"/>
  <c r="J168" i="20"/>
  <c r="J169" i="20"/>
  <c r="J170" i="20"/>
  <c r="J171" i="20"/>
  <c r="J172" i="20"/>
  <c r="J173" i="20"/>
  <c r="J174" i="20"/>
  <c r="J175" i="20"/>
  <c r="J176" i="20"/>
  <c r="J177" i="20"/>
  <c r="J178" i="20"/>
  <c r="J179" i="20"/>
  <c r="J180" i="20"/>
  <c r="J181" i="20"/>
  <c r="J182" i="20"/>
  <c r="J183" i="20"/>
  <c r="J184" i="20"/>
  <c r="J185" i="20"/>
  <c r="J186" i="20"/>
  <c r="J187" i="20"/>
  <c r="J188" i="20"/>
  <c r="J189" i="20"/>
  <c r="J191" i="20"/>
  <c r="I15" i="47" l="1"/>
  <c r="H15" i="47"/>
  <c r="G15" i="47"/>
  <c r="D58" i="44" l="1"/>
  <c r="E4" i="38" l="1"/>
  <c r="N330" i="43" l="1"/>
  <c r="N246" i="43"/>
  <c r="N237" i="43"/>
  <c r="N157" i="43" l="1"/>
  <c r="I72" i="41" l="1"/>
  <c r="J72" i="41"/>
  <c r="K72" i="41"/>
  <c r="I68" i="41"/>
  <c r="J68" i="41"/>
  <c r="K68" i="41"/>
  <c r="I64" i="41"/>
  <c r="J64" i="41"/>
  <c r="K64" i="41"/>
  <c r="I60" i="41"/>
  <c r="J60" i="41"/>
  <c r="K60" i="41"/>
  <c r="Q36" i="23" l="1"/>
  <c r="T36" i="23" s="1"/>
  <c r="D38" i="23"/>
  <c r="E38" i="23"/>
  <c r="Q19" i="23" l="1"/>
  <c r="W19" i="23" s="1"/>
  <c r="Q18" i="23"/>
  <c r="W18" i="23" s="1"/>
  <c r="E22" i="23"/>
  <c r="Q5" i="23"/>
  <c r="E69" i="2" l="1"/>
  <c r="F69" i="2" s="1"/>
  <c r="D71" i="2"/>
  <c r="C71" i="2"/>
  <c r="I246" i="20" l="1"/>
  <c r="E58" i="44" l="1"/>
  <c r="F58" i="44"/>
  <c r="G58" i="44"/>
  <c r="H58" i="44"/>
  <c r="I58" i="44"/>
  <c r="J58" i="44"/>
  <c r="K58" i="44"/>
  <c r="L58" i="44"/>
  <c r="M58" i="44"/>
  <c r="N58" i="44"/>
  <c r="E46" i="22" l="1"/>
  <c r="A4" i="38" l="1"/>
  <c r="E60" i="38"/>
  <c r="E61" i="38"/>
  <c r="E62" i="38"/>
  <c r="E63" i="38"/>
  <c r="E64" i="38"/>
  <c r="E65" i="38"/>
  <c r="E66" i="38"/>
  <c r="E67" i="38"/>
  <c r="O204" i="43"/>
  <c r="O206" i="43"/>
  <c r="O207" i="43"/>
  <c r="O208" i="43"/>
  <c r="O209" i="43"/>
  <c r="O210" i="43"/>
  <c r="O211" i="43"/>
  <c r="O212" i="43"/>
  <c r="O213" i="43"/>
  <c r="O215" i="43"/>
  <c r="O216" i="43"/>
  <c r="O217" i="43"/>
  <c r="O203" i="43"/>
  <c r="O160" i="43"/>
  <c r="O236" i="43"/>
  <c r="O214" i="43" l="1"/>
  <c r="O205" i="43"/>
  <c r="D157" i="43" l="1"/>
  <c r="J68" i="20" l="1"/>
  <c r="P23" i="44" l="1"/>
  <c r="P12" i="44"/>
  <c r="P13" i="44"/>
  <c r="P14" i="44"/>
  <c r="Q12" i="23" l="1"/>
  <c r="W12" i="23" s="1"/>
  <c r="Q13" i="23"/>
  <c r="W13" i="23" s="1"/>
  <c r="Q14" i="23"/>
  <c r="W14" i="23" s="1"/>
  <c r="Q15" i="23"/>
  <c r="W15" i="23" s="1"/>
  <c r="Q16" i="23"/>
  <c r="W16" i="23" s="1"/>
  <c r="Q17" i="23"/>
  <c r="W17" i="23" s="1"/>
  <c r="Q35" i="23"/>
  <c r="T35" i="23" s="1"/>
  <c r="E6" i="23"/>
  <c r="F6" i="23"/>
  <c r="G6" i="23"/>
  <c r="H6" i="23"/>
  <c r="I6" i="23"/>
  <c r="J6" i="23"/>
  <c r="K6" i="23"/>
  <c r="L6" i="23"/>
  <c r="M6" i="23"/>
  <c r="N6" i="23"/>
  <c r="O6" i="23"/>
  <c r="P6" i="23"/>
  <c r="D6" i="23"/>
  <c r="E254" i="20" l="1"/>
  <c r="G16" i="5" l="1"/>
  <c r="H16" i="5"/>
  <c r="U26" i="23" l="1"/>
  <c r="E27" i="23"/>
  <c r="F27" i="23"/>
  <c r="G27" i="23"/>
  <c r="H27" i="23"/>
  <c r="I27" i="23"/>
  <c r="J27" i="23"/>
  <c r="K27" i="23"/>
  <c r="L27" i="23"/>
  <c r="M27" i="23"/>
  <c r="N27" i="23"/>
  <c r="O27" i="23"/>
  <c r="P27" i="23"/>
  <c r="D27" i="23"/>
  <c r="D41" i="23" s="1"/>
  <c r="O291" i="43" l="1"/>
  <c r="O292" i="43"/>
  <c r="O293" i="43"/>
  <c r="O294" i="43"/>
  <c r="O295" i="43"/>
  <c r="O296" i="43"/>
  <c r="O297" i="43"/>
  <c r="O298" i="43"/>
  <c r="O300" i="43"/>
  <c r="O301" i="43"/>
  <c r="O302" i="43"/>
  <c r="O303" i="43"/>
  <c r="O304" i="43"/>
  <c r="O305" i="43"/>
  <c r="O306" i="43"/>
  <c r="O307" i="43"/>
  <c r="O308" i="43"/>
  <c r="O309" i="43"/>
  <c r="O232" i="43"/>
  <c r="O218" i="43"/>
  <c r="O219" i="43"/>
  <c r="B71" i="43"/>
  <c r="B157" i="43"/>
  <c r="B162" i="43"/>
  <c r="O137" i="43"/>
  <c r="O138" i="43"/>
  <c r="O139" i="43"/>
  <c r="O140" i="43"/>
  <c r="O141" i="43"/>
  <c r="O142" i="43"/>
  <c r="O143" i="43"/>
  <c r="O144" i="43"/>
  <c r="O145" i="43"/>
  <c r="O146" i="43"/>
  <c r="O147" i="43"/>
  <c r="O148" i="43"/>
  <c r="O149" i="43"/>
  <c r="O150" i="43"/>
  <c r="O151" i="43"/>
  <c r="O152" i="43"/>
  <c r="O153" i="43"/>
  <c r="O154" i="43"/>
  <c r="O156" i="43"/>
  <c r="O159" i="43"/>
  <c r="O161" i="43"/>
  <c r="C162" i="43"/>
  <c r="D162" i="43"/>
  <c r="E162" i="43"/>
  <c r="F162" i="43"/>
  <c r="G162" i="43"/>
  <c r="H162" i="43"/>
  <c r="I162" i="43"/>
  <c r="J162" i="43"/>
  <c r="K162" i="43"/>
  <c r="L162" i="43"/>
  <c r="M162" i="43"/>
  <c r="N162" i="43"/>
  <c r="Q34" i="23" l="1"/>
  <c r="T34" i="23" s="1"/>
  <c r="Q31" i="23"/>
  <c r="F38" i="23"/>
  <c r="G38" i="23"/>
  <c r="H38" i="23"/>
  <c r="I38" i="23"/>
  <c r="J38" i="23"/>
  <c r="K38" i="23"/>
  <c r="L38" i="23"/>
  <c r="M38" i="23"/>
  <c r="N38" i="23"/>
  <c r="O38" i="23"/>
  <c r="F22" i="23"/>
  <c r="G22" i="23"/>
  <c r="H22" i="23"/>
  <c r="I22" i="23"/>
  <c r="J22" i="23"/>
  <c r="K22" i="23"/>
  <c r="L22" i="23"/>
  <c r="M22" i="23"/>
  <c r="N22" i="23"/>
  <c r="O22" i="23"/>
  <c r="P22" i="23"/>
  <c r="P41" i="23" s="1"/>
  <c r="Q27" i="23"/>
  <c r="Q6" i="23"/>
  <c r="T31" i="23" l="1"/>
  <c r="Q10" i="23" l="1"/>
  <c r="Q11" i="23"/>
  <c r="Q22" i="23" l="1"/>
  <c r="J154" i="20"/>
  <c r="O43" i="43" l="1"/>
  <c r="O44" i="43"/>
  <c r="O45" i="43"/>
  <c r="O46" i="43"/>
  <c r="O47" i="43"/>
  <c r="O48" i="43"/>
  <c r="O49" i="43"/>
  <c r="O50" i="43"/>
  <c r="O51" i="43"/>
  <c r="O52" i="43"/>
  <c r="O53" i="43"/>
  <c r="O54" i="43"/>
  <c r="O12" i="43"/>
  <c r="O13" i="43"/>
  <c r="O14" i="43"/>
  <c r="O15" i="43"/>
  <c r="O16" i="43"/>
  <c r="O17" i="43"/>
  <c r="O18" i="43"/>
  <c r="O19" i="43"/>
  <c r="O20" i="43"/>
  <c r="O21" i="43"/>
  <c r="O22" i="43"/>
  <c r="O23" i="43"/>
  <c r="O24" i="43"/>
  <c r="O25" i="43"/>
  <c r="O27" i="43"/>
  <c r="O28" i="43"/>
  <c r="O29" i="43"/>
  <c r="O30" i="43"/>
  <c r="O31" i="43"/>
  <c r="O32" i="43"/>
  <c r="O33" i="43"/>
  <c r="O34" i="43"/>
  <c r="O35" i="43"/>
  <c r="O36" i="43"/>
  <c r="O37" i="43"/>
  <c r="O38" i="43"/>
  <c r="O39" i="43"/>
  <c r="O40" i="43"/>
  <c r="O41" i="43"/>
  <c r="O42" i="43"/>
  <c r="O11" i="43"/>
  <c r="L259" i="31" l="1"/>
  <c r="J146" i="20" l="1"/>
  <c r="E5" i="38" l="1"/>
  <c r="E3" i="38" l="1"/>
  <c r="C335" i="43" l="1"/>
  <c r="D335" i="43"/>
  <c r="E335" i="43"/>
  <c r="F335" i="43"/>
  <c r="G335" i="43"/>
  <c r="H335" i="43"/>
  <c r="I335" i="43"/>
  <c r="J335" i="43"/>
  <c r="K335" i="43"/>
  <c r="L335" i="43"/>
  <c r="M335" i="43"/>
  <c r="N335" i="43"/>
  <c r="B335" i="43"/>
  <c r="O327" i="43"/>
  <c r="O328" i="43"/>
  <c r="O329" i="43"/>
  <c r="O317" i="43"/>
  <c r="O318" i="43"/>
  <c r="O319" i="43"/>
  <c r="O320" i="43"/>
  <c r="O321" i="43"/>
  <c r="O322" i="43"/>
  <c r="O323" i="43"/>
  <c r="O231" i="43"/>
  <c r="O233" i="43"/>
  <c r="O234" i="43"/>
  <c r="O235" i="43"/>
  <c r="O335" i="43"/>
  <c r="O187" i="43"/>
  <c r="O194" i="43"/>
  <c r="O195" i="43"/>
  <c r="O196" i="43"/>
  <c r="O197" i="43"/>
  <c r="O198" i="43"/>
  <c r="O199" i="43"/>
  <c r="O200" i="43"/>
  <c r="O201" i="43"/>
  <c r="O202" i="43"/>
  <c r="O226" i="43"/>
  <c r="O227" i="43"/>
  <c r="O228" i="43"/>
  <c r="O229" i="43"/>
  <c r="B237" i="43"/>
  <c r="C237" i="43"/>
  <c r="D237" i="43"/>
  <c r="E237" i="43"/>
  <c r="F237" i="43"/>
  <c r="G237" i="43"/>
  <c r="H237" i="43"/>
  <c r="I237" i="43"/>
  <c r="J237" i="43"/>
  <c r="K237" i="43"/>
  <c r="L237" i="43"/>
  <c r="M237" i="43"/>
  <c r="O57" i="43"/>
  <c r="C168" i="43"/>
  <c r="D168" i="43"/>
  <c r="E168" i="43"/>
  <c r="F168" i="43"/>
  <c r="G168" i="43"/>
  <c r="H168" i="43"/>
  <c r="I168" i="43"/>
  <c r="J168" i="43"/>
  <c r="K168" i="43"/>
  <c r="L168" i="43"/>
  <c r="M168" i="43"/>
  <c r="N168" i="43"/>
  <c r="B168" i="43"/>
  <c r="O237" i="43" l="1"/>
  <c r="O168" i="43"/>
  <c r="D175" i="43" l="1"/>
  <c r="E175" i="43"/>
  <c r="F175" i="43"/>
  <c r="G175" i="43"/>
  <c r="H175" i="43"/>
  <c r="I175" i="43"/>
  <c r="J175" i="43"/>
  <c r="K175" i="43"/>
  <c r="L175" i="43"/>
  <c r="M175" i="43"/>
  <c r="N175" i="43"/>
  <c r="O176" i="43"/>
  <c r="O177" i="43"/>
  <c r="C71" i="43"/>
  <c r="D71" i="43"/>
  <c r="E71" i="43"/>
  <c r="F71" i="43"/>
  <c r="G71" i="43"/>
  <c r="H71" i="43"/>
  <c r="I71" i="43"/>
  <c r="J71" i="43"/>
  <c r="K71" i="43"/>
  <c r="L71" i="43"/>
  <c r="M71" i="43"/>
  <c r="F72" i="41" l="1"/>
  <c r="G72" i="41"/>
  <c r="F68" i="41"/>
  <c r="G68" i="41"/>
  <c r="F64" i="41"/>
  <c r="G64" i="41"/>
  <c r="F60" i="41"/>
  <c r="G60" i="41"/>
  <c r="J41" i="41"/>
  <c r="K20" i="41"/>
  <c r="K16" i="41"/>
  <c r="K12" i="41"/>
  <c r="L92" i="31" l="1"/>
  <c r="L93" i="31" s="1"/>
  <c r="L98" i="31"/>
  <c r="L133" i="31"/>
  <c r="L141" i="31"/>
  <c r="L156" i="31"/>
  <c r="L158" i="31" s="1"/>
  <c r="L251" i="31" s="1"/>
  <c r="L12" i="31" l="1"/>
  <c r="L13" i="31" s="1"/>
  <c r="F99" i="46"/>
  <c r="F100" i="45"/>
  <c r="D109" i="2" l="1"/>
  <c r="C109" i="2"/>
  <c r="E77" i="38" l="1"/>
  <c r="E73" i="38" l="1"/>
  <c r="E76" i="38"/>
  <c r="E78" i="38"/>
  <c r="E70" i="38"/>
  <c r="E68" i="38"/>
  <c r="E79" i="38"/>
  <c r="E75" i="38"/>
  <c r="E71" i="38"/>
  <c r="E56" i="38"/>
  <c r="E72" i="38"/>
  <c r="E74" i="38"/>
  <c r="E59" i="38"/>
  <c r="E55" i="38"/>
  <c r="E69" i="38"/>
  <c r="E58" i="38"/>
  <c r="E57" i="38"/>
  <c r="O191" i="43"/>
  <c r="O250" i="43" l="1"/>
  <c r="O251" i="43"/>
  <c r="O252" i="43"/>
  <c r="O253" i="43"/>
  <c r="O254" i="43"/>
  <c r="O255" i="43"/>
  <c r="O256" i="43"/>
  <c r="O257" i="43"/>
  <c r="O258" i="43"/>
  <c r="O259" i="43"/>
  <c r="O260" i="43"/>
  <c r="O261" i="43"/>
  <c r="O263" i="43"/>
  <c r="O264" i="43"/>
  <c r="O265" i="43"/>
  <c r="O266" i="43"/>
  <c r="O267" i="43"/>
  <c r="O268" i="43"/>
  <c r="O269" i="43"/>
  <c r="O270" i="43"/>
  <c r="O271" i="43"/>
  <c r="O272" i="43"/>
  <c r="O273" i="43"/>
  <c r="O274" i="43"/>
  <c r="O275" i="43"/>
  <c r="O276" i="43"/>
  <c r="O277" i="43"/>
  <c r="O278" i="43"/>
  <c r="O279" i="43"/>
  <c r="O280" i="43"/>
  <c r="O281" i="43"/>
  <c r="O282" i="43"/>
  <c r="O283" i="43"/>
  <c r="O284" i="43"/>
  <c r="O285" i="43"/>
  <c r="O286" i="43"/>
  <c r="O287" i="43"/>
  <c r="O288" i="43"/>
  <c r="O289" i="43"/>
  <c r="O290" i="43"/>
  <c r="O310" i="43"/>
  <c r="O311" i="43"/>
  <c r="O312" i="43"/>
  <c r="O313" i="43"/>
  <c r="O314" i="43"/>
  <c r="O315" i="43"/>
  <c r="O316" i="43"/>
  <c r="O249" i="43"/>
  <c r="O245" i="43"/>
  <c r="O244" i="43"/>
  <c r="O243" i="43"/>
  <c r="O242" i="43"/>
  <c r="O241" i="43"/>
  <c r="O240" i="43"/>
  <c r="O189" i="43"/>
  <c r="O190" i="43"/>
  <c r="O192" i="43"/>
  <c r="O193" i="43"/>
  <c r="M330" i="43"/>
  <c r="L330" i="43"/>
  <c r="K330" i="43"/>
  <c r="J330" i="43"/>
  <c r="I330" i="43"/>
  <c r="H330" i="43"/>
  <c r="G330" i="43"/>
  <c r="F330" i="43"/>
  <c r="E330" i="43"/>
  <c r="D330" i="43"/>
  <c r="C330" i="43"/>
  <c r="B330" i="43"/>
  <c r="N332" i="43"/>
  <c r="N334" i="43"/>
  <c r="M246" i="43"/>
  <c r="M334" i="43" s="1"/>
  <c r="L246" i="43"/>
  <c r="L334" i="43" s="1"/>
  <c r="K246" i="43"/>
  <c r="K334" i="43" s="1"/>
  <c r="J246" i="43"/>
  <c r="J334" i="43" s="1"/>
  <c r="I246" i="43"/>
  <c r="I334" i="43" s="1"/>
  <c r="H246" i="43"/>
  <c r="H334" i="43" s="1"/>
  <c r="G246" i="43"/>
  <c r="G334" i="43" s="1"/>
  <c r="F246" i="43"/>
  <c r="F334" i="43" s="1"/>
  <c r="E246" i="43"/>
  <c r="E334" i="43" s="1"/>
  <c r="D246" i="43"/>
  <c r="D334" i="43" s="1"/>
  <c r="C246" i="43"/>
  <c r="C334" i="43" s="1"/>
  <c r="B246" i="43"/>
  <c r="B334" i="43" s="1"/>
  <c r="C175" i="43"/>
  <c r="B175" i="43"/>
  <c r="O136" i="43"/>
  <c r="O135" i="43"/>
  <c r="O134" i="43"/>
  <c r="O133" i="43"/>
  <c r="O132" i="43"/>
  <c r="O131" i="43"/>
  <c r="O130" i="43"/>
  <c r="O129" i="43"/>
  <c r="O128" i="43"/>
  <c r="O127" i="43"/>
  <c r="O126" i="43"/>
  <c r="O125" i="43"/>
  <c r="O124" i="43"/>
  <c r="O123" i="43"/>
  <c r="O122" i="43"/>
  <c r="O121" i="43"/>
  <c r="O120" i="43"/>
  <c r="O119" i="43"/>
  <c r="O118" i="43"/>
  <c r="O117" i="43"/>
  <c r="O116" i="43"/>
  <c r="O115" i="43"/>
  <c r="O114" i="43"/>
  <c r="O113" i="43"/>
  <c r="O112" i="43"/>
  <c r="O111" i="43"/>
  <c r="O110" i="43"/>
  <c r="O109" i="43"/>
  <c r="O108" i="43"/>
  <c r="O107" i="43"/>
  <c r="O106" i="43"/>
  <c r="O105" i="43"/>
  <c r="O104" i="43"/>
  <c r="O103" i="43"/>
  <c r="O102" i="43"/>
  <c r="O101" i="43"/>
  <c r="O100" i="43"/>
  <c r="O99" i="43"/>
  <c r="O96" i="43"/>
  <c r="O95" i="43"/>
  <c r="O94" i="43"/>
  <c r="O93" i="43"/>
  <c r="O92" i="43"/>
  <c r="O91" i="43"/>
  <c r="O90" i="43"/>
  <c r="O89" i="43"/>
  <c r="O88" i="43"/>
  <c r="O87" i="43"/>
  <c r="O86" i="43"/>
  <c r="O85" i="43"/>
  <c r="O84" i="43"/>
  <c r="O83" i="43"/>
  <c r="O82" i="43"/>
  <c r="M157" i="43"/>
  <c r="L157" i="43"/>
  <c r="K157" i="43"/>
  <c r="J157" i="43"/>
  <c r="I157" i="43"/>
  <c r="H157" i="43"/>
  <c r="G157" i="43"/>
  <c r="F157" i="43"/>
  <c r="E157" i="43"/>
  <c r="C157" i="43"/>
  <c r="O74" i="43"/>
  <c r="O75" i="43"/>
  <c r="O76" i="43"/>
  <c r="O77" i="43"/>
  <c r="O78" i="43"/>
  <c r="O79" i="43"/>
  <c r="O60" i="43"/>
  <c r="O61" i="43"/>
  <c r="O62" i="43"/>
  <c r="O63" i="43"/>
  <c r="O65" i="43"/>
  <c r="O66" i="43"/>
  <c r="O67" i="43"/>
  <c r="O68" i="43"/>
  <c r="O69" i="43"/>
  <c r="O70" i="43"/>
  <c r="O6" i="43"/>
  <c r="N167" i="43"/>
  <c r="M167" i="43"/>
  <c r="L167" i="43"/>
  <c r="K167" i="43"/>
  <c r="J167" i="43"/>
  <c r="I167" i="43"/>
  <c r="H167" i="43"/>
  <c r="G167" i="43"/>
  <c r="F167" i="43"/>
  <c r="E167" i="43"/>
  <c r="D167" i="43"/>
  <c r="C167" i="43"/>
  <c r="B167" i="43"/>
  <c r="N71" i="43"/>
  <c r="O167" i="43" l="1"/>
  <c r="O157" i="43"/>
  <c r="O162" i="43"/>
  <c r="O55" i="43"/>
  <c r="H165" i="43"/>
  <c r="O246" i="43"/>
  <c r="O334" i="43" s="1"/>
  <c r="I38" i="20" s="1"/>
  <c r="L47" i="31" s="1"/>
  <c r="C166" i="43"/>
  <c r="K166" i="43"/>
  <c r="B165" i="43"/>
  <c r="F165" i="43"/>
  <c r="J165" i="43"/>
  <c r="N165" i="43"/>
  <c r="E166" i="43"/>
  <c r="M166" i="43"/>
  <c r="K332" i="43"/>
  <c r="B333" i="43"/>
  <c r="F333" i="43"/>
  <c r="J333" i="43"/>
  <c r="N333" i="43"/>
  <c r="N336" i="43" s="1"/>
  <c r="I166" i="43"/>
  <c r="D165" i="43"/>
  <c r="L165" i="43"/>
  <c r="G166" i="43"/>
  <c r="E165" i="43"/>
  <c r="I165" i="43"/>
  <c r="M165" i="43"/>
  <c r="D166" i="43"/>
  <c r="H166" i="43"/>
  <c r="L166" i="43"/>
  <c r="C333" i="43"/>
  <c r="G333" i="43"/>
  <c r="K333" i="43"/>
  <c r="O324" i="43"/>
  <c r="O330" i="43"/>
  <c r="H332" i="43"/>
  <c r="L332" i="43"/>
  <c r="C332" i="43"/>
  <c r="D332" i="43"/>
  <c r="G332" i="43"/>
  <c r="B332" i="43"/>
  <c r="F332" i="43"/>
  <c r="J332" i="43"/>
  <c r="J336" i="43" s="1"/>
  <c r="E333" i="43"/>
  <c r="I333" i="43"/>
  <c r="M333" i="43"/>
  <c r="C165" i="43"/>
  <c r="G165" i="43"/>
  <c r="K165" i="43"/>
  <c r="B166" i="43"/>
  <c r="F166" i="43"/>
  <c r="J166" i="43"/>
  <c r="N166" i="43"/>
  <c r="E332" i="43"/>
  <c r="I332" i="43"/>
  <c r="M332" i="43"/>
  <c r="D333" i="43"/>
  <c r="H333" i="43"/>
  <c r="L333" i="43"/>
  <c r="F336" i="43" l="1"/>
  <c r="B336" i="43"/>
  <c r="G336" i="43"/>
  <c r="E336" i="43"/>
  <c r="I169" i="43"/>
  <c r="I336" i="43"/>
  <c r="D336" i="43"/>
  <c r="C336" i="43"/>
  <c r="L336" i="43"/>
  <c r="M336" i="43"/>
  <c r="H336" i="43"/>
  <c r="K336" i="43"/>
  <c r="E169" i="43"/>
  <c r="N169" i="43"/>
  <c r="O166" i="43"/>
  <c r="K169" i="43"/>
  <c r="M169" i="43"/>
  <c r="J169" i="43"/>
  <c r="D169" i="43"/>
  <c r="B169" i="43"/>
  <c r="O165" i="43"/>
  <c r="C169" i="43"/>
  <c r="H169" i="43"/>
  <c r="G169" i="43"/>
  <c r="L169" i="43"/>
  <c r="F169" i="43"/>
  <c r="L48" i="31"/>
  <c r="O333" i="43"/>
  <c r="H38" i="20" s="1"/>
  <c r="O169" i="43" l="1"/>
  <c r="G9" i="20"/>
  <c r="F109" i="20" l="1"/>
  <c r="M85" i="34"/>
  <c r="M84" i="45"/>
  <c r="M84" i="46"/>
  <c r="Q32" i="23" l="1"/>
  <c r="T32" i="23" s="1"/>
  <c r="Q33" i="23"/>
  <c r="T33" i="23" s="1"/>
  <c r="Q38" i="23" l="1"/>
  <c r="T38" i="23"/>
  <c r="U27" i="23"/>
  <c r="J204" i="20" s="1"/>
  <c r="P45" i="44"/>
  <c r="P44" i="44"/>
  <c r="P52" i="44"/>
  <c r="P54" i="44"/>
  <c r="P55" i="44"/>
  <c r="J205" i="20" l="1"/>
  <c r="H72" i="41"/>
  <c r="H68" i="41"/>
  <c r="H64" i="41"/>
  <c r="H60" i="41"/>
  <c r="O181" i="43"/>
  <c r="O180" i="43"/>
  <c r="O179" i="43"/>
  <c r="O178" i="43"/>
  <c r="O73" i="43"/>
  <c r="O80" i="43" s="1"/>
  <c r="I9" i="20" s="1"/>
  <c r="L31" i="31" s="1"/>
  <c r="L273" i="31" s="1"/>
  <c r="L282" i="31" s="1"/>
  <c r="O59" i="43"/>
  <c r="O71" i="43" s="1"/>
  <c r="O222" i="43" l="1"/>
  <c r="O332" i="43" s="1"/>
  <c r="L33" i="31"/>
  <c r="L258" i="31" s="1"/>
  <c r="L260" i="31" s="1"/>
  <c r="L261" i="31" s="1"/>
  <c r="H9" i="20"/>
  <c r="H73" i="41"/>
  <c r="J99" i="20" s="1"/>
  <c r="C73" i="41"/>
  <c r="G38" i="20" l="1"/>
  <c r="F38" i="20" s="1"/>
  <c r="O336" i="43"/>
  <c r="C74" i="41"/>
  <c r="J98" i="20"/>
  <c r="J100" i="20" s="1"/>
  <c r="P6" i="44" l="1"/>
  <c r="P8" i="44"/>
  <c r="P9" i="44"/>
  <c r="D114" i="34" l="1"/>
  <c r="G122" i="34"/>
  <c r="G123" i="34" s="1"/>
  <c r="G124" i="34" s="1"/>
  <c r="G125" i="34" s="1"/>
  <c r="G126" i="34" s="1"/>
  <c r="H12" i="31" l="1"/>
  <c r="H13" i="31" s="1"/>
  <c r="H38" i="31"/>
  <c r="H53" i="31"/>
  <c r="L53" i="31" s="1"/>
  <c r="H54" i="31"/>
  <c r="L54" i="31" s="1"/>
  <c r="H108" i="31"/>
  <c r="H126" i="31"/>
  <c r="H129" i="31"/>
  <c r="H130" i="31"/>
  <c r="H141" i="31"/>
  <c r="H145" i="31"/>
  <c r="H148" i="31"/>
  <c r="L148" i="31" s="1"/>
  <c r="L150" i="31" s="1"/>
  <c r="L152" i="31" s="1"/>
  <c r="L250" i="31" s="1"/>
  <c r="H197" i="31"/>
  <c r="H199" i="31"/>
  <c r="H200" i="31"/>
  <c r="H225" i="31"/>
  <c r="H226" i="31" s="1"/>
  <c r="H229" i="31"/>
  <c r="I79" i="20"/>
  <c r="H78" i="31" l="1"/>
  <c r="L55" i="31"/>
  <c r="L57" i="31" s="1"/>
  <c r="L59" i="31" s="1"/>
  <c r="H39" i="31"/>
  <c r="L38" i="31"/>
  <c r="L39" i="31" s="1"/>
  <c r="L41" i="31" s="1"/>
  <c r="H131" i="31"/>
  <c r="H85" i="31"/>
  <c r="H56" i="31"/>
  <c r="H121" i="31"/>
  <c r="H149" i="31"/>
  <c r="H150" i="31" s="1"/>
  <c r="H152" i="31" s="1"/>
  <c r="H250" i="31" s="1"/>
  <c r="H40" i="31"/>
  <c r="H55" i="31"/>
  <c r="H230" i="31"/>
  <c r="D53" i="46"/>
  <c r="D50" i="45"/>
  <c r="D53" i="45" s="1"/>
  <c r="H57" i="31" l="1"/>
  <c r="H41" i="31"/>
  <c r="P56" i="44" l="1"/>
  <c r="P25" i="44"/>
  <c r="L110" i="31"/>
  <c r="L111" i="31" s="1"/>
  <c r="K243" i="20"/>
  <c r="K242" i="20"/>
  <c r="H178" i="31" l="1"/>
  <c r="K246" i="20"/>
  <c r="H110" i="31" l="1"/>
  <c r="J147" i="20"/>
  <c r="Q213" i="20" l="1"/>
  <c r="H84" i="31" l="1"/>
  <c r="H86" i="31" s="1"/>
  <c r="P50" i="44"/>
  <c r="P51" i="44"/>
  <c r="P58" i="44" l="1"/>
  <c r="J95" i="46" l="1"/>
  <c r="J96" i="45"/>
  <c r="J113" i="34"/>
  <c r="J115" i="34" s="1"/>
  <c r="W11" i="23" l="1"/>
  <c r="E11" i="38" l="1"/>
  <c r="E12" i="38"/>
  <c r="E13" i="38"/>
  <c r="E14" i="38"/>
  <c r="E15" i="38"/>
  <c r="E16" i="38"/>
  <c r="E17" i="38"/>
  <c r="E18" i="38"/>
  <c r="E19" i="38"/>
  <c r="E20" i="38"/>
  <c r="E21" i="38"/>
  <c r="E22" i="38"/>
  <c r="E23" i="38"/>
  <c r="E24" i="38"/>
  <c r="E25" i="38"/>
  <c r="E26" i="38"/>
  <c r="E27" i="38"/>
  <c r="E28" i="38"/>
  <c r="E29" i="38"/>
  <c r="E30" i="38"/>
  <c r="E31" i="38"/>
  <c r="E32" i="38"/>
  <c r="E33" i="38"/>
  <c r="E34" i="38"/>
  <c r="E35" i="38"/>
  <c r="E36" i="38"/>
  <c r="E37" i="38"/>
  <c r="E38" i="38"/>
  <c r="E39" i="38"/>
  <c r="E40" i="38"/>
  <c r="E41" i="38"/>
  <c r="E42" i="38"/>
  <c r="E43" i="38"/>
  <c r="E44" i="38"/>
  <c r="E45" i="38"/>
  <c r="E46" i="38"/>
  <c r="E47" i="38"/>
  <c r="E48" i="38"/>
  <c r="E49" i="38"/>
  <c r="E50" i="38"/>
  <c r="E51" i="38"/>
  <c r="E52" i="38"/>
  <c r="E53" i="38"/>
  <c r="E54" i="38"/>
  <c r="E10" i="38"/>
  <c r="H177" i="31" l="1"/>
  <c r="H149" i="20"/>
  <c r="H133" i="20"/>
  <c r="J85" i="20" l="1"/>
  <c r="D56" i="46" l="1"/>
  <c r="D56" i="45"/>
  <c r="G103" i="45" l="1"/>
  <c r="G104" i="45" s="1"/>
  <c r="G105" i="45" s="1"/>
  <c r="G106" i="45" s="1"/>
  <c r="G107" i="45" s="1"/>
  <c r="G108" i="45" s="1"/>
  <c r="G109" i="45" s="1"/>
  <c r="G110" i="45" s="1"/>
  <c r="G111" i="45" s="1"/>
  <c r="G112" i="45" s="1"/>
  <c r="G113" i="45" s="1"/>
  <c r="G114" i="45" s="1"/>
  <c r="G117" i="45" s="1"/>
  <c r="G118" i="45" s="1"/>
  <c r="G119" i="45" s="1"/>
  <c r="G120" i="45" s="1"/>
  <c r="G121" i="45" s="1"/>
  <c r="G122" i="45" s="1"/>
  <c r="G123" i="45" s="1"/>
  <c r="G124" i="45" s="1"/>
  <c r="G125" i="45" s="1"/>
  <c r="G126" i="45" s="1"/>
  <c r="G127" i="45" s="1"/>
  <c r="G128" i="45" s="1"/>
  <c r="G129" i="45" s="1"/>
  <c r="G130" i="45" s="1"/>
  <c r="G131" i="45" s="1"/>
  <c r="G132" i="45" s="1"/>
  <c r="G133" i="45" s="1"/>
  <c r="G102" i="46"/>
  <c r="G103" i="46" s="1"/>
  <c r="G104" i="46" s="1"/>
  <c r="G105" i="46" s="1"/>
  <c r="G106" i="46" s="1"/>
  <c r="G107" i="46" s="1"/>
  <c r="G108" i="46" s="1"/>
  <c r="G109" i="46" s="1"/>
  <c r="G110" i="46" s="1"/>
  <c r="G111" i="46" s="1"/>
  <c r="G112" i="46" s="1"/>
  <c r="G113" i="46" s="1"/>
  <c r="G116" i="46" s="1"/>
  <c r="G117" i="46" s="1"/>
  <c r="G118" i="46" s="1"/>
  <c r="G119" i="46" s="1"/>
  <c r="G120" i="46" s="1"/>
  <c r="G121" i="46" s="1"/>
  <c r="G122" i="46" s="1"/>
  <c r="G123" i="46" s="1"/>
  <c r="G124" i="46" s="1"/>
  <c r="G125" i="46" s="1"/>
  <c r="G126" i="46" s="1"/>
  <c r="G127" i="46" s="1"/>
  <c r="G128" i="46" s="1"/>
  <c r="G129" i="46" s="1"/>
  <c r="G130" i="46" s="1"/>
  <c r="G131" i="46" s="1"/>
  <c r="G132" i="46" s="1"/>
  <c r="D95" i="46" l="1"/>
  <c r="D113" i="34"/>
  <c r="D115" i="34" s="1"/>
  <c r="G89" i="45"/>
  <c r="G90" i="45"/>
  <c r="G88" i="45"/>
  <c r="G86" i="45"/>
  <c r="G87" i="45"/>
  <c r="G85" i="45"/>
  <c r="G83" i="45"/>
  <c r="G84" i="45"/>
  <c r="G82" i="45"/>
  <c r="G80" i="45"/>
  <c r="G81" i="45"/>
  <c r="G79" i="45"/>
  <c r="H170" i="31" l="1"/>
  <c r="J110" i="31" l="1"/>
  <c r="J53" i="31" l="1"/>
  <c r="J130" i="31"/>
  <c r="H267" i="31"/>
  <c r="F16" i="5"/>
  <c r="E55" i="20"/>
  <c r="E61" i="20" s="1"/>
  <c r="H49" i="41"/>
  <c r="H45" i="41"/>
  <c r="H41" i="41"/>
  <c r="H37" i="41"/>
  <c r="I49" i="41"/>
  <c r="I45" i="41"/>
  <c r="I41" i="41"/>
  <c r="I37" i="41"/>
  <c r="G89" i="34"/>
  <c r="G90" i="34"/>
  <c r="G91" i="34"/>
  <c r="G88" i="34"/>
  <c r="G80" i="34"/>
  <c r="F20" i="41"/>
  <c r="F16" i="41"/>
  <c r="F12" i="41"/>
  <c r="G88" i="46"/>
  <c r="G89" i="46"/>
  <c r="G90" i="46"/>
  <c r="G86" i="46"/>
  <c r="G87" i="46"/>
  <c r="G82" i="46"/>
  <c r="H82" i="46" s="1"/>
  <c r="J82" i="46" s="1"/>
  <c r="G83" i="46"/>
  <c r="G84" i="46"/>
  <c r="G80" i="46"/>
  <c r="H80" i="46" s="1"/>
  <c r="J80" i="46" s="1"/>
  <c r="G81" i="46"/>
  <c r="H81" i="46" s="1"/>
  <c r="J81" i="46" s="1"/>
  <c r="J166" i="34"/>
  <c r="H31" i="20"/>
  <c r="J35" i="31" s="1"/>
  <c r="K47" i="31"/>
  <c r="H62" i="20"/>
  <c r="K110" i="31"/>
  <c r="G127" i="34"/>
  <c r="G128" i="34" s="1"/>
  <c r="G129" i="34" s="1"/>
  <c r="G130" i="34" s="1"/>
  <c r="G131" i="34" s="1"/>
  <c r="G132" i="34" s="1"/>
  <c r="G133" i="34" s="1"/>
  <c r="G136" i="34" s="1"/>
  <c r="G137" i="34" s="1"/>
  <c r="G138" i="34" s="1"/>
  <c r="G139" i="34" s="1"/>
  <c r="G140" i="34" s="1"/>
  <c r="G141" i="34" s="1"/>
  <c r="G142" i="34" s="1"/>
  <c r="G143" i="34" s="1"/>
  <c r="G144" i="34" s="1"/>
  <c r="G145" i="34" s="1"/>
  <c r="G146" i="34" s="1"/>
  <c r="G147" i="34" s="1"/>
  <c r="G148" i="34" s="1"/>
  <c r="G149" i="34" s="1"/>
  <c r="G150" i="34" s="1"/>
  <c r="G151" i="34" s="1"/>
  <c r="G152" i="34" s="1"/>
  <c r="J78" i="31"/>
  <c r="Q214" i="20"/>
  <c r="F223" i="20"/>
  <c r="J223" i="20" s="1"/>
  <c r="J96" i="31" s="1"/>
  <c r="H96" i="31" s="1"/>
  <c r="F228" i="20"/>
  <c r="J228" i="20" s="1"/>
  <c r="J97" i="31" s="1"/>
  <c r="H97" i="31" s="1"/>
  <c r="J92" i="31"/>
  <c r="D215" i="20"/>
  <c r="E215" i="20"/>
  <c r="F215" i="20"/>
  <c r="G215" i="20"/>
  <c r="H215" i="20"/>
  <c r="I215" i="20"/>
  <c r="J215" i="20"/>
  <c r="K215" i="20"/>
  <c r="L215" i="20"/>
  <c r="M215" i="20"/>
  <c r="N215" i="20"/>
  <c r="O215" i="20"/>
  <c r="P215" i="20"/>
  <c r="J148" i="31"/>
  <c r="K148" i="31" s="1"/>
  <c r="J143" i="31"/>
  <c r="J141" i="31"/>
  <c r="K15" i="19"/>
  <c r="L10" i="19" s="1"/>
  <c r="G22" i="22"/>
  <c r="K12" i="31"/>
  <c r="K13" i="31" s="1"/>
  <c r="K53" i="31"/>
  <c r="K92" i="31"/>
  <c r="K98" i="31"/>
  <c r="K133" i="31"/>
  <c r="K156" i="31"/>
  <c r="K141" i="31"/>
  <c r="H79" i="45"/>
  <c r="J79" i="45" s="1"/>
  <c r="K293" i="31"/>
  <c r="B35" i="19"/>
  <c r="J126" i="31"/>
  <c r="J129" i="31"/>
  <c r="P26" i="44"/>
  <c r="P27" i="44"/>
  <c r="P28" i="44"/>
  <c r="H182" i="31" s="1"/>
  <c r="P22" i="44"/>
  <c r="C46" i="2"/>
  <c r="D46" i="2"/>
  <c r="H68" i="2"/>
  <c r="H71" i="2" s="1"/>
  <c r="G10" i="2" s="1"/>
  <c r="I43" i="2"/>
  <c r="I32" i="34"/>
  <c r="I33" i="34" s="1"/>
  <c r="C44" i="34"/>
  <c r="D246" i="20"/>
  <c r="J137" i="20"/>
  <c r="J138" i="20"/>
  <c r="J139" i="20"/>
  <c r="J140" i="20"/>
  <c r="J141" i="20"/>
  <c r="J142" i="20"/>
  <c r="J143" i="20"/>
  <c r="J144" i="20"/>
  <c r="J145" i="20"/>
  <c r="J148" i="20"/>
  <c r="D8" i="38"/>
  <c r="D89" i="38" s="1"/>
  <c r="C8" i="38"/>
  <c r="P16" i="44"/>
  <c r="H173" i="31" s="1"/>
  <c r="A31" i="39"/>
  <c r="A32" i="39" s="1"/>
  <c r="A33" i="39" s="1"/>
  <c r="A34" i="39" s="1"/>
  <c r="A35" i="39" s="1"/>
  <c r="A36" i="39" s="1"/>
  <c r="A37" i="39" s="1"/>
  <c r="A38" i="39" s="1"/>
  <c r="A39" i="39" s="1"/>
  <c r="A40" i="39" s="1"/>
  <c r="A41" i="39" s="1"/>
  <c r="A42" i="39" s="1"/>
  <c r="A43" i="39" s="1"/>
  <c r="A44" i="39" s="1"/>
  <c r="A45" i="39" s="1"/>
  <c r="A46" i="39" s="1"/>
  <c r="A47" i="39" s="1"/>
  <c r="A48" i="39" s="1"/>
  <c r="A49" i="39" s="1"/>
  <c r="A50" i="39" s="1"/>
  <c r="A51" i="39" s="1"/>
  <c r="A52" i="39" s="1"/>
  <c r="A53" i="39" s="1"/>
  <c r="A54" i="39" s="1"/>
  <c r="A55" i="39" s="1"/>
  <c r="A56" i="39" s="1"/>
  <c r="A57" i="39" s="1"/>
  <c r="A58" i="39" s="1"/>
  <c r="A59" i="39" s="1"/>
  <c r="A60" i="39" s="1"/>
  <c r="A61" i="39" s="1"/>
  <c r="A62" i="39" s="1"/>
  <c r="A63" i="39" s="1"/>
  <c r="A64" i="39" s="1"/>
  <c r="A65" i="39" s="1"/>
  <c r="A66" i="39" s="1"/>
  <c r="A67" i="39" s="1"/>
  <c r="A68" i="39" s="1"/>
  <c r="A69" i="39" s="1"/>
  <c r="A70" i="39" s="1"/>
  <c r="A71" i="39" s="1"/>
  <c r="A72" i="39" s="1"/>
  <c r="A73" i="39" s="1"/>
  <c r="G32" i="39"/>
  <c r="D32" i="39"/>
  <c r="C34" i="39"/>
  <c r="C35" i="39" s="1"/>
  <c r="H131" i="2"/>
  <c r="E69" i="31"/>
  <c r="D229" i="31"/>
  <c r="D158" i="46"/>
  <c r="E158" i="46"/>
  <c r="F158" i="46"/>
  <c r="G158" i="46"/>
  <c r="H158" i="46"/>
  <c r="C158" i="46"/>
  <c r="O146" i="46"/>
  <c r="N146" i="46"/>
  <c r="N147" i="46" s="1"/>
  <c r="N148" i="46" s="1"/>
  <c r="N149" i="46" s="1"/>
  <c r="N150" i="46" s="1"/>
  <c r="N151" i="46" s="1"/>
  <c r="N152" i="46" s="1"/>
  <c r="N153" i="46" s="1"/>
  <c r="N154" i="46" s="1"/>
  <c r="N155" i="46" s="1"/>
  <c r="N156" i="46" s="1"/>
  <c r="N157" i="46" s="1"/>
  <c r="M146" i="46"/>
  <c r="M147" i="46" s="1"/>
  <c r="L146" i="46"/>
  <c r="L147" i="46" s="1"/>
  <c r="K146" i="46"/>
  <c r="K147" i="46" s="1"/>
  <c r="K148" i="46" s="1"/>
  <c r="K149" i="46" s="1"/>
  <c r="K150" i="46" s="1"/>
  <c r="J146" i="46"/>
  <c r="J147" i="46" s="1"/>
  <c r="J148" i="46" s="1"/>
  <c r="J149" i="46" s="1"/>
  <c r="J150" i="46" s="1"/>
  <c r="J151" i="46" s="1"/>
  <c r="J152" i="46" s="1"/>
  <c r="J153" i="46" s="1"/>
  <c r="J154" i="46" s="1"/>
  <c r="J155" i="46" s="1"/>
  <c r="J156" i="46" s="1"/>
  <c r="J157" i="46" s="1"/>
  <c r="D44" i="46"/>
  <c r="E44" i="46"/>
  <c r="F44" i="46"/>
  <c r="G44" i="46"/>
  <c r="H44" i="46"/>
  <c r="C44" i="46"/>
  <c r="J32" i="46"/>
  <c r="J33" i="46" s="1"/>
  <c r="O32" i="46"/>
  <c r="O33" i="46" s="1"/>
  <c r="N32" i="46"/>
  <c r="N33" i="46" s="1"/>
  <c r="N34" i="46" s="1"/>
  <c r="N35" i="46" s="1"/>
  <c r="M32" i="46"/>
  <c r="M33" i="46" s="1"/>
  <c r="L32" i="46"/>
  <c r="L33" i="46" s="1"/>
  <c r="K32" i="46"/>
  <c r="K33" i="46" s="1"/>
  <c r="D178" i="34"/>
  <c r="E178" i="34"/>
  <c r="F178" i="34"/>
  <c r="G178" i="34"/>
  <c r="H178" i="34"/>
  <c r="N166" i="34"/>
  <c r="N167" i="34" s="1"/>
  <c r="N168" i="34" s="1"/>
  <c r="O166" i="34"/>
  <c r="O167" i="34" s="1"/>
  <c r="O168" i="34" s="1"/>
  <c r="O169" i="34" s="1"/>
  <c r="O170" i="34" s="1"/>
  <c r="O171" i="34" s="1"/>
  <c r="M166" i="34"/>
  <c r="L166" i="34"/>
  <c r="L167" i="34" s="1"/>
  <c r="K166" i="34"/>
  <c r="K167" i="34" s="1"/>
  <c r="D44" i="45"/>
  <c r="E44" i="45"/>
  <c r="F44" i="45"/>
  <c r="G44" i="45"/>
  <c r="H44" i="45"/>
  <c r="C44" i="45"/>
  <c r="D159" i="45"/>
  <c r="E159" i="45"/>
  <c r="F159" i="45"/>
  <c r="G159" i="45"/>
  <c r="H159" i="45"/>
  <c r="C159" i="45"/>
  <c r="J147" i="45"/>
  <c r="J148" i="45" s="1"/>
  <c r="O147" i="45"/>
  <c r="O148" i="45" s="1"/>
  <c r="O149" i="45" s="1"/>
  <c r="N147" i="45"/>
  <c r="N148" i="45" s="1"/>
  <c r="M147" i="45"/>
  <c r="M148" i="45" s="1"/>
  <c r="M149" i="45" s="1"/>
  <c r="L147" i="45"/>
  <c r="L148" i="45" s="1"/>
  <c r="K147" i="45"/>
  <c r="K32" i="45"/>
  <c r="K33" i="45" s="1"/>
  <c r="K34" i="45" s="1"/>
  <c r="L32" i="45"/>
  <c r="L33" i="45" s="1"/>
  <c r="L34" i="45" s="1"/>
  <c r="L35" i="45" s="1"/>
  <c r="L36" i="45" s="1"/>
  <c r="L37" i="45" s="1"/>
  <c r="L38" i="45" s="1"/>
  <c r="L39" i="45" s="1"/>
  <c r="L40" i="45" s="1"/>
  <c r="L41" i="45" s="1"/>
  <c r="L42" i="45" s="1"/>
  <c r="L43" i="45" s="1"/>
  <c r="M32" i="45"/>
  <c r="N32" i="45"/>
  <c r="N33" i="45" s="1"/>
  <c r="N34" i="45" s="1"/>
  <c r="O32" i="45"/>
  <c r="O33" i="45" s="1"/>
  <c r="O34" i="45" s="1"/>
  <c r="O35" i="45" s="1"/>
  <c r="O36" i="45" s="1"/>
  <c r="O37" i="45" s="1"/>
  <c r="O38" i="45" s="1"/>
  <c r="O39" i="45" s="1"/>
  <c r="O40" i="45" s="1"/>
  <c r="O41" i="45" s="1"/>
  <c r="O42" i="45" s="1"/>
  <c r="O43" i="45" s="1"/>
  <c r="J32" i="45"/>
  <c r="J32" i="34"/>
  <c r="J33" i="34" s="1"/>
  <c r="K32" i="34"/>
  <c r="K33" i="34" s="1"/>
  <c r="K34" i="34" s="1"/>
  <c r="L32" i="34"/>
  <c r="L33" i="34" s="1"/>
  <c r="L34" i="34" s="1"/>
  <c r="M32" i="34"/>
  <c r="D136" i="45"/>
  <c r="D135" i="46"/>
  <c r="J115" i="46"/>
  <c r="J116" i="45"/>
  <c r="H79" i="20"/>
  <c r="J79" i="20" s="1"/>
  <c r="J135" i="34"/>
  <c r="D65" i="46"/>
  <c r="D15" i="46" s="1"/>
  <c r="D74" i="45"/>
  <c r="D65" i="45"/>
  <c r="D16" i="34"/>
  <c r="D15" i="34"/>
  <c r="D20" i="5"/>
  <c r="D19" i="5"/>
  <c r="D18" i="5"/>
  <c r="I129" i="2"/>
  <c r="H69" i="31" s="1"/>
  <c r="E129" i="2"/>
  <c r="G68" i="2"/>
  <c r="G71" i="2" s="1"/>
  <c r="F10" i="2" s="1"/>
  <c r="G106" i="2"/>
  <c r="G109" i="2" s="1"/>
  <c r="F11" i="2" s="1"/>
  <c r="G43" i="2"/>
  <c r="G46" i="2" s="1"/>
  <c r="F12" i="2" s="1"/>
  <c r="I68" i="2"/>
  <c r="I71" i="2" s="1"/>
  <c r="H10" i="2" s="1"/>
  <c r="I108" i="2"/>
  <c r="I44" i="2"/>
  <c r="I45" i="2"/>
  <c r="W10" i="23"/>
  <c r="L204" i="20"/>
  <c r="H163" i="31"/>
  <c r="H169" i="31"/>
  <c r="H171" i="31"/>
  <c r="H164" i="31"/>
  <c r="H165" i="31"/>
  <c r="H166" i="31"/>
  <c r="P32" i="44"/>
  <c r="H186" i="31" s="1"/>
  <c r="P33" i="44"/>
  <c r="H187" i="31" s="1"/>
  <c r="P34" i="44"/>
  <c r="H188" i="31" s="1"/>
  <c r="P35" i="44"/>
  <c r="H189" i="31" s="1"/>
  <c r="P36" i="44"/>
  <c r="H190" i="31" s="1"/>
  <c r="P37" i="44"/>
  <c r="H191" i="31" s="1"/>
  <c r="P43" i="44"/>
  <c r="P15" i="44"/>
  <c r="H172" i="31" s="1"/>
  <c r="P39" i="44"/>
  <c r="H194" i="31" s="1"/>
  <c r="H209" i="31" s="1"/>
  <c r="G134" i="2"/>
  <c r="G136" i="2" s="1"/>
  <c r="G138" i="2" s="1"/>
  <c r="H121" i="20"/>
  <c r="J259" i="31" s="1"/>
  <c r="D17" i="5"/>
  <c r="A10" i="31"/>
  <c r="A11" i="31" s="1"/>
  <c r="F12" i="31" s="1"/>
  <c r="A16" i="31"/>
  <c r="A17" i="31" s="1"/>
  <c r="A18" i="31" s="1"/>
  <c r="F19" i="31" s="1"/>
  <c r="I132" i="2"/>
  <c r="H134" i="2"/>
  <c r="H136" i="2" s="1"/>
  <c r="H138" i="2" s="1"/>
  <c r="G40" i="22"/>
  <c r="D134" i="2"/>
  <c r="D136" i="2" s="1"/>
  <c r="F68" i="2"/>
  <c r="F71" i="2" s="1"/>
  <c r="E210" i="31"/>
  <c r="I227" i="20"/>
  <c r="B56" i="3"/>
  <c r="B57" i="3" s="1"/>
  <c r="B58" i="3" s="1"/>
  <c r="B59" i="3" s="1"/>
  <c r="B60" i="3" s="1"/>
  <c r="B61" i="3" s="1"/>
  <c r="B62" i="3" s="1"/>
  <c r="B63" i="3" s="1"/>
  <c r="B64" i="3" s="1"/>
  <c r="B65" i="3" s="1"/>
  <c r="B66" i="3" s="1"/>
  <c r="B67" i="3" s="1"/>
  <c r="B68" i="3" s="1"/>
  <c r="B70" i="3" s="1"/>
  <c r="B72" i="3" s="1"/>
  <c r="B74" i="3" s="1"/>
  <c r="I73" i="41"/>
  <c r="J73" i="41"/>
  <c r="K49" i="41"/>
  <c r="K45" i="41"/>
  <c r="K37" i="41"/>
  <c r="K41" i="41"/>
  <c r="J49" i="41"/>
  <c r="J45" i="41"/>
  <c r="J37" i="41"/>
  <c r="G49" i="41"/>
  <c r="G45" i="41"/>
  <c r="G41" i="41"/>
  <c r="G37" i="41"/>
  <c r="F49" i="41"/>
  <c r="F45" i="41"/>
  <c r="F37" i="41"/>
  <c r="F41" i="41"/>
  <c r="I20" i="41"/>
  <c r="I16" i="41"/>
  <c r="I12" i="41"/>
  <c r="J12" i="41"/>
  <c r="G20" i="41"/>
  <c r="G12" i="41"/>
  <c r="G16" i="41"/>
  <c r="H20" i="41"/>
  <c r="H16" i="41"/>
  <c r="H12" i="41"/>
  <c r="H246" i="20"/>
  <c r="F246" i="20"/>
  <c r="G246" i="20"/>
  <c r="A1" i="22"/>
  <c r="A1" i="5"/>
  <c r="A1" i="3"/>
  <c r="A1" i="2"/>
  <c r="C272" i="31"/>
  <c r="E129" i="31"/>
  <c r="A2" i="40"/>
  <c r="C220" i="20"/>
  <c r="A1" i="20"/>
  <c r="C234" i="20"/>
  <c r="H232" i="20" s="1"/>
  <c r="G35" i="22"/>
  <c r="G34" i="22"/>
  <c r="G33" i="22"/>
  <c r="F78" i="31"/>
  <c r="J136" i="20"/>
  <c r="E13" i="33"/>
  <c r="E16" i="33" s="1"/>
  <c r="L97" i="34" s="1"/>
  <c r="E12" i="20"/>
  <c r="C282" i="31"/>
  <c r="E267" i="31"/>
  <c r="E259" i="31"/>
  <c r="C258" i="31"/>
  <c r="E228" i="31"/>
  <c r="E223" i="31"/>
  <c r="F149" i="31"/>
  <c r="E147" i="31"/>
  <c r="B139" i="31"/>
  <c r="E126" i="31"/>
  <c r="E125" i="31"/>
  <c r="F121" i="31"/>
  <c r="E119" i="31"/>
  <c r="E117" i="31"/>
  <c r="E96" i="31"/>
  <c r="E97" i="31" s="1"/>
  <c r="F85" i="31"/>
  <c r="E84" i="31"/>
  <c r="E78" i="31"/>
  <c r="F56" i="31"/>
  <c r="C56" i="31"/>
  <c r="E47" i="31"/>
  <c r="F40" i="31"/>
  <c r="E31" i="31"/>
  <c r="B30" i="31"/>
  <c r="E16" i="31"/>
  <c r="J155" i="20"/>
  <c r="J153" i="20"/>
  <c r="J152" i="20"/>
  <c r="E47" i="20"/>
  <c r="E43" i="20"/>
  <c r="E38" i="20"/>
  <c r="E24" i="20"/>
  <c r="E30" i="20" s="1"/>
  <c r="E20" i="20"/>
  <c r="A28" i="5"/>
  <c r="A30" i="5" s="1"/>
  <c r="I222" i="20"/>
  <c r="B16" i="19"/>
  <c r="J76" i="20"/>
  <c r="H221" i="20"/>
  <c r="H226" i="20"/>
  <c r="J84" i="20"/>
  <c r="J70" i="20"/>
  <c r="C228" i="20"/>
  <c r="A16" i="22"/>
  <c r="A17" i="22"/>
  <c r="A18" i="22" s="1"/>
  <c r="A20" i="22" s="1"/>
  <c r="A21" i="22" s="1"/>
  <c r="A22" i="22" s="1"/>
  <c r="A24" i="22" s="1"/>
  <c r="A25" i="22" s="1"/>
  <c r="A26" i="22" s="1"/>
  <c r="A27" i="22" s="1"/>
  <c r="C11" i="22"/>
  <c r="H118" i="20"/>
  <c r="E70" i="2"/>
  <c r="A116" i="2"/>
  <c r="E51" i="20"/>
  <c r="E16" i="20"/>
  <c r="G36" i="22"/>
  <c r="E138" i="2"/>
  <c r="O147" i="46"/>
  <c r="O148" i="46" s="1"/>
  <c r="M167" i="34"/>
  <c r="M168" i="34" s="1"/>
  <c r="M169" i="34" s="1"/>
  <c r="M170" i="34" s="1"/>
  <c r="M33" i="45"/>
  <c r="M34" i="45" s="1"/>
  <c r="M35" i="45" s="1"/>
  <c r="M36" i="45" s="1"/>
  <c r="M37" i="45" s="1"/>
  <c r="M38" i="45" s="1"/>
  <c r="M39" i="45" s="1"/>
  <c r="M40" i="45" s="1"/>
  <c r="M41" i="45" s="1"/>
  <c r="M42" i="45" s="1"/>
  <c r="M43" i="45" s="1"/>
  <c r="O34" i="46"/>
  <c r="O35" i="46" s="1"/>
  <c r="O36" i="46" s="1"/>
  <c r="M33" i="34"/>
  <c r="M34" i="34" s="1"/>
  <c r="M35" i="34" s="1"/>
  <c r="M36" i="34" s="1"/>
  <c r="J16" i="41"/>
  <c r="J20" i="41"/>
  <c r="K148" i="45"/>
  <c r="K149" i="45" s="1"/>
  <c r="J33" i="45"/>
  <c r="J34" i="45" s="1"/>
  <c r="J35" i="45" s="1"/>
  <c r="J36" i="45" s="1"/>
  <c r="J37" i="45" s="1"/>
  <c r="J38" i="45" s="1"/>
  <c r="J39" i="45" s="1"/>
  <c r="J40" i="45" s="1"/>
  <c r="J41" i="45" s="1"/>
  <c r="J42" i="45" s="1"/>
  <c r="J43" i="45" s="1"/>
  <c r="J158" i="46" l="1"/>
  <c r="I134" i="2"/>
  <c r="F106" i="2"/>
  <c r="E70" i="3"/>
  <c r="H50" i="31"/>
  <c r="H52" i="31" s="1"/>
  <c r="H179" i="31"/>
  <c r="P29" i="44"/>
  <c r="H180" i="31"/>
  <c r="I106" i="2"/>
  <c r="I109" i="2" s="1"/>
  <c r="H11" i="2" s="1"/>
  <c r="A29" i="22"/>
  <c r="A33" i="22" s="1"/>
  <c r="A34" i="22" s="1"/>
  <c r="A35" i="22" s="1"/>
  <c r="A36" i="22" s="1"/>
  <c r="A37" i="22" s="1"/>
  <c r="E29" i="22"/>
  <c r="A19" i="31"/>
  <c r="A20" i="31" s="1"/>
  <c r="A22" i="31" s="1"/>
  <c r="G50" i="41"/>
  <c r="A5" i="38"/>
  <c r="A6" i="38" s="1"/>
  <c r="J196" i="20"/>
  <c r="L196" i="20" s="1"/>
  <c r="H198" i="31"/>
  <c r="H201" i="31" s="1"/>
  <c r="P46" i="44"/>
  <c r="H25" i="41"/>
  <c r="H87" i="31"/>
  <c r="H88" i="31" s="1"/>
  <c r="J87" i="31"/>
  <c r="H115" i="31"/>
  <c r="H120" i="31" s="1"/>
  <c r="F17" i="31"/>
  <c r="J167" i="34"/>
  <c r="J168" i="34" s="1"/>
  <c r="J169" i="34" s="1"/>
  <c r="J170" i="34" s="1"/>
  <c r="J171" i="34" s="1"/>
  <c r="J172" i="34" s="1"/>
  <c r="J173" i="34" s="1"/>
  <c r="J174" i="34" s="1"/>
  <c r="J175" i="34" s="1"/>
  <c r="J176" i="34" s="1"/>
  <c r="J177" i="34" s="1"/>
  <c r="H98" i="31"/>
  <c r="H192" i="31"/>
  <c r="H167" i="31"/>
  <c r="H174" i="31" s="1"/>
  <c r="K31" i="31"/>
  <c r="K33" i="31" s="1"/>
  <c r="K35" i="31"/>
  <c r="H35" i="31"/>
  <c r="H37" i="31" s="1"/>
  <c r="L15" i="19"/>
  <c r="H83" i="46"/>
  <c r="J83" i="46" s="1"/>
  <c r="G108" i="34"/>
  <c r="H108" i="34" s="1"/>
  <c r="J108" i="34" s="1"/>
  <c r="G107" i="34"/>
  <c r="H107" i="34" s="1"/>
  <c r="J107" i="34" s="1"/>
  <c r="H89" i="34"/>
  <c r="J89" i="34" s="1"/>
  <c r="G106" i="34"/>
  <c r="H106" i="34" s="1"/>
  <c r="J106" i="34" s="1"/>
  <c r="H88" i="34"/>
  <c r="J88" i="34" s="1"/>
  <c r="G105" i="34"/>
  <c r="H105" i="34" s="1"/>
  <c r="J105" i="34" s="1"/>
  <c r="K17" i="19"/>
  <c r="L17" i="19" s="1"/>
  <c r="V5" i="23"/>
  <c r="V6" i="23" s="1"/>
  <c r="F107" i="2"/>
  <c r="K25" i="41"/>
  <c r="L44" i="45"/>
  <c r="G45" i="3"/>
  <c r="D16" i="5"/>
  <c r="J50" i="41"/>
  <c r="H43" i="2"/>
  <c r="H46" i="2" s="1"/>
  <c r="G12" i="2" s="1"/>
  <c r="D74" i="46"/>
  <c r="L34" i="46"/>
  <c r="L35" i="46" s="1"/>
  <c r="L36" i="46" s="1"/>
  <c r="L37" i="46" s="1"/>
  <c r="L38" i="46" s="1"/>
  <c r="L39" i="46" s="1"/>
  <c r="L40" i="46" s="1"/>
  <c r="L41" i="46" s="1"/>
  <c r="L42" i="46" s="1"/>
  <c r="L43" i="46" s="1"/>
  <c r="K93" i="31"/>
  <c r="H106" i="2"/>
  <c r="H109" i="2" s="1"/>
  <c r="G11" i="2" s="1"/>
  <c r="E106" i="2"/>
  <c r="F20" i="31"/>
  <c r="M44" i="45"/>
  <c r="J25" i="41"/>
  <c r="E26" i="22"/>
  <c r="N158" i="46"/>
  <c r="G85" i="46"/>
  <c r="H85" i="46" s="1"/>
  <c r="J85" i="46" s="1"/>
  <c r="E27" i="22"/>
  <c r="E43" i="2"/>
  <c r="E46" i="2" s="1"/>
  <c r="A12" i="31"/>
  <c r="F13" i="31" s="1"/>
  <c r="G79" i="46"/>
  <c r="H79" i="46" s="1"/>
  <c r="J79" i="46" s="1"/>
  <c r="K158" i="31"/>
  <c r="E68" i="2"/>
  <c r="K111" i="31"/>
  <c r="J54" i="31"/>
  <c r="J38" i="31"/>
  <c r="J39" i="31" s="1"/>
  <c r="H120" i="20"/>
  <c r="K259" i="31" s="1"/>
  <c r="H259" i="31" s="1"/>
  <c r="L13" i="19"/>
  <c r="K54" i="31"/>
  <c r="K38" i="31"/>
  <c r="K50" i="41"/>
  <c r="E8" i="38"/>
  <c r="H50" i="41"/>
  <c r="G25" i="41"/>
  <c r="L133" i="20"/>
  <c r="K150" i="45"/>
  <c r="K151" i="45" s="1"/>
  <c r="K152" i="45" s="1"/>
  <c r="K153" i="45" s="1"/>
  <c r="K154" i="45" s="1"/>
  <c r="K155" i="45" s="1"/>
  <c r="K156" i="45" s="1"/>
  <c r="K157" i="45" s="1"/>
  <c r="K158" i="45" s="1"/>
  <c r="M171" i="34"/>
  <c r="M172" i="34" s="1"/>
  <c r="M173" i="34" s="1"/>
  <c r="M174" i="34" s="1"/>
  <c r="M175" i="34" s="1"/>
  <c r="M176" i="34" s="1"/>
  <c r="M177" i="34" s="1"/>
  <c r="A23" i="31"/>
  <c r="A25" i="31" s="1"/>
  <c r="A26" i="31" s="1"/>
  <c r="F23" i="31"/>
  <c r="I25" i="41"/>
  <c r="F50" i="41"/>
  <c r="I136" i="2"/>
  <c r="I138" i="2" s="1"/>
  <c r="P10" i="44"/>
  <c r="P17" i="44" s="1"/>
  <c r="H81" i="45"/>
  <c r="J81" i="45" s="1"/>
  <c r="K48" i="31"/>
  <c r="H80" i="45"/>
  <c r="J80" i="45" s="1"/>
  <c r="J145" i="31"/>
  <c r="J12" i="31"/>
  <c r="G41" i="22"/>
  <c r="H90" i="34"/>
  <c r="J90" i="34" s="1"/>
  <c r="F25" i="41"/>
  <c r="I50" i="41"/>
  <c r="C36" i="39"/>
  <c r="J131" i="31"/>
  <c r="Q215" i="20"/>
  <c r="F43" i="2"/>
  <c r="F46" i="2" s="1"/>
  <c r="K151" i="46"/>
  <c r="K152" i="46" s="1"/>
  <c r="K153" i="46" s="1"/>
  <c r="K154" i="46" s="1"/>
  <c r="K155" i="46" s="1"/>
  <c r="K156" i="46" s="1"/>
  <c r="K157" i="46" s="1"/>
  <c r="A40" i="22"/>
  <c r="A41" i="22" s="1"/>
  <c r="A42" i="22" s="1"/>
  <c r="A43" i="22" s="1"/>
  <c r="E49" i="22"/>
  <c r="M150" i="45"/>
  <c r="M151" i="45" s="1"/>
  <c r="M152" i="45" s="1"/>
  <c r="M153" i="45" s="1"/>
  <c r="M154" i="45" s="1"/>
  <c r="M155" i="45" s="1"/>
  <c r="M156" i="45" s="1"/>
  <c r="M157" i="45" s="1"/>
  <c r="M158" i="45" s="1"/>
  <c r="O37" i="46"/>
  <c r="O38" i="46" s="1"/>
  <c r="O39" i="46" s="1"/>
  <c r="O40" i="46" s="1"/>
  <c r="O41" i="46" s="1"/>
  <c r="O42" i="46" s="1"/>
  <c r="O43" i="46" s="1"/>
  <c r="O149" i="46"/>
  <c r="O150" i="46" s="1"/>
  <c r="O151" i="46" s="1"/>
  <c r="O152" i="46" s="1"/>
  <c r="O153" i="46" s="1"/>
  <c r="O154" i="46" s="1"/>
  <c r="O155" i="46" s="1"/>
  <c r="O156" i="46" s="1"/>
  <c r="O157" i="46" s="1"/>
  <c r="K35" i="45"/>
  <c r="K36" i="45" s="1"/>
  <c r="K37" i="45" s="1"/>
  <c r="K38" i="45" s="1"/>
  <c r="K39" i="45" s="1"/>
  <c r="K40" i="45" s="1"/>
  <c r="K41" i="45" s="1"/>
  <c r="K42" i="45" s="1"/>
  <c r="K43" i="45" s="1"/>
  <c r="J156" i="34"/>
  <c r="I10" i="2"/>
  <c r="F13" i="2"/>
  <c r="K35" i="34"/>
  <c r="K36" i="34" s="1"/>
  <c r="K37" i="34" s="1"/>
  <c r="K38" i="34" s="1"/>
  <c r="K39" i="34" s="1"/>
  <c r="K40" i="34" s="1"/>
  <c r="K41" i="34" s="1"/>
  <c r="K42" i="34" s="1"/>
  <c r="K43" i="34" s="1"/>
  <c r="L35" i="34"/>
  <c r="L36" i="34" s="1"/>
  <c r="L37" i="34" s="1"/>
  <c r="L38" i="34" s="1"/>
  <c r="L39" i="34" s="1"/>
  <c r="L40" i="34" s="1"/>
  <c r="L41" i="34" s="1"/>
  <c r="L42" i="34" s="1"/>
  <c r="L43" i="34" s="1"/>
  <c r="O150" i="45"/>
  <c r="O151" i="45" s="1"/>
  <c r="O152" i="45" s="1"/>
  <c r="O153" i="45" s="1"/>
  <c r="O154" i="45" s="1"/>
  <c r="O155" i="45" s="1"/>
  <c r="O156" i="45" s="1"/>
  <c r="O157" i="45" s="1"/>
  <c r="O158" i="45" s="1"/>
  <c r="J149" i="45"/>
  <c r="J150" i="45" s="1"/>
  <c r="J151" i="45" s="1"/>
  <c r="J152" i="45" s="1"/>
  <c r="J153" i="45" s="1"/>
  <c r="J154" i="45" s="1"/>
  <c r="J155" i="45" s="1"/>
  <c r="J156" i="45" s="1"/>
  <c r="J157" i="45" s="1"/>
  <c r="J158" i="45" s="1"/>
  <c r="L168" i="34"/>
  <c r="L169" i="34" s="1"/>
  <c r="L170" i="34" s="1"/>
  <c r="L171" i="34" s="1"/>
  <c r="L172" i="34" s="1"/>
  <c r="L173" i="34" s="1"/>
  <c r="L174" i="34" s="1"/>
  <c r="L175" i="34" s="1"/>
  <c r="L176" i="34" s="1"/>
  <c r="L177" i="34" s="1"/>
  <c r="N169" i="34"/>
  <c r="N170" i="34" s="1"/>
  <c r="N171" i="34" s="1"/>
  <c r="N172" i="34" s="1"/>
  <c r="N173" i="34" s="1"/>
  <c r="N174" i="34" s="1"/>
  <c r="N175" i="34" s="1"/>
  <c r="N176" i="34" s="1"/>
  <c r="N177" i="34" s="1"/>
  <c r="K34" i="46"/>
  <c r="K35" i="46" s="1"/>
  <c r="K36" i="46" s="1"/>
  <c r="K37" i="46" s="1"/>
  <c r="K38" i="46" s="1"/>
  <c r="K39" i="46" s="1"/>
  <c r="K40" i="46" s="1"/>
  <c r="K41" i="46" s="1"/>
  <c r="K42" i="46" s="1"/>
  <c r="K43" i="46" s="1"/>
  <c r="M34" i="46"/>
  <c r="M35" i="46" s="1"/>
  <c r="M36" i="46" s="1"/>
  <c r="M37" i="46" s="1"/>
  <c r="M38" i="46" s="1"/>
  <c r="M39" i="46" s="1"/>
  <c r="M40" i="46" s="1"/>
  <c r="M41" i="46" s="1"/>
  <c r="M42" i="46" s="1"/>
  <c r="M43" i="46" s="1"/>
  <c r="J34" i="46"/>
  <c r="J35" i="46" s="1"/>
  <c r="J36" i="46" s="1"/>
  <c r="J37" i="46" s="1"/>
  <c r="J38" i="46" s="1"/>
  <c r="J39" i="46" s="1"/>
  <c r="J40" i="46" s="1"/>
  <c r="J41" i="46" s="1"/>
  <c r="J42" i="46" s="1"/>
  <c r="J43" i="46" s="1"/>
  <c r="M148" i="46"/>
  <c r="M149" i="46" s="1"/>
  <c r="M150" i="46" s="1"/>
  <c r="M151" i="46" s="1"/>
  <c r="M152" i="46" s="1"/>
  <c r="M153" i="46" s="1"/>
  <c r="M154" i="46" s="1"/>
  <c r="M155" i="46" s="1"/>
  <c r="M156" i="46" s="1"/>
  <c r="M157" i="46" s="1"/>
  <c r="O172" i="34"/>
  <c r="O173" i="34" s="1"/>
  <c r="O174" i="34" s="1"/>
  <c r="O175" i="34" s="1"/>
  <c r="O176" i="34" s="1"/>
  <c r="O177" i="34" s="1"/>
  <c r="O178" i="34" s="1"/>
  <c r="N36" i="46"/>
  <c r="N37" i="46" s="1"/>
  <c r="N38" i="46" s="1"/>
  <c r="N39" i="46" s="1"/>
  <c r="N40" i="46" s="1"/>
  <c r="N41" i="46" s="1"/>
  <c r="N42" i="46" s="1"/>
  <c r="N43" i="46" s="1"/>
  <c r="M37" i="34"/>
  <c r="M38" i="34" s="1"/>
  <c r="M39" i="34" s="1"/>
  <c r="M40" i="34" s="1"/>
  <c r="M41" i="34" s="1"/>
  <c r="M42" i="34" s="1"/>
  <c r="M43" i="34" s="1"/>
  <c r="J34" i="34"/>
  <c r="J35" i="34" s="1"/>
  <c r="J36" i="34" s="1"/>
  <c r="J37" i="34" s="1"/>
  <c r="J38" i="34" s="1"/>
  <c r="J39" i="34" s="1"/>
  <c r="J40" i="34" s="1"/>
  <c r="J41" i="34" s="1"/>
  <c r="J42" i="34" s="1"/>
  <c r="J43" i="34" s="1"/>
  <c r="N35" i="45"/>
  <c r="N36" i="45" s="1"/>
  <c r="N37" i="45" s="1"/>
  <c r="N38" i="45" s="1"/>
  <c r="N39" i="45" s="1"/>
  <c r="N40" i="45" s="1"/>
  <c r="N41" i="45" s="1"/>
  <c r="N42" i="45" s="1"/>
  <c r="N43" i="45" s="1"/>
  <c r="L149" i="45"/>
  <c r="L150" i="45" s="1"/>
  <c r="L151" i="45" s="1"/>
  <c r="L152" i="45" s="1"/>
  <c r="L153" i="45" s="1"/>
  <c r="L154" i="45" s="1"/>
  <c r="L155" i="45" s="1"/>
  <c r="L156" i="45" s="1"/>
  <c r="L157" i="45" s="1"/>
  <c r="L158" i="45" s="1"/>
  <c r="N149" i="45"/>
  <c r="N150" i="45" s="1"/>
  <c r="N151" i="45" s="1"/>
  <c r="N152" i="45" s="1"/>
  <c r="N153" i="45" s="1"/>
  <c r="N154" i="45" s="1"/>
  <c r="N155" i="45" s="1"/>
  <c r="N156" i="45" s="1"/>
  <c r="N157" i="45" s="1"/>
  <c r="N158" i="45" s="1"/>
  <c r="K168" i="34"/>
  <c r="K169" i="34" s="1"/>
  <c r="K170" i="34" s="1"/>
  <c r="K171" i="34" s="1"/>
  <c r="K172" i="34" s="1"/>
  <c r="K173" i="34" s="1"/>
  <c r="K174" i="34" s="1"/>
  <c r="K175" i="34" s="1"/>
  <c r="K176" i="34" s="1"/>
  <c r="K177" i="34" s="1"/>
  <c r="L148" i="46"/>
  <c r="L149" i="46" s="1"/>
  <c r="L150" i="46" s="1"/>
  <c r="L151" i="46" s="1"/>
  <c r="L152" i="46" s="1"/>
  <c r="L153" i="46" s="1"/>
  <c r="L154" i="46" s="1"/>
  <c r="L155" i="46" s="1"/>
  <c r="L156" i="46" s="1"/>
  <c r="L157" i="46" s="1"/>
  <c r="I34" i="34"/>
  <c r="I35" i="34" s="1"/>
  <c r="I36" i="34" s="1"/>
  <c r="I37" i="34" s="1"/>
  <c r="I38" i="34" s="1"/>
  <c r="I39" i="34" s="1"/>
  <c r="I40" i="34" s="1"/>
  <c r="I41" i="34" s="1"/>
  <c r="I42" i="34" s="1"/>
  <c r="I43" i="34" s="1"/>
  <c r="O44" i="45"/>
  <c r="J44" i="45"/>
  <c r="I46" i="2"/>
  <c r="H12" i="2" s="1"/>
  <c r="E4" i="19"/>
  <c r="G13" i="5" s="1"/>
  <c r="P21" i="44"/>
  <c r="D33" i="39"/>
  <c r="G33" i="39"/>
  <c r="H82" i="45"/>
  <c r="J82" i="45" s="1"/>
  <c r="G37" i="22"/>
  <c r="J98" i="31"/>
  <c r="J84" i="31"/>
  <c r="J50" i="31"/>
  <c r="H47" i="31"/>
  <c r="H48" i="31" s="1"/>
  <c r="J47" i="31"/>
  <c r="J37" i="31"/>
  <c r="J31" i="31"/>
  <c r="G82" i="34"/>
  <c r="H80" i="34"/>
  <c r="J80" i="34" s="1"/>
  <c r="G97" i="34"/>
  <c r="G83" i="34"/>
  <c r="G86" i="34"/>
  <c r="H84" i="46"/>
  <c r="J84" i="46" s="1"/>
  <c r="H91" i="34"/>
  <c r="J91" i="34" s="1"/>
  <c r="G81" i="34"/>
  <c r="G84" i="34"/>
  <c r="G87" i="34"/>
  <c r="H97" i="34" l="1"/>
  <c r="J97" i="34" s="1"/>
  <c r="H59" i="31"/>
  <c r="D6" i="19"/>
  <c r="F7" i="5" s="1"/>
  <c r="D7" i="5" s="1"/>
  <c r="F26" i="31"/>
  <c r="E74" i="3"/>
  <c r="J273" i="31"/>
  <c r="H183" i="31"/>
  <c r="H208" i="31" s="1"/>
  <c r="A7" i="38"/>
  <c r="A8" i="38" s="1"/>
  <c r="A9" i="38" s="1"/>
  <c r="A10" i="38" s="1"/>
  <c r="A11" i="38" s="1"/>
  <c r="A12" i="38" s="1"/>
  <c r="A13" i="38" s="1"/>
  <c r="A14" i="38" s="1"/>
  <c r="A15" i="38" s="1"/>
  <c r="A16" i="38" s="1"/>
  <c r="A17" i="38" s="1"/>
  <c r="A18" i="38" s="1"/>
  <c r="A19" i="38" s="1"/>
  <c r="A20" i="38" s="1"/>
  <c r="A21" i="38" s="1"/>
  <c r="A22" i="38" s="1"/>
  <c r="A23" i="38" s="1"/>
  <c r="A24" i="38" s="1"/>
  <c r="A25" i="38" s="1"/>
  <c r="A26" i="38" s="1"/>
  <c r="A27" i="38" s="1"/>
  <c r="A28" i="38" s="1"/>
  <c r="A29" i="38" s="1"/>
  <c r="A30" i="38" s="1"/>
  <c r="A31" i="38" s="1"/>
  <c r="A32" i="38" s="1"/>
  <c r="A33" i="38" s="1"/>
  <c r="A34" i="38" s="1"/>
  <c r="A35" i="38" s="1"/>
  <c r="A36" i="38" s="1"/>
  <c r="A37" i="38" s="1"/>
  <c r="A38" i="38" s="1"/>
  <c r="A39" i="38" s="1"/>
  <c r="A40" i="38" s="1"/>
  <c r="A41" i="38" s="1"/>
  <c r="A42" i="38" s="1"/>
  <c r="A43" i="38" s="1"/>
  <c r="A44" i="38" s="1"/>
  <c r="A45" i="38" s="1"/>
  <c r="A46" i="38" s="1"/>
  <c r="A47" i="38" s="1"/>
  <c r="A48" i="38" s="1"/>
  <c r="A49" i="38" s="1"/>
  <c r="A50" i="38" s="1"/>
  <c r="A51" i="38" s="1"/>
  <c r="A52" i="38" s="1"/>
  <c r="A53" i="38" s="1"/>
  <c r="A54" i="38" s="1"/>
  <c r="A55" i="38" s="1"/>
  <c r="A56" i="38" s="1"/>
  <c r="A57" i="38" s="1"/>
  <c r="A58" i="38" s="1"/>
  <c r="A59" i="38" s="1"/>
  <c r="A60" i="38" s="1"/>
  <c r="A61" i="38" s="1"/>
  <c r="A62" i="38" s="1"/>
  <c r="A63" i="38" s="1"/>
  <c r="A64" i="38" s="1"/>
  <c r="A65" i="38" s="1"/>
  <c r="A66" i="38" s="1"/>
  <c r="A67" i="38" s="1"/>
  <c r="A68" i="38" s="1"/>
  <c r="A69" i="38" s="1"/>
  <c r="A70" i="38" s="1"/>
  <c r="A71" i="38" s="1"/>
  <c r="A72" i="38" s="1"/>
  <c r="A73" i="38" s="1"/>
  <c r="A74" i="38" s="1"/>
  <c r="A75" i="38" s="1"/>
  <c r="A76" i="38" s="1"/>
  <c r="A77" i="38" s="1"/>
  <c r="A78" i="38" s="1"/>
  <c r="A79" i="38" s="1"/>
  <c r="J203" i="20"/>
  <c r="H204" i="31"/>
  <c r="H213" i="31" s="1"/>
  <c r="J120" i="31"/>
  <c r="H122" i="31"/>
  <c r="L120" i="31"/>
  <c r="L122" i="31" s="1"/>
  <c r="K37" i="31"/>
  <c r="L35" i="31"/>
  <c r="L37" i="31" s="1"/>
  <c r="L43" i="31" s="1"/>
  <c r="J178" i="34"/>
  <c r="H205" i="31"/>
  <c r="H214" i="31" s="1"/>
  <c r="K273" i="31"/>
  <c r="K282" i="31" s="1"/>
  <c r="F4" i="19"/>
  <c r="H13" i="5" s="1"/>
  <c r="H86" i="34"/>
  <c r="J86" i="34" s="1"/>
  <c r="G103" i="34"/>
  <c r="H103" i="34" s="1"/>
  <c r="J103" i="34" s="1"/>
  <c r="H87" i="34"/>
  <c r="J87" i="34" s="1"/>
  <c r="G104" i="34"/>
  <c r="H104" i="34" s="1"/>
  <c r="J104" i="34" s="1"/>
  <c r="H84" i="34"/>
  <c r="J84" i="34" s="1"/>
  <c r="G101" i="34"/>
  <c r="H101" i="34" s="1"/>
  <c r="J101" i="34" s="1"/>
  <c r="H83" i="34"/>
  <c r="J83" i="34" s="1"/>
  <c r="G100" i="34"/>
  <c r="H100" i="34" s="1"/>
  <c r="J100" i="34" s="1"/>
  <c r="H85" i="34"/>
  <c r="J85" i="34" s="1"/>
  <c r="G102" i="34"/>
  <c r="H102" i="34" s="1"/>
  <c r="J102" i="34" s="1"/>
  <c r="H82" i="34"/>
  <c r="J82" i="34" s="1"/>
  <c r="G99" i="34"/>
  <c r="H99" i="34" s="1"/>
  <c r="J99" i="34" s="1"/>
  <c r="H81" i="34"/>
  <c r="J81" i="34" s="1"/>
  <c r="G98" i="34"/>
  <c r="H98" i="34" s="1"/>
  <c r="J98" i="34" s="1"/>
  <c r="E109" i="2"/>
  <c r="H14" i="2"/>
  <c r="M44" i="46"/>
  <c r="L44" i="46"/>
  <c r="C50" i="41"/>
  <c r="K98" i="20" s="1"/>
  <c r="G13" i="2"/>
  <c r="F109" i="2"/>
  <c r="I11" i="2"/>
  <c r="K258" i="31"/>
  <c r="K55" i="31"/>
  <c r="K57" i="31" s="1"/>
  <c r="J13" i="31"/>
  <c r="J149" i="31" s="1"/>
  <c r="F31" i="3"/>
  <c r="G31" i="3" s="1"/>
  <c r="K44" i="46"/>
  <c r="J55" i="31"/>
  <c r="K251" i="31"/>
  <c r="K150" i="31"/>
  <c r="N178" i="34"/>
  <c r="K39" i="31"/>
  <c r="K41" i="31" s="1"/>
  <c r="L44" i="34"/>
  <c r="K44" i="34"/>
  <c r="K120" i="31"/>
  <c r="H123" i="20"/>
  <c r="G21" i="22"/>
  <c r="J48" i="31"/>
  <c r="J52" i="31"/>
  <c r="K202" i="20"/>
  <c r="K149" i="20"/>
  <c r="K99" i="20"/>
  <c r="C29" i="41"/>
  <c r="E89" i="38"/>
  <c r="H13" i="2"/>
  <c r="C25" i="41"/>
  <c r="I99" i="20" s="1"/>
  <c r="J44" i="34"/>
  <c r="J159" i="45"/>
  <c r="O159" i="45"/>
  <c r="C38" i="39"/>
  <c r="C37" i="39"/>
  <c r="M178" i="34"/>
  <c r="K159" i="45"/>
  <c r="N159" i="45"/>
  <c r="L159" i="45"/>
  <c r="O158" i="46"/>
  <c r="K158" i="46"/>
  <c r="F59" i="20"/>
  <c r="K84" i="31"/>
  <c r="L84" i="31" s="1"/>
  <c r="L86" i="31" s="1"/>
  <c r="L88" i="31" s="1"/>
  <c r="L100" i="31" s="1"/>
  <c r="L246" i="31" s="1"/>
  <c r="H83" i="45"/>
  <c r="J83" i="45" s="1"/>
  <c r="I44" i="34"/>
  <c r="L158" i="46"/>
  <c r="K178" i="34"/>
  <c r="N44" i="45"/>
  <c r="I12" i="2"/>
  <c r="M44" i="34"/>
  <c r="N44" i="46"/>
  <c r="J44" i="46"/>
  <c r="F16" i="2"/>
  <c r="H86" i="46"/>
  <c r="J86" i="46" s="1"/>
  <c r="M158" i="46"/>
  <c r="L178" i="34"/>
  <c r="F132" i="31"/>
  <c r="A31" i="31"/>
  <c r="F231" i="31"/>
  <c r="K44" i="45"/>
  <c r="O44" i="46"/>
  <c r="M159" i="45"/>
  <c r="A49" i="22"/>
  <c r="A51" i="22" s="1"/>
  <c r="E9" i="22" s="1"/>
  <c r="M46" i="45" l="1"/>
  <c r="H18" i="31"/>
  <c r="H19" i="31" s="1"/>
  <c r="L149" i="20"/>
  <c r="M161" i="45"/>
  <c r="L61" i="31"/>
  <c r="L245" i="31" s="1"/>
  <c r="L22" i="31"/>
  <c r="M180" i="34"/>
  <c r="F9" i="20"/>
  <c r="H203" i="31"/>
  <c r="H212" i="31" s="1"/>
  <c r="J109" i="34"/>
  <c r="F114" i="34" s="1"/>
  <c r="J92" i="34"/>
  <c r="F113" i="34" s="1"/>
  <c r="H113" i="34" s="1"/>
  <c r="L113" i="34" s="1"/>
  <c r="I98" i="20"/>
  <c r="H98" i="20" s="1"/>
  <c r="H99" i="20"/>
  <c r="I13" i="2"/>
  <c r="H16" i="2"/>
  <c r="J56" i="31"/>
  <c r="J57" i="31" s="1"/>
  <c r="J59" i="31" s="1"/>
  <c r="J121" i="31"/>
  <c r="J122" i="31" s="1"/>
  <c r="M160" i="46"/>
  <c r="D4" i="19"/>
  <c r="F13" i="5" s="1"/>
  <c r="D13" i="5" s="1"/>
  <c r="K100" i="20"/>
  <c r="C51" i="41"/>
  <c r="L293" i="31" s="1"/>
  <c r="K59" i="31"/>
  <c r="K43" i="31"/>
  <c r="K22" i="31" s="1"/>
  <c r="K152" i="31"/>
  <c r="K122" i="31"/>
  <c r="J150" i="31"/>
  <c r="J40" i="31"/>
  <c r="J85" i="31"/>
  <c r="K260" i="31"/>
  <c r="J282" i="31"/>
  <c r="C26" i="41"/>
  <c r="C28" i="41"/>
  <c r="C39" i="39"/>
  <c r="C40" i="39"/>
  <c r="H87" i="46"/>
  <c r="J87" i="46" s="1"/>
  <c r="M46" i="46"/>
  <c r="H84" i="45"/>
  <c r="J84" i="45" s="1"/>
  <c r="A32" i="31"/>
  <c r="A33" i="31" s="1"/>
  <c r="L46" i="34"/>
  <c r="K86" i="31"/>
  <c r="J18" i="31" l="1"/>
  <c r="J19" i="31" s="1"/>
  <c r="H31" i="31"/>
  <c r="H33" i="31" s="1"/>
  <c r="J72" i="31"/>
  <c r="H72" i="31"/>
  <c r="H215" i="31"/>
  <c r="L25" i="31"/>
  <c r="L102" i="31"/>
  <c r="L247" i="31" s="1"/>
  <c r="J33" i="31"/>
  <c r="J258" i="31" s="1"/>
  <c r="J260" i="31" s="1"/>
  <c r="J261" i="31" s="1"/>
  <c r="F28" i="20"/>
  <c r="H273" i="31"/>
  <c r="H282" i="31" s="1"/>
  <c r="I100" i="20"/>
  <c r="I103" i="20" s="1"/>
  <c r="F115" i="34"/>
  <c r="H114" i="34"/>
  <c r="H293" i="31"/>
  <c r="J293" i="31" s="1"/>
  <c r="J41" i="31"/>
  <c r="J152" i="31"/>
  <c r="J250" i="31" s="1"/>
  <c r="K261" i="31"/>
  <c r="K250" i="31"/>
  <c r="J86" i="31"/>
  <c r="K61" i="31"/>
  <c r="K88" i="31"/>
  <c r="G18" i="22"/>
  <c r="G26" i="22" s="1"/>
  <c r="C42" i="39"/>
  <c r="C41" i="39"/>
  <c r="F33" i="31"/>
  <c r="J102" i="20"/>
  <c r="J103" i="20"/>
  <c r="K103" i="20"/>
  <c r="K102" i="20"/>
  <c r="A35" i="31"/>
  <c r="A36" i="31" s="1"/>
  <c r="A37" i="31" s="1"/>
  <c r="A38" i="31" s="1"/>
  <c r="F258" i="31"/>
  <c r="H85" i="45"/>
  <c r="J85" i="45" s="1"/>
  <c r="H88" i="46"/>
  <c r="J88" i="46" s="1"/>
  <c r="I102" i="20" l="1"/>
  <c r="H102" i="20" s="1"/>
  <c r="K18" i="31"/>
  <c r="L18" i="31" s="1"/>
  <c r="L19" i="31" s="1"/>
  <c r="H16" i="31"/>
  <c r="H17" i="31" s="1"/>
  <c r="H20" i="31" s="1"/>
  <c r="H43" i="31"/>
  <c r="H258" i="31"/>
  <c r="H260" i="31" s="1"/>
  <c r="H261" i="31" s="1"/>
  <c r="J43" i="31"/>
  <c r="J22" i="31" s="1"/>
  <c r="E22" i="33"/>
  <c r="E26" i="33" s="1"/>
  <c r="H115" i="34"/>
  <c r="L115" i="34" s="1"/>
  <c r="F122" i="34" s="1"/>
  <c r="L114" i="34"/>
  <c r="K245" i="31"/>
  <c r="K25" i="31"/>
  <c r="J88" i="31"/>
  <c r="K100" i="31"/>
  <c r="K102" i="31" s="1"/>
  <c r="K247" i="31" s="1"/>
  <c r="G20" i="22"/>
  <c r="G16" i="22"/>
  <c r="G17" i="22"/>
  <c r="J109" i="20"/>
  <c r="K125" i="31" s="1"/>
  <c r="C44" i="39"/>
  <c r="C43" i="39"/>
  <c r="H89" i="46"/>
  <c r="J89" i="46" s="1"/>
  <c r="H90" i="46"/>
  <c r="J90" i="46" s="1"/>
  <c r="H103" i="20"/>
  <c r="A39" i="31"/>
  <c r="F39" i="31"/>
  <c r="K109" i="20"/>
  <c r="L125" i="31" s="1"/>
  <c r="L127" i="31" s="1"/>
  <c r="L135" i="31" s="1"/>
  <c r="L249" i="31" s="1"/>
  <c r="H86" i="45"/>
  <c r="J86" i="45" s="1"/>
  <c r="I109" i="20" l="1"/>
  <c r="J125" i="31" s="1"/>
  <c r="J127" i="31" s="1"/>
  <c r="J16" i="31"/>
  <c r="K16" i="31" s="1"/>
  <c r="L16" i="31" s="1"/>
  <c r="L17" i="31" s="1"/>
  <c r="L23" i="31" s="1"/>
  <c r="K19" i="31"/>
  <c r="H61" i="31"/>
  <c r="H25" i="31" s="1"/>
  <c r="H22" i="31"/>
  <c r="H23" i="31" s="1"/>
  <c r="H109" i="20"/>
  <c r="E25" i="33"/>
  <c r="E27" i="33"/>
  <c r="E29" i="33" s="1"/>
  <c r="F123" i="34"/>
  <c r="I122" i="34"/>
  <c r="J122" i="34" s="1"/>
  <c r="G24" i="22"/>
  <c r="K217" i="31"/>
  <c r="K246" i="31"/>
  <c r="K127" i="31"/>
  <c r="J61" i="31"/>
  <c r="J91" i="46"/>
  <c r="F95" i="46" s="1"/>
  <c r="G25" i="22"/>
  <c r="C45" i="39"/>
  <c r="C46" i="39"/>
  <c r="H87" i="45"/>
  <c r="J87" i="45" s="1"/>
  <c r="A40" i="31"/>
  <c r="A41" i="31" s="1"/>
  <c r="K17" i="31" l="1"/>
  <c r="K23" i="31" s="1"/>
  <c r="J17" i="31"/>
  <c r="J20" i="31" s="1"/>
  <c r="L20" i="31"/>
  <c r="L26" i="31" s="1"/>
  <c r="F3" i="19" s="1"/>
  <c r="F8" i="19" s="1"/>
  <c r="J25" i="31"/>
  <c r="J245" i="31"/>
  <c r="H125" i="31"/>
  <c r="H127" i="31" s="1"/>
  <c r="G27" i="22"/>
  <c r="F19" i="3"/>
  <c r="F40" i="3" s="1"/>
  <c r="G40" i="3" s="1"/>
  <c r="F251" i="20"/>
  <c r="F14" i="3"/>
  <c r="G15" i="2"/>
  <c r="G16" i="2" s="1"/>
  <c r="I16" i="2" s="1"/>
  <c r="H245" i="31"/>
  <c r="H26" i="31"/>
  <c r="K203" i="20" s="1"/>
  <c r="L203" i="20" s="1"/>
  <c r="K20" i="31"/>
  <c r="K26" i="31" s="1"/>
  <c r="E3" i="19" s="1"/>
  <c r="E8" i="19" s="1"/>
  <c r="G8" i="5" s="1"/>
  <c r="E30" i="33"/>
  <c r="E33" i="33" s="1"/>
  <c r="E32" i="33"/>
  <c r="F124" i="34"/>
  <c r="I123" i="34"/>
  <c r="J123" i="34" s="1"/>
  <c r="K135" i="31"/>
  <c r="J23" i="31"/>
  <c r="K252" i="31"/>
  <c r="C47" i="39"/>
  <c r="C48" i="39"/>
  <c r="A43" i="31"/>
  <c r="F43" i="31"/>
  <c r="H88" i="45"/>
  <c r="J88" i="45" s="1"/>
  <c r="F41" i="31"/>
  <c r="H66" i="31" l="1"/>
  <c r="H67" i="31" s="1"/>
  <c r="G19" i="3"/>
  <c r="F18" i="3"/>
  <c r="F17" i="3" s="1"/>
  <c r="F252" i="20"/>
  <c r="H252" i="20" s="1"/>
  <c r="H251" i="20"/>
  <c r="H132" i="31"/>
  <c r="H133" i="31" s="1"/>
  <c r="J133" i="31" s="1"/>
  <c r="H231" i="31"/>
  <c r="H232" i="31" s="1"/>
  <c r="G43" i="22" s="1"/>
  <c r="E9" i="19"/>
  <c r="G9" i="5" s="1"/>
  <c r="G10" i="5" s="1"/>
  <c r="G22" i="5" s="1"/>
  <c r="H8" i="5"/>
  <c r="F9" i="19"/>
  <c r="H9" i="5" s="1"/>
  <c r="F125" i="34"/>
  <c r="I124" i="34"/>
  <c r="J124" i="34" s="1"/>
  <c r="K249" i="31"/>
  <c r="J26" i="31"/>
  <c r="C49" i="39"/>
  <c r="C50" i="39"/>
  <c r="A47" i="31"/>
  <c r="F22" i="31"/>
  <c r="H89" i="45"/>
  <c r="J89" i="45" s="1"/>
  <c r="H90" i="45"/>
  <c r="J90" i="45" s="1"/>
  <c r="K266" i="31" l="1"/>
  <c r="H254" i="20"/>
  <c r="J66" i="31"/>
  <c r="J67" i="31" s="1"/>
  <c r="G18" i="3"/>
  <c r="G42" i="22"/>
  <c r="J132" i="31"/>
  <c r="H10" i="5"/>
  <c r="H22" i="5" s="1"/>
  <c r="F126" i="34"/>
  <c r="I125" i="34"/>
  <c r="J125" i="34" s="1"/>
  <c r="D3" i="19"/>
  <c r="C52" i="39"/>
  <c r="C51" i="39"/>
  <c r="F16" i="3"/>
  <c r="F15" i="3" s="1"/>
  <c r="G17" i="3"/>
  <c r="J91" i="45"/>
  <c r="F96" i="45" s="1"/>
  <c r="A48" i="31"/>
  <c r="F48" i="31"/>
  <c r="F273" i="31"/>
  <c r="F282" i="31"/>
  <c r="L266" i="31" l="1"/>
  <c r="H235" i="31"/>
  <c r="I126" i="34"/>
  <c r="J126" i="34" s="1"/>
  <c r="F127" i="34"/>
  <c r="D9" i="19"/>
  <c r="F9" i="5" s="1"/>
  <c r="D9" i="5" s="1"/>
  <c r="D8" i="19"/>
  <c r="F8" i="5" s="1"/>
  <c r="C54" i="39"/>
  <c r="C53" i="39"/>
  <c r="A50" i="31"/>
  <c r="A51" i="31" s="1"/>
  <c r="A52" i="31" s="1"/>
  <c r="A53" i="31" s="1"/>
  <c r="G16" i="3"/>
  <c r="G46" i="22" l="1"/>
  <c r="G47" i="22" s="1"/>
  <c r="H236" i="31"/>
  <c r="F128" i="34"/>
  <c r="I127" i="34"/>
  <c r="J127" i="34" s="1"/>
  <c r="D8" i="5"/>
  <c r="D10" i="5" s="1"/>
  <c r="D22" i="5" s="1"/>
  <c r="F10" i="5"/>
  <c r="F22" i="5" s="1"/>
  <c r="J266" i="31" s="1"/>
  <c r="C55" i="39"/>
  <c r="C56" i="39"/>
  <c r="G14" i="3"/>
  <c r="G15" i="3"/>
  <c r="A54" i="31"/>
  <c r="A55" i="31" s="1"/>
  <c r="H266" i="31" l="1"/>
  <c r="F129" i="34"/>
  <c r="I128" i="34"/>
  <c r="J128" i="34" s="1"/>
  <c r="F55" i="31"/>
  <c r="C58" i="39"/>
  <c r="C57" i="39"/>
  <c r="A56" i="31"/>
  <c r="A57" i="31" s="1"/>
  <c r="G20" i="3"/>
  <c r="G47" i="3" l="1"/>
  <c r="G52" i="3" s="1"/>
  <c r="F130" i="34"/>
  <c r="I129" i="34"/>
  <c r="J129" i="34" s="1"/>
  <c r="C59" i="39"/>
  <c r="C60" i="39"/>
  <c r="A59" i="31"/>
  <c r="F59" i="31"/>
  <c r="F57" i="31"/>
  <c r="J156" i="31" l="1"/>
  <c r="J158" i="31" s="1"/>
  <c r="J251" i="31" s="1"/>
  <c r="I130" i="34"/>
  <c r="J130" i="34" s="1"/>
  <c r="F131" i="34"/>
  <c r="C61" i="39"/>
  <c r="C62" i="39"/>
  <c r="A61" i="31"/>
  <c r="F25" i="31" s="1"/>
  <c r="F61" i="31"/>
  <c r="H156" i="31" l="1"/>
  <c r="H158" i="31" s="1"/>
  <c r="H251" i="31" s="1"/>
  <c r="I131" i="34"/>
  <c r="J131" i="34" s="1"/>
  <c r="F132" i="34"/>
  <c r="C64" i="39"/>
  <c r="C63" i="39"/>
  <c r="F245" i="31"/>
  <c r="A66" i="31"/>
  <c r="I132" i="34" l="1"/>
  <c r="J132" i="34" s="1"/>
  <c r="F133" i="34"/>
  <c r="I133" i="34" s="1"/>
  <c r="J133" i="34" s="1"/>
  <c r="C66" i="39"/>
  <c r="C65" i="39"/>
  <c r="A67" i="31"/>
  <c r="F67" i="31"/>
  <c r="J134" i="34" l="1"/>
  <c r="F136" i="34" s="1"/>
  <c r="I136" i="34" s="1"/>
  <c r="J136" i="34" s="1"/>
  <c r="F137" i="34" s="1"/>
  <c r="C67" i="39"/>
  <c r="C68" i="39"/>
  <c r="A69" i="31"/>
  <c r="A72" i="31" s="1"/>
  <c r="I137" i="34" l="1"/>
  <c r="J137" i="34" s="1"/>
  <c r="F138" i="34" s="1"/>
  <c r="C69" i="39"/>
  <c r="C70" i="39"/>
  <c r="A75" i="31"/>
  <c r="A128" i="20"/>
  <c r="I138" i="34" l="1"/>
  <c r="J138" i="34" s="1"/>
  <c r="C71" i="39"/>
  <c r="C72" i="39"/>
  <c r="C73" i="39" s="1"/>
  <c r="F76" i="31"/>
  <c r="A76" i="31"/>
  <c r="A201" i="20"/>
  <c r="F139" i="34" l="1"/>
  <c r="A78" i="31"/>
  <c r="I139" i="34" l="1"/>
  <c r="J139" i="34" s="1"/>
  <c r="A76" i="20"/>
  <c r="A80" i="31"/>
  <c r="F140" i="34" l="1"/>
  <c r="A81" i="31"/>
  <c r="A84" i="31" s="1"/>
  <c r="I140" i="34" l="1"/>
  <c r="J140" i="34" s="1"/>
  <c r="H141" i="34" s="1"/>
  <c r="A85" i="31"/>
  <c r="A86" i="31" s="1"/>
  <c r="H142" i="34" l="1"/>
  <c r="H143" i="34" s="1"/>
  <c r="H144" i="34" s="1"/>
  <c r="H145" i="34" s="1"/>
  <c r="H146" i="34" s="1"/>
  <c r="H147" i="34" s="1"/>
  <c r="H148" i="34" s="1"/>
  <c r="H149" i="34" s="1"/>
  <c r="H150" i="34" s="1"/>
  <c r="H151" i="34" s="1"/>
  <c r="H152" i="34" s="1"/>
  <c r="F141" i="34"/>
  <c r="A87" i="31"/>
  <c r="A88" i="31" s="1"/>
  <c r="F86" i="31"/>
  <c r="H153" i="34" l="1"/>
  <c r="H155" i="34" s="1"/>
  <c r="F88" i="31"/>
  <c r="I141" i="34"/>
  <c r="J141" i="34" s="1"/>
  <c r="A91" i="31"/>
  <c r="I155" i="34" l="1"/>
  <c r="J287" i="31" s="1"/>
  <c r="J155" i="34"/>
  <c r="E17" i="33" s="1"/>
  <c r="F142" i="34"/>
  <c r="A92" i="31"/>
  <c r="A93" i="31" s="1"/>
  <c r="E18" i="33" l="1"/>
  <c r="J157" i="34"/>
  <c r="I142" i="34"/>
  <c r="J142" i="34" s="1"/>
  <c r="F143" i="34" s="1"/>
  <c r="A96" i="31"/>
  <c r="F93" i="31"/>
  <c r="J109" i="31" l="1"/>
  <c r="H109" i="31" s="1"/>
  <c r="H111" i="31" s="1"/>
  <c r="H135" i="31" s="1"/>
  <c r="H91" i="31" s="1"/>
  <c r="H93" i="31" s="1"/>
  <c r="I143" i="34"/>
  <c r="J143" i="34" s="1"/>
  <c r="F144" i="34" s="1"/>
  <c r="A97" i="31"/>
  <c r="A220" i="20"/>
  <c r="F98" i="31"/>
  <c r="J111" i="31" l="1"/>
  <c r="J135" i="31" s="1"/>
  <c r="J249" i="31" s="1"/>
  <c r="H249" i="31"/>
  <c r="I144" i="34"/>
  <c r="J144" i="34" s="1"/>
  <c r="F145" i="34" s="1"/>
  <c r="A98" i="31"/>
  <c r="A225" i="20"/>
  <c r="J91" i="31" l="1"/>
  <c r="I145" i="34"/>
  <c r="J145" i="34" s="1"/>
  <c r="F146" i="34" s="1"/>
  <c r="A100" i="31"/>
  <c r="F100" i="31"/>
  <c r="J93" i="31" l="1"/>
  <c r="I146" i="34"/>
  <c r="J146" i="34" s="1"/>
  <c r="A102" i="31"/>
  <c r="E14" i="22" s="1"/>
  <c r="F246" i="31"/>
  <c r="F102" i="31"/>
  <c r="F147" i="34" l="1"/>
  <c r="F247" i="31"/>
  <c r="A107" i="31"/>
  <c r="I147" i="34" l="1"/>
  <c r="J147" i="34" s="1"/>
  <c r="A108" i="31"/>
  <c r="A109" i="31" s="1"/>
  <c r="A110" i="31" s="1"/>
  <c r="F111" i="31" s="1"/>
  <c r="F148" i="34" l="1"/>
  <c r="A241" i="20"/>
  <c r="A111" i="31"/>
  <c r="I148" i="34" l="1"/>
  <c r="J148" i="34" s="1"/>
  <c r="A114" i="31"/>
  <c r="F149" i="34" l="1"/>
  <c r="A115" i="31"/>
  <c r="I149" i="34" l="1"/>
  <c r="J149" i="34" s="1"/>
  <c r="A116" i="31"/>
  <c r="A83" i="20"/>
  <c r="F150" i="34" l="1"/>
  <c r="A117" i="31"/>
  <c r="A118" i="31" s="1"/>
  <c r="A119" i="31" s="1"/>
  <c r="F129" i="31"/>
  <c r="I150" i="34" l="1"/>
  <c r="J150" i="34" s="1"/>
  <c r="A120" i="31"/>
  <c r="A93" i="20"/>
  <c r="F120" i="31"/>
  <c r="H95" i="46" l="1"/>
  <c r="L95" i="46" s="1"/>
  <c r="F102" i="46" s="1"/>
  <c r="F151" i="34"/>
  <c r="A121" i="31"/>
  <c r="A122" i="31" s="1"/>
  <c r="I102" i="46" l="1"/>
  <c r="J102" i="46" s="1"/>
  <c r="F103" i="46"/>
  <c r="I151" i="34"/>
  <c r="J151" i="34" s="1"/>
  <c r="A125" i="31"/>
  <c r="F122" i="31"/>
  <c r="F104" i="46" l="1"/>
  <c r="I103" i="46"/>
  <c r="J103" i="46" s="1"/>
  <c r="F152" i="34"/>
  <c r="A126" i="31"/>
  <c r="F127" i="31" s="1"/>
  <c r="I104" i="46" l="1"/>
  <c r="J104" i="46" s="1"/>
  <c r="F105" i="46"/>
  <c r="I152" i="34"/>
  <c r="J152" i="34" s="1"/>
  <c r="A127" i="31"/>
  <c r="A109" i="20"/>
  <c r="I105" i="46" l="1"/>
  <c r="J105" i="46" s="1"/>
  <c r="F106" i="46"/>
  <c r="A129" i="31"/>
  <c r="I106" i="46" l="1"/>
  <c r="J106" i="46" s="1"/>
  <c r="F107" i="46"/>
  <c r="A130" i="31"/>
  <c r="A131" i="31" s="1"/>
  <c r="I107" i="46" l="1"/>
  <c r="J107" i="46" s="1"/>
  <c r="F108" i="46"/>
  <c r="F131" i="31"/>
  <c r="A132" i="31"/>
  <c r="A133" i="31" s="1"/>
  <c r="I108" i="46" l="1"/>
  <c r="J108" i="46" s="1"/>
  <c r="F109" i="46"/>
  <c r="F133" i="31"/>
  <c r="A135" i="31"/>
  <c r="F135" i="31"/>
  <c r="F110" i="46" l="1"/>
  <c r="I109" i="46"/>
  <c r="J109" i="46" s="1"/>
  <c r="F91" i="31"/>
  <c r="A140" i="31"/>
  <c r="F249" i="31"/>
  <c r="I110" i="46" l="1"/>
  <c r="J110" i="46" s="1"/>
  <c r="F111" i="46"/>
  <c r="A141" i="31"/>
  <c r="A143" i="31"/>
  <c r="A144" i="31" s="1"/>
  <c r="A145" i="31" s="1"/>
  <c r="A146" i="31" s="1"/>
  <c r="F141" i="31"/>
  <c r="I111" i="46" l="1"/>
  <c r="J111" i="46" s="1"/>
  <c r="F112" i="46"/>
  <c r="A147" i="31"/>
  <c r="A148" i="31" s="1"/>
  <c r="F148" i="31" l="1"/>
  <c r="I112" i="46"/>
  <c r="J112" i="46" s="1"/>
  <c r="F113" i="46"/>
  <c r="I113" i="46" s="1"/>
  <c r="J113" i="46" s="1"/>
  <c r="A149" i="31"/>
  <c r="A150" i="31" s="1"/>
  <c r="F150" i="31" l="1"/>
  <c r="J114" i="46"/>
  <c r="A152" i="31"/>
  <c r="F152" i="31"/>
  <c r="F116" i="46" l="1"/>
  <c r="H118" i="46"/>
  <c r="H119" i="46" s="1"/>
  <c r="H120" i="46" s="1"/>
  <c r="H118" i="45"/>
  <c r="H119" i="45" s="1"/>
  <c r="H120" i="45" s="1"/>
  <c r="H121" i="45" s="1"/>
  <c r="A156" i="31"/>
  <c r="F250" i="31"/>
  <c r="I116" i="46" l="1"/>
  <c r="A158" i="31"/>
  <c r="F158" i="31"/>
  <c r="J116" i="46" l="1"/>
  <c r="F117" i="46" s="1"/>
  <c r="F251" i="31"/>
  <c r="A163" i="31"/>
  <c r="I117" i="46" l="1"/>
  <c r="J117" i="46" s="1"/>
  <c r="A164" i="31"/>
  <c r="A165" i="31" s="1"/>
  <c r="A166" i="31" s="1"/>
  <c r="A167" i="31" s="1"/>
  <c r="A169" i="31" s="1"/>
  <c r="D167" i="31" l="1"/>
  <c r="F118" i="46"/>
  <c r="A170" i="31"/>
  <c r="A171" i="31" s="1"/>
  <c r="A172" i="31" s="1"/>
  <c r="A173" i="31" s="1"/>
  <c r="A174" i="31" s="1"/>
  <c r="A177" i="31" s="1"/>
  <c r="I118" i="46" l="1"/>
  <c r="J118" i="46" s="1"/>
  <c r="F119" i="46" s="1"/>
  <c r="D174" i="31"/>
  <c r="A178" i="31"/>
  <c r="A179" i="31" s="1"/>
  <c r="A180" i="31" s="1"/>
  <c r="A181" i="31" s="1"/>
  <c r="A182" i="31" s="1"/>
  <c r="A183" i="31" s="1"/>
  <c r="D183" i="31" s="1"/>
  <c r="I119" i="46" l="1"/>
  <c r="J119" i="46" s="1"/>
  <c r="F120" i="46" s="1"/>
  <c r="F208" i="31"/>
  <c r="A186" i="31"/>
  <c r="I120" i="46" l="1"/>
  <c r="J120" i="46" s="1"/>
  <c r="A187" i="31"/>
  <c r="A188" i="31" s="1"/>
  <c r="A189" i="31" s="1"/>
  <c r="A190" i="31" s="1"/>
  <c r="A191" i="31" s="1"/>
  <c r="A192" i="31" s="1"/>
  <c r="F121" i="46" l="1"/>
  <c r="I121" i="46" s="1"/>
  <c r="H121" i="46"/>
  <c r="D192" i="31"/>
  <c r="A194" i="31"/>
  <c r="J121" i="46" l="1"/>
  <c r="F122" i="46" s="1"/>
  <c r="I122" i="46" s="1"/>
  <c r="H122" i="46"/>
  <c r="H123" i="46" s="1"/>
  <c r="H124" i="46" s="1"/>
  <c r="H125" i="46" s="1"/>
  <c r="H126" i="46" s="1"/>
  <c r="H127" i="46" s="1"/>
  <c r="H128" i="46" s="1"/>
  <c r="H129" i="46" s="1"/>
  <c r="H130" i="46" s="1"/>
  <c r="H131" i="46" s="1"/>
  <c r="H132" i="46" s="1"/>
  <c r="F209" i="31"/>
  <c r="A197" i="31"/>
  <c r="J122" i="46" l="1"/>
  <c r="F123" i="46" s="1"/>
  <c r="I123" i="46" s="1"/>
  <c r="J123" i="46" s="1"/>
  <c r="F124" i="46" s="1"/>
  <c r="H133" i="46"/>
  <c r="H135" i="46" s="1"/>
  <c r="L287" i="31" s="1"/>
  <c r="A198" i="31"/>
  <c r="A199" i="31" s="1"/>
  <c r="A200" i="31" s="1"/>
  <c r="A201" i="31" s="1"/>
  <c r="D201" i="31"/>
  <c r="I124" i="46" l="1"/>
  <c r="J124" i="46" s="1"/>
  <c r="F125" i="46" s="1"/>
  <c r="F205" i="31"/>
  <c r="A203" i="31"/>
  <c r="E16" i="22" s="1"/>
  <c r="F204" i="31"/>
  <c r="I125" i="46" l="1"/>
  <c r="J125" i="46" s="1"/>
  <c r="F126" i="46" s="1"/>
  <c r="A204" i="31"/>
  <c r="E17" i="22" s="1"/>
  <c r="I126" i="46" l="1"/>
  <c r="J126" i="46" s="1"/>
  <c r="F127" i="46" s="1"/>
  <c r="I127" i="46" s="1"/>
  <c r="A205" i="31"/>
  <c r="E18" i="22" s="1"/>
  <c r="J127" i="46" l="1"/>
  <c r="F128" i="46" s="1"/>
  <c r="A208" i="31"/>
  <c r="E20" i="22" s="1"/>
  <c r="F203" i="31"/>
  <c r="I128" i="46" l="1"/>
  <c r="J128" i="46" s="1"/>
  <c r="A209" i="31"/>
  <c r="E21" i="22" s="1"/>
  <c r="F212" i="31"/>
  <c r="F129" i="46" l="1"/>
  <c r="A210" i="31"/>
  <c r="E22" i="22" s="1"/>
  <c r="F213" i="31"/>
  <c r="I129" i="46" l="1"/>
  <c r="J129" i="46" s="1"/>
  <c r="A212" i="31"/>
  <c r="E24" i="22" s="1"/>
  <c r="F214" i="31"/>
  <c r="F130" i="46" l="1"/>
  <c r="A213" i="31"/>
  <c r="E25" i="22" s="1"/>
  <c r="I130" i="46" l="1"/>
  <c r="J130" i="46" s="1"/>
  <c r="A214" i="31"/>
  <c r="F131" i="46" l="1"/>
  <c r="A215" i="31"/>
  <c r="F215" i="31"/>
  <c r="I131" i="46" l="1"/>
  <c r="J131" i="46" s="1"/>
  <c r="A217" i="31"/>
  <c r="F217" i="31"/>
  <c r="F132" i="46" l="1"/>
  <c r="A222" i="31"/>
  <c r="E33" i="22" s="1"/>
  <c r="F252" i="31"/>
  <c r="I132" i="46" l="1"/>
  <c r="J132" i="46" s="1"/>
  <c r="A223" i="31"/>
  <c r="E34" i="22" s="1"/>
  <c r="A224" i="31" l="1"/>
  <c r="E35" i="22" s="1"/>
  <c r="A225" i="31" l="1"/>
  <c r="E36" i="22" s="1"/>
  <c r="A226" i="31" l="1"/>
  <c r="E37" i="22" s="1"/>
  <c r="F230" i="31"/>
  <c r="A229" i="31" l="1"/>
  <c r="E40" i="22" s="1"/>
  <c r="F238" i="31"/>
  <c r="A230" i="31" l="1"/>
  <c r="E41" i="22" s="1"/>
  <c r="A231" i="31" l="1"/>
  <c r="E42" i="22" s="1"/>
  <c r="A232" i="31" l="1"/>
  <c r="F232" i="31"/>
  <c r="E43" i="22" l="1"/>
  <c r="A238" i="31"/>
  <c r="A240" i="31" s="1"/>
  <c r="F240" i="31" l="1"/>
  <c r="A245" i="31"/>
  <c r="A246" i="31" s="1"/>
  <c r="A247" i="31" s="1"/>
  <c r="A249" i="31" s="1"/>
  <c r="F253" i="31"/>
  <c r="A250" i="31" l="1"/>
  <c r="A251" i="31" s="1"/>
  <c r="A252" i="31" s="1"/>
  <c r="A253" i="31" s="1"/>
  <c r="A255" i="31" s="1"/>
  <c r="F255" i="31" l="1"/>
  <c r="F279" i="31"/>
  <c r="A258" i="31"/>
  <c r="F262" i="31"/>
  <c r="F272" i="31"/>
  <c r="A259" i="31" l="1"/>
  <c r="F260" i="31" s="1"/>
  <c r="A260" i="31" l="1"/>
  <c r="A120" i="20"/>
  <c r="F261" i="31" l="1"/>
  <c r="A261" i="31"/>
  <c r="A262" i="31" l="1"/>
  <c r="A263" i="31" s="1"/>
  <c r="F263" i="31" l="1"/>
  <c r="A266" i="31"/>
  <c r="A267" i="31" s="1"/>
  <c r="F269" i="31"/>
  <c r="A269" i="31" l="1"/>
  <c r="A234" i="20"/>
  <c r="F286" i="31" l="1"/>
  <c r="A272" i="31"/>
  <c r="A273" i="31" s="1"/>
  <c r="A274" i="31" l="1"/>
  <c r="A275" i="31" s="1"/>
  <c r="F275" i="31"/>
  <c r="F274" i="31"/>
  <c r="F276" i="31"/>
  <c r="C8" i="39" l="1"/>
  <c r="A276" i="31"/>
  <c r="C12" i="39" l="1"/>
  <c r="A279" i="31"/>
  <c r="A280" i="31" l="1"/>
  <c r="A281" i="31" s="1"/>
  <c r="F281" i="31" l="1"/>
  <c r="A282" i="31"/>
  <c r="A283" i="31" s="1"/>
  <c r="A284" i="31" s="1"/>
  <c r="F284" i="31"/>
  <c r="F283" i="31"/>
  <c r="A286" i="31" l="1"/>
  <c r="C9" i="39"/>
  <c r="A287" i="31" l="1"/>
  <c r="A288" i="31" s="1"/>
  <c r="A289" i="31" s="1"/>
  <c r="F290" i="31" l="1"/>
  <c r="A290" i="31"/>
  <c r="FH289" i="31"/>
  <c r="A293" i="31" l="1"/>
  <c r="F294" i="31" s="1"/>
  <c r="F295" i="31" l="1"/>
  <c r="A294" i="31"/>
  <c r="A295" i="31" s="1"/>
  <c r="W22" i="23"/>
  <c r="J202" i="20" l="1"/>
  <c r="L202" i="20" s="1"/>
  <c r="L205" i="20"/>
  <c r="L207" i="20" l="1"/>
  <c r="H75" i="31" l="1"/>
  <c r="H76" i="31" s="1"/>
  <c r="J75" i="31"/>
  <c r="J76" i="31" s="1"/>
  <c r="J100" i="31" s="1"/>
  <c r="J102" i="31" l="1"/>
  <c r="J247" i="31" s="1"/>
  <c r="J246" i="31"/>
  <c r="H100" i="31"/>
  <c r="H246" i="31" s="1"/>
  <c r="H102" i="31" l="1"/>
  <c r="H247" i="31" l="1"/>
  <c r="K103" i="31"/>
  <c r="H217" i="31"/>
  <c r="G14" i="22"/>
  <c r="G29" i="22" s="1"/>
  <c r="G49" i="22" s="1"/>
  <c r="G51" i="22" s="1"/>
  <c r="L103" i="31"/>
  <c r="J103" i="31"/>
  <c r="H238" i="31" l="1"/>
  <c r="H240" i="31" s="1"/>
  <c r="J240" i="31" s="1"/>
  <c r="J253" i="31" s="1"/>
  <c r="J217" i="31"/>
  <c r="H252" i="31"/>
  <c r="G9" i="22"/>
  <c r="J252" i="31"/>
  <c r="L217" i="31"/>
  <c r="L252" i="31" s="1"/>
  <c r="L240" i="31" l="1"/>
  <c r="L253" i="31" s="1"/>
  <c r="H253" i="31"/>
  <c r="K240" i="31"/>
  <c r="K253" i="31" s="1"/>
  <c r="K255" i="31" s="1"/>
  <c r="K262" i="31" s="1"/>
  <c r="K263" i="31" s="1"/>
  <c r="K269" i="31" s="1"/>
  <c r="K286" i="31" s="1"/>
  <c r="H137" i="45" s="1"/>
  <c r="H255" i="31"/>
  <c r="H262" i="31" s="1"/>
  <c r="H263" i="31" s="1"/>
  <c r="H269" i="31" s="1"/>
  <c r="H286" i="31" s="1"/>
  <c r="H280" i="31"/>
  <c r="J280" i="31" s="1"/>
  <c r="J255" i="31"/>
  <c r="J262" i="31" s="1"/>
  <c r="J263" i="31" s="1"/>
  <c r="J272" i="31" s="1"/>
  <c r="L255" i="31"/>
  <c r="L262" i="31" s="1"/>
  <c r="L263" i="31" s="1"/>
  <c r="L269" i="31" s="1"/>
  <c r="L286" i="31" s="1"/>
  <c r="L290" i="31" s="1"/>
  <c r="L294" i="31" s="1"/>
  <c r="L295" i="31" s="1"/>
  <c r="H276" i="31"/>
  <c r="I12" i="39" s="1"/>
  <c r="H275" i="31"/>
  <c r="I8" i="39" s="1"/>
  <c r="H279" i="31"/>
  <c r="H274" i="31"/>
  <c r="D96" i="45"/>
  <c r="H96" i="45" s="1"/>
  <c r="L96" i="45" s="1"/>
  <c r="F103" i="45" s="1"/>
  <c r="K279" i="31" l="1"/>
  <c r="K272" i="31"/>
  <c r="K274" i="31" s="1"/>
  <c r="H272" i="31"/>
  <c r="L280" i="31"/>
  <c r="H281" i="31"/>
  <c r="H283" i="31" s="1"/>
  <c r="K280" i="31"/>
  <c r="K281" i="31" s="1"/>
  <c r="K284" i="31" s="1"/>
  <c r="K9" i="39" s="1"/>
  <c r="J269" i="31"/>
  <c r="J286" i="31" s="1"/>
  <c r="I156" i="34" s="1"/>
  <c r="I157" i="34" s="1"/>
  <c r="C185" i="34" s="1"/>
  <c r="D189" i="34" s="1"/>
  <c r="J279" i="31"/>
  <c r="J281" i="31" s="1"/>
  <c r="J284" i="31" s="1"/>
  <c r="J9" i="39" s="1"/>
  <c r="H136" i="46"/>
  <c r="H137" i="46" s="1"/>
  <c r="L279" i="31"/>
  <c r="L272" i="31"/>
  <c r="L276" i="31" s="1"/>
  <c r="L12" i="39" s="1"/>
  <c r="K275" i="31"/>
  <c r="K8" i="39" s="1"/>
  <c r="J275" i="31"/>
  <c r="J8" i="39" s="1"/>
  <c r="G26" i="39" s="1"/>
  <c r="J276" i="31"/>
  <c r="J12" i="39" s="1"/>
  <c r="J274" i="31"/>
  <c r="F104" i="45"/>
  <c r="I103" i="45"/>
  <c r="J103" i="45" s="1"/>
  <c r="K276" i="31" l="1"/>
  <c r="K12" i="39" s="1"/>
  <c r="L281" i="31"/>
  <c r="L283" i="31" s="1"/>
  <c r="H284" i="31"/>
  <c r="I9" i="39" s="1"/>
  <c r="I10" i="39" s="1"/>
  <c r="J283" i="31"/>
  <c r="L275" i="31"/>
  <c r="L8" i="39" s="1"/>
  <c r="L274" i="31"/>
  <c r="K10" i="39"/>
  <c r="K283" i="31"/>
  <c r="J10" i="39"/>
  <c r="G27" i="39" s="1"/>
  <c r="D26" i="39"/>
  <c r="F56" i="39" s="1"/>
  <c r="I56" i="39"/>
  <c r="I58" i="39"/>
  <c r="I32" i="39"/>
  <c r="I42" i="39"/>
  <c r="I46" i="39"/>
  <c r="I40" i="39"/>
  <c r="I38" i="39"/>
  <c r="I48" i="39"/>
  <c r="I52" i="39"/>
  <c r="I68" i="39"/>
  <c r="I62" i="39"/>
  <c r="I34" i="39"/>
  <c r="I60" i="39"/>
  <c r="I70" i="39"/>
  <c r="I64" i="39"/>
  <c r="I50" i="39"/>
  <c r="I36" i="39"/>
  <c r="I66" i="39"/>
  <c r="I44" i="39"/>
  <c r="I54" i="39"/>
  <c r="F105" i="45"/>
  <c r="I104" i="45"/>
  <c r="J104" i="45" s="1"/>
  <c r="L284" i="31" l="1"/>
  <c r="L9" i="39" s="1"/>
  <c r="L10" i="39" s="1"/>
  <c r="F44" i="39"/>
  <c r="J44" i="39" s="1"/>
  <c r="L44" i="39" s="1"/>
  <c r="F50" i="39"/>
  <c r="J50" i="39" s="1"/>
  <c r="L50" i="39" s="1"/>
  <c r="F68" i="39"/>
  <c r="J68" i="39" s="1"/>
  <c r="L68" i="39" s="1"/>
  <c r="F46" i="39"/>
  <c r="J46" i="39" s="1"/>
  <c r="L46" i="39" s="1"/>
  <c r="F70" i="39"/>
  <c r="J70" i="39" s="1"/>
  <c r="L70" i="39" s="1"/>
  <c r="F62" i="39"/>
  <c r="J62" i="39" s="1"/>
  <c r="L62" i="39" s="1"/>
  <c r="F34" i="39"/>
  <c r="J34" i="39" s="1"/>
  <c r="L34" i="39" s="1"/>
  <c r="F52" i="39"/>
  <c r="J52" i="39" s="1"/>
  <c r="L52" i="39" s="1"/>
  <c r="F40" i="39"/>
  <c r="J40" i="39" s="1"/>
  <c r="L40" i="39" s="1"/>
  <c r="F60" i="39"/>
  <c r="J60" i="39" s="1"/>
  <c r="L60" i="39" s="1"/>
  <c r="F36" i="39"/>
  <c r="J36" i="39" s="1"/>
  <c r="L36" i="39" s="1"/>
  <c r="D27" i="39"/>
  <c r="F47" i="39" s="1"/>
  <c r="F58" i="39"/>
  <c r="J58" i="39" s="1"/>
  <c r="L58" i="39" s="1"/>
  <c r="F64" i="39"/>
  <c r="J64" i="39" s="1"/>
  <c r="L64" i="39" s="1"/>
  <c r="F38" i="39"/>
  <c r="J38" i="39" s="1"/>
  <c r="L38" i="39" s="1"/>
  <c r="F42" i="39"/>
  <c r="J42" i="39" s="1"/>
  <c r="L42" i="39" s="1"/>
  <c r="F66" i="39"/>
  <c r="J66" i="39" s="1"/>
  <c r="L66" i="39" s="1"/>
  <c r="F54" i="39"/>
  <c r="J54" i="39" s="1"/>
  <c r="L54" i="39" s="1"/>
  <c r="F48" i="39"/>
  <c r="J48" i="39" s="1"/>
  <c r="L48" i="39" s="1"/>
  <c r="F32" i="39"/>
  <c r="J32" i="39" s="1"/>
  <c r="L32" i="39" s="1"/>
  <c r="J56" i="39"/>
  <c r="L56" i="39" s="1"/>
  <c r="F106" i="45"/>
  <c r="I105" i="45"/>
  <c r="J105" i="45" s="1"/>
  <c r="I47" i="39"/>
  <c r="I41" i="39"/>
  <c r="I43" i="39"/>
  <c r="I71" i="39"/>
  <c r="I33" i="39"/>
  <c r="I57" i="39"/>
  <c r="I55" i="39"/>
  <c r="I39" i="39"/>
  <c r="I59" i="39"/>
  <c r="I49" i="39"/>
  <c r="I35" i="39"/>
  <c r="I53" i="39"/>
  <c r="I63" i="39"/>
  <c r="I65" i="39"/>
  <c r="I67" i="39"/>
  <c r="I51" i="39"/>
  <c r="I45" i="39"/>
  <c r="I69" i="39"/>
  <c r="I61" i="39"/>
  <c r="I37" i="39"/>
  <c r="F41" i="39" l="1"/>
  <c r="J41" i="39" s="1"/>
  <c r="K41" i="39" s="1"/>
  <c r="M40" i="39" s="1"/>
  <c r="F57" i="39"/>
  <c r="J57" i="39" s="1"/>
  <c r="K57" i="39" s="1"/>
  <c r="M56" i="39" s="1"/>
  <c r="F55" i="39"/>
  <c r="J55" i="39" s="1"/>
  <c r="K55" i="39" s="1"/>
  <c r="M54" i="39" s="1"/>
  <c r="F71" i="39"/>
  <c r="J71" i="39" s="1"/>
  <c r="K71" i="39" s="1"/>
  <c r="M70" i="39" s="1"/>
  <c r="F51" i="39"/>
  <c r="J51" i="39" s="1"/>
  <c r="K51" i="39" s="1"/>
  <c r="M50" i="39" s="1"/>
  <c r="F45" i="39"/>
  <c r="J45" i="39" s="1"/>
  <c r="K45" i="39" s="1"/>
  <c r="M44" i="39" s="1"/>
  <c r="F37" i="39"/>
  <c r="J37" i="39" s="1"/>
  <c r="K37" i="39" s="1"/>
  <c r="M36" i="39" s="1"/>
  <c r="F53" i="39"/>
  <c r="J53" i="39" s="1"/>
  <c r="K53" i="39" s="1"/>
  <c r="M52" i="39" s="1"/>
  <c r="F35" i="39"/>
  <c r="J35" i="39" s="1"/>
  <c r="K35" i="39" s="1"/>
  <c r="M34" i="39" s="1"/>
  <c r="F39" i="39"/>
  <c r="J39" i="39" s="1"/>
  <c r="K39" i="39" s="1"/>
  <c r="M38" i="39" s="1"/>
  <c r="F61" i="39"/>
  <c r="J61" i="39" s="1"/>
  <c r="K61" i="39" s="1"/>
  <c r="M60" i="39" s="1"/>
  <c r="F63" i="39"/>
  <c r="J63" i="39" s="1"/>
  <c r="K63" i="39" s="1"/>
  <c r="M62" i="39" s="1"/>
  <c r="F49" i="39"/>
  <c r="J49" i="39" s="1"/>
  <c r="K49" i="39" s="1"/>
  <c r="M48" i="39" s="1"/>
  <c r="F65" i="39"/>
  <c r="J65" i="39" s="1"/>
  <c r="K65" i="39" s="1"/>
  <c r="M64" i="39" s="1"/>
  <c r="F43" i="39"/>
  <c r="J43" i="39" s="1"/>
  <c r="K43" i="39" s="1"/>
  <c r="M42" i="39" s="1"/>
  <c r="F67" i="39"/>
  <c r="J67" i="39" s="1"/>
  <c r="K67" i="39" s="1"/>
  <c r="M66" i="39" s="1"/>
  <c r="F59" i="39"/>
  <c r="J59" i="39" s="1"/>
  <c r="K59" i="39" s="1"/>
  <c r="M58" i="39" s="1"/>
  <c r="F69" i="39"/>
  <c r="J69" i="39" s="1"/>
  <c r="K69" i="39" s="1"/>
  <c r="M68" i="39" s="1"/>
  <c r="F33" i="39"/>
  <c r="J33" i="39" s="1"/>
  <c r="K33" i="39" s="1"/>
  <c r="M32" i="39" s="1"/>
  <c r="I106" i="45"/>
  <c r="J106" i="45" s="1"/>
  <c r="F107" i="45"/>
  <c r="J47" i="39"/>
  <c r="K47" i="39" s="1"/>
  <c r="M46" i="39" s="1"/>
  <c r="H288" i="31" l="1"/>
  <c r="J288" i="31" s="1"/>
  <c r="J290" i="31" s="1"/>
  <c r="J294" i="31" s="1"/>
  <c r="J295" i="31" s="1"/>
  <c r="F108" i="45"/>
  <c r="I107" i="45"/>
  <c r="J107" i="45" s="1"/>
  <c r="F109" i="45" l="1"/>
  <c r="I108" i="45"/>
  <c r="J108" i="45" s="1"/>
  <c r="I109" i="45" l="1"/>
  <c r="J109" i="45" s="1"/>
  <c r="F110" i="45"/>
  <c r="I110" i="45" l="1"/>
  <c r="J110" i="45" s="1"/>
  <c r="F111" i="45"/>
  <c r="I111" i="45" l="1"/>
  <c r="J111" i="45" s="1"/>
  <c r="F112" i="45"/>
  <c r="I112" i="45" l="1"/>
  <c r="J112" i="45" s="1"/>
  <c r="F113" i="45"/>
  <c r="I113" i="45" l="1"/>
  <c r="J113" i="45" s="1"/>
  <c r="F114" i="45"/>
  <c r="I114" i="45" s="1"/>
  <c r="J114" i="45" s="1"/>
  <c r="J115" i="45" l="1"/>
  <c r="F117" i="45" s="1"/>
  <c r="I117" i="45" s="1"/>
  <c r="J117" i="45" s="1"/>
  <c r="F118" i="45" s="1"/>
  <c r="I118" i="45" s="1"/>
  <c r="J118" i="45" s="1"/>
  <c r="F119" i="45" s="1"/>
  <c r="I119" i="45" s="1"/>
  <c r="J119" i="45" s="1"/>
  <c r="F120" i="45" s="1"/>
  <c r="I120" i="45" s="1"/>
  <c r="J120" i="45" s="1"/>
  <c r="F121" i="45" s="1"/>
  <c r="I121" i="45" s="1"/>
  <c r="J121" i="45" s="1"/>
  <c r="H122" i="45" l="1"/>
  <c r="F122" i="45"/>
  <c r="I122" i="45" l="1"/>
  <c r="J122" i="45" s="1"/>
  <c r="F123" i="45" s="1"/>
  <c r="I123" i="45" s="1"/>
  <c r="H123" i="45"/>
  <c r="H124" i="45" s="1"/>
  <c r="H125" i="45" s="1"/>
  <c r="H126" i="45" s="1"/>
  <c r="H127" i="45" s="1"/>
  <c r="H128" i="45" s="1"/>
  <c r="H129" i="45" s="1"/>
  <c r="H130" i="45" s="1"/>
  <c r="H131" i="45" s="1"/>
  <c r="H132" i="45" s="1"/>
  <c r="H133" i="45" s="1"/>
  <c r="H134" i="45" l="1"/>
  <c r="H136" i="45" s="1"/>
  <c r="K287" i="31" s="1"/>
  <c r="H287" i="31" s="1"/>
  <c r="J123" i="45"/>
  <c r="F124" i="45" s="1"/>
  <c r="I124" i="45" s="1"/>
  <c r="J124" i="45" s="1"/>
  <c r="F125" i="45" s="1"/>
  <c r="I125" i="45" s="1"/>
  <c r="J125" i="45" s="1"/>
  <c r="F126" i="45" s="1"/>
  <c r="I126" i="45" s="1"/>
  <c r="J126" i="45" s="1"/>
  <c r="F127" i="45" s="1"/>
  <c r="I127" i="45" s="1"/>
  <c r="J127" i="45" s="1"/>
  <c r="F128" i="45" s="1"/>
  <c r="I128" i="45" s="1"/>
  <c r="J128" i="45" s="1"/>
  <c r="F129" i="45" s="1"/>
  <c r="I129" i="45" s="1"/>
  <c r="J129" i="45" s="1"/>
  <c r="F130" i="45" s="1"/>
  <c r="I130" i="45" s="1"/>
  <c r="J130" i="45" s="1"/>
  <c r="F131" i="45" s="1"/>
  <c r="I131" i="45" s="1"/>
  <c r="J131" i="45" s="1"/>
  <c r="F132" i="45" s="1"/>
  <c r="I132" i="45" s="1"/>
  <c r="J132" i="45" s="1"/>
  <c r="F133" i="45" s="1"/>
  <c r="I133" i="45" s="1"/>
  <c r="J133" i="45" s="1"/>
  <c r="H290" i="31" l="1"/>
  <c r="H138" i="45"/>
  <c r="K290" i="31" l="1"/>
  <c r="K294" i="31" s="1"/>
  <c r="K295" i="31" s="1"/>
</calcChain>
</file>

<file path=xl/sharedStrings.xml><?xml version="1.0" encoding="utf-8"?>
<sst xmlns="http://schemas.openxmlformats.org/spreadsheetml/2006/main" count="3123" uniqueCount="1374">
  <si>
    <t>E3539 (GIF) Sta Eq, Upper Baker</t>
  </si>
  <si>
    <t>E3539 (GIF) Sta Eq, WHDE sub@plant</t>
  </si>
  <si>
    <t>E3539 (GIF) Sta Eq, Whitehorn</t>
  </si>
  <si>
    <t>E3539 (GIF) Sta Eq, Wild H sub@plt</t>
  </si>
  <si>
    <t>E3539 (GIF) Sta Eq, Wild Horse Exp</t>
  </si>
  <si>
    <t>E3539 (GIF) Sta Eq, Wind Ridge</t>
  </si>
  <si>
    <t>E3539 (GIF) Sta Eq, WindRid NonProj</t>
  </si>
  <si>
    <t>E3559 (GIF) Poles, Hopkins Ridge</t>
  </si>
  <si>
    <t>E3559 (GIF) Poles, Lower Baker</t>
  </si>
  <si>
    <t>E3559 (GIF) Poles, Poison Spring</t>
  </si>
  <si>
    <t>E3559 (GIF) Poles, Scl-Tolt</t>
  </si>
  <si>
    <t>E3559 (GIF) Poles, Snoqualmie 2</t>
  </si>
  <si>
    <t>E3559 (GIF) Poles, Sumas</t>
  </si>
  <si>
    <t>E3559 (GIF) Poles, Upper Baker</t>
  </si>
  <si>
    <t>E3559 (GIF) Poles, Wild Horse</t>
  </si>
  <si>
    <t>E3569 (GIF) O/H Cond, Hopkins</t>
  </si>
  <si>
    <t>E3569 (GIF) O/H Cond, Poison Spring</t>
  </si>
  <si>
    <t>E3569 (GIF) O/H Cond, Scl-Tolt</t>
  </si>
  <si>
    <t>E3569 (GIF) O/H Cond, Snoqualmie 1</t>
  </si>
  <si>
    <t>E3569 (GIF) O/H Cond, Snoqualmie 2</t>
  </si>
  <si>
    <t>E3569 (GIF) O/H Cond, Sumas</t>
  </si>
  <si>
    <t>E3569 (GIF) O/H Cond, Upper Baker</t>
  </si>
  <si>
    <t>E3569 (GIF) O/H Cond, Wild Horse</t>
  </si>
  <si>
    <t>E35999 (GIF) Rd/Trail, Upper Baker</t>
  </si>
  <si>
    <t>"Pursuant to the Settlement Agreement approved by the Commission in Docket No. ER12-778-000 et al. PSE is entitled to earn a return of 10.3 percent with respect to its transmission rate base comprising those facilities identified in the Memorandum of Agreement between BPA, PSE, and Seattle City Light dated 1/1/2012.  The Increased ROE (Basis Points) for PSE's share of the PSANI Project in Line 7 of this Attachment 7 shall be calculated by subtracting the ROE stated in Note J of Attachment H Direct from 10.3." </t>
  </si>
  <si>
    <t>ROE of 9.8%.  Changes to the ROE require a filing under Section 205 or 206 of the Federal Power Act after the Moratorium in Article II, Section F.1. of the settlement agreement in Docket No. ER12-778 et al. The equity component of the capital structure is capped at 50%.  If the actual equity ratio exceeds 50%, the debt ratio will be equal to 1 minus sum of the preferred stock ratio and common stock ratio.</t>
  </si>
  <si>
    <t>Reference</t>
  </si>
  <si>
    <t>p.256, various lines, col a,b</t>
  </si>
  <si>
    <t>p.112.22.c,d</t>
  </si>
  <si>
    <t>p.113.61.c,d</t>
  </si>
  <si>
    <t>p.257.33.i</t>
  </si>
  <si>
    <t>p.112.18.c,d</t>
  </si>
  <si>
    <t>p.112.19.c,d</t>
  </si>
  <si>
    <t>p.112.21.c,d</t>
  </si>
  <si>
    <t>p.112.23.c,d</t>
  </si>
  <si>
    <t>p.111.69.c,d</t>
  </si>
  <si>
    <t>p.111.81.c,d</t>
  </si>
  <si>
    <t>p.117.63.c</t>
  </si>
  <si>
    <t>p.117.64.c</t>
  </si>
  <si>
    <t>p.117.65.c</t>
  </si>
  <si>
    <t>p.117.66.c</t>
  </si>
  <si>
    <t>p.112.3.c,d</t>
  </si>
  <si>
    <t>p.112.13.c,d (portion)</t>
  </si>
  <si>
    <t>p112.6.c,d (portion)</t>
  </si>
  <si>
    <t>p.112.7.c,d (portion)</t>
  </si>
  <si>
    <t>p.112.9.c,d (portion)</t>
  </si>
  <si>
    <t>p.118.29.c</t>
  </si>
  <si>
    <t>p.112.16.c,d</t>
  </si>
  <si>
    <t>p.112.12.c,d</t>
  </si>
  <si>
    <t>p.112.15.c,d</t>
  </si>
  <si>
    <t>p.112.10.c,d (portion)</t>
  </si>
  <si>
    <t>Acct 208-211 Other Paid in Capital (Pfd)</t>
  </si>
  <si>
    <t>p.112.2.c,d</t>
  </si>
  <si>
    <t>p.112.11.c,d</t>
  </si>
  <si>
    <t>p.112.6.c,d (portion)</t>
  </si>
  <si>
    <t>Other Service                  (j)</t>
  </si>
  <si>
    <t>Monthly Peak MW - Total</t>
  </si>
  <si>
    <t>Day of Monthly Peak</t>
  </si>
  <si>
    <t>Hour of Monthly Peak</t>
  </si>
  <si>
    <t>Firm Network Service for Others</t>
  </si>
  <si>
    <t>Long-Term Firm Point-to-point Reservations</t>
  </si>
  <si>
    <t>Short-Term Firm Point-to-Point Reservation</t>
  </si>
  <si>
    <t>Total for Quarter</t>
  </si>
  <si>
    <t>Total for Year</t>
  </si>
  <si>
    <t xml:space="preserve">NAME OF SYSTEM:  Southern Intertie </t>
  </si>
  <si>
    <t>NAME OF SYSTEM:  WA Area Facilities</t>
  </si>
  <si>
    <t>Rev Req based on Year 2 data with estimated Cap Adds and CWIP for Year 3 (Step 9)</t>
  </si>
  <si>
    <t>Revenue Requirement for Year 3</t>
  </si>
  <si>
    <t>Non-Incentive</t>
  </si>
  <si>
    <t>Project 1</t>
  </si>
  <si>
    <t>Project 2</t>
  </si>
  <si>
    <t>Project 3</t>
  </si>
  <si>
    <t>Cumulative</t>
  </si>
  <si>
    <t>Column (A)</t>
  </si>
  <si>
    <t>Column (B)</t>
  </si>
  <si>
    <t>Column (C)</t>
  </si>
  <si>
    <t>Column (D)</t>
  </si>
  <si>
    <t>Column (E)</t>
  </si>
  <si>
    <t>Column (F)</t>
  </si>
  <si>
    <t>Average</t>
  </si>
  <si>
    <t>Sum average from Columns H-M</t>
  </si>
  <si>
    <t xml:space="preserve">New Transmission Plant Additions </t>
  </si>
  <si>
    <t>Note 1: If the costs associated with the Directly Assigned Transmission Facility Charges are included in the Rates, the associated revenues are included in the Rates.  If the costs associated with the Directly Assigned Transmission Facility Charges are not included in the Rates, the associated revenues are not included in the Rates.</t>
  </si>
  <si>
    <t xml:space="preserve">Note 2: If the facilities associated with the revenues are not included in the formula, the revenue is shown here but not included in the total above and is explained in the Cost Support; for example revenues associated with LV distribution facilities.   </t>
  </si>
  <si>
    <t>Liability Reserve - Electric</t>
  </si>
  <si>
    <t>SERP Pension &amp; Benefit Plan Liability</t>
  </si>
  <si>
    <t>Postretirement Benefit Plan Liability</t>
  </si>
  <si>
    <t>Residential Exchange</t>
  </si>
  <si>
    <t>Gas</t>
  </si>
  <si>
    <t>Pension and other compensation</t>
  </si>
  <si>
    <t>Derivative Instruments</t>
  </si>
  <si>
    <t>Production Tax Credits</t>
  </si>
  <si>
    <t>Regulatory Assets</t>
  </si>
  <si>
    <t xml:space="preserve">Land Held for Future Use </t>
  </si>
  <si>
    <t>Total Transmission and Distribution</t>
  </si>
  <si>
    <t>Total Allocated to Transmission</t>
  </si>
  <si>
    <t>Losses on sales of land</t>
  </si>
  <si>
    <t>Multiplier</t>
  </si>
  <si>
    <t>Formula rate and OATT compliance matters</t>
  </si>
  <si>
    <t xml:space="preserve">Puget Sound Energy, Inc. </t>
  </si>
  <si>
    <t xml:space="preserve">NAME OF SYSTEM:  Colstrip </t>
  </si>
  <si>
    <t>Sum of Total for Year of: (f) Firm Network Service for Others + (g) Long-Term Firm Point-to-Point Reservations + (h) Other Long-Term Firm Service</t>
  </si>
  <si>
    <t>Worksheet 4</t>
  </si>
  <si>
    <t xml:space="preserve">Total </t>
  </si>
  <si>
    <t>Colstrip Property Tax</t>
  </si>
  <si>
    <t>Southern Intertie Property Tax</t>
  </si>
  <si>
    <t>WA Area Total</t>
  </si>
  <si>
    <t>(Note J)</t>
  </si>
  <si>
    <t>Gains on sales of land</t>
  </si>
  <si>
    <t>Cash Working Capital Allowance</t>
  </si>
  <si>
    <t>Cash working capital allowance is 0.00% of O&amp;M</t>
  </si>
  <si>
    <t>Gas related</t>
  </si>
  <si>
    <t>Employee benefit</t>
  </si>
  <si>
    <t xml:space="preserve">(Note A)             </t>
  </si>
  <si>
    <t>Facility Credits</t>
  </si>
  <si>
    <t xml:space="preserve">Plant </t>
  </si>
  <si>
    <t>Related</t>
  </si>
  <si>
    <t>Labor</t>
  </si>
  <si>
    <t>Gas, Prod</t>
  </si>
  <si>
    <t>Or Other</t>
  </si>
  <si>
    <t>Only</t>
  </si>
  <si>
    <t>Instructions for Account 190:</t>
  </si>
  <si>
    <t>Instructions for Account 283:</t>
  </si>
  <si>
    <t>Instructions for Account 282:</t>
  </si>
  <si>
    <t>Subtotal - p234</t>
  </si>
  <si>
    <t>ADIT</t>
  </si>
  <si>
    <t>Plant Related</t>
  </si>
  <si>
    <t>Page 263</t>
  </si>
  <si>
    <t>Col (i)</t>
  </si>
  <si>
    <t>Labor Related</t>
  </si>
  <si>
    <t>Other Included</t>
  </si>
  <si>
    <t>Total Plant Related</t>
  </si>
  <si>
    <t>Total Labor Related</t>
  </si>
  <si>
    <t>Total Other Included</t>
  </si>
  <si>
    <t>Currently Excluded</t>
  </si>
  <si>
    <t>Allocated</t>
  </si>
  <si>
    <t>Amount</t>
  </si>
  <si>
    <t>ADIT net of FASB 106 and 109</t>
  </si>
  <si>
    <t>Net Transmission Plant</t>
  </si>
  <si>
    <t>Details</t>
  </si>
  <si>
    <t>Network Credits</t>
  </si>
  <si>
    <t>Line No.</t>
  </si>
  <si>
    <t>Facility Name</t>
  </si>
  <si>
    <t>Generation Interconnection Facilities - Colstrip - Transmission</t>
  </si>
  <si>
    <t>Outstanding Network Credits</t>
  </si>
  <si>
    <t>p219.20 thru 219.24</t>
  </si>
  <si>
    <t>p205.46.g</t>
  </si>
  <si>
    <t>Seattle City Light</t>
  </si>
  <si>
    <t>Snohomish County PUD</t>
  </si>
  <si>
    <t>Tacoma City Light</t>
  </si>
  <si>
    <t>Air Liquide</t>
  </si>
  <si>
    <t>Boeing</t>
  </si>
  <si>
    <t>Net Outstanding Credits</t>
  </si>
  <si>
    <t>Interest on Network Credits</t>
  </si>
  <si>
    <t>Revenue Credits &amp; Interest on Network Credits</t>
  </si>
  <si>
    <t>Prior Year True Up</t>
  </si>
  <si>
    <t>Total Account 454 (p300,19.b.)</t>
  </si>
  <si>
    <t>Total Account 456 (p300,21.b.)</t>
  </si>
  <si>
    <t>CUSTOMER</t>
  </si>
  <si>
    <t>AD</t>
  </si>
  <si>
    <t>Account 456.1 (p300,22.b.)</t>
  </si>
  <si>
    <t>FERC Form 1  Page # or Instruction</t>
  </si>
  <si>
    <t>Electric Portion</t>
  </si>
  <si>
    <t>Form 1 Amount</t>
  </si>
  <si>
    <t>Non-electric  Portion</t>
  </si>
  <si>
    <t>Transmission Related</t>
  </si>
  <si>
    <t>Safety Related</t>
  </si>
  <si>
    <t>Education &amp; Outreach</t>
  </si>
  <si>
    <t>Other</t>
  </si>
  <si>
    <t>Enter $</t>
  </si>
  <si>
    <t>Description of the Facilities</t>
  </si>
  <si>
    <t>Add more lines if necessary</t>
  </si>
  <si>
    <t>General Description of the Credits</t>
  </si>
  <si>
    <t>Description of the Credits</t>
  </si>
  <si>
    <t>F</t>
  </si>
  <si>
    <t>N</t>
  </si>
  <si>
    <t>Rent from Electric Property - Pole Contacts</t>
  </si>
  <si>
    <t>Rent from PCS (personal cell sites)</t>
  </si>
  <si>
    <t>(Sum Lines 1-3)</t>
  </si>
  <si>
    <t>In filling out this attachment, a full and complete description of each item and justification for the allocation to Columns B-E and each separate ADIT item will be listed, dissimilar items</t>
  </si>
  <si>
    <t>Excludes prior period adjustments in the first year of the formula's operation and reconciliation for the first year</t>
  </si>
  <si>
    <t>Plant in Service Worksheet</t>
  </si>
  <si>
    <t>Source</t>
  </si>
  <si>
    <t>December</t>
  </si>
  <si>
    <t>Distribution Plant In Service</t>
  </si>
  <si>
    <t>Calculation of Intangible Plant In Service</t>
  </si>
  <si>
    <t>Related to</t>
  </si>
  <si>
    <t>GL</t>
  </si>
  <si>
    <t>Texts</t>
  </si>
  <si>
    <t>Not Include</t>
  </si>
  <si>
    <t>100% Trans</t>
  </si>
  <si>
    <t>Plant</t>
  </si>
  <si>
    <t xml:space="preserve">  Easements</t>
  </si>
  <si>
    <t xml:space="preserve">  Structures and Improvements</t>
  </si>
  <si>
    <t xml:space="preserve">  Station Equipment</t>
  </si>
  <si>
    <t xml:space="preserve">  Towers and Fixtures</t>
  </si>
  <si>
    <t xml:space="preserve">  Overhead Conductors and Devices</t>
  </si>
  <si>
    <t xml:space="preserve">  Underground Conductors and Devices</t>
  </si>
  <si>
    <t xml:space="preserve">  Roads and Trails</t>
  </si>
  <si>
    <t>Transportation Equipment</t>
  </si>
  <si>
    <t>Stores and Equipment</t>
  </si>
  <si>
    <t>Power Operated Equipment</t>
  </si>
  <si>
    <t>data</t>
  </si>
  <si>
    <t>WA area credits</t>
  </si>
  <si>
    <t>Colstrip area credits</t>
  </si>
  <si>
    <t>Southern Intertie area credits</t>
  </si>
  <si>
    <t xml:space="preserve">  Poles and Fixtures</t>
  </si>
  <si>
    <t>ASCM Allocation</t>
  </si>
  <si>
    <t>Common Plant Allocated to Transmission</t>
  </si>
  <si>
    <t>Common Plant Depreciation Allocated to Transmission</t>
  </si>
  <si>
    <t>Prepaid - Mint Farm Capital FFH</t>
  </si>
  <si>
    <t>Plant Related:</t>
  </si>
  <si>
    <t>Labor Related:</t>
  </si>
  <si>
    <t>Total Transmission Related:</t>
  </si>
  <si>
    <t>Average balance</t>
  </si>
  <si>
    <t>Excluded:</t>
  </si>
  <si>
    <t>Total Excluded</t>
  </si>
  <si>
    <t>Transmission related</t>
  </si>
  <si>
    <t>Monthly Additions</t>
  </si>
  <si>
    <t>Intangible Plant In Service</t>
  </si>
  <si>
    <t>Calculation of General Plant In Service</t>
  </si>
  <si>
    <t>General Plant In Service</t>
  </si>
  <si>
    <t>Calculation of Production Plant In Service</t>
  </si>
  <si>
    <t>Production Plant In Service</t>
  </si>
  <si>
    <t>Accumulated Depreciation Worksheet</t>
  </si>
  <si>
    <t>Distribution Accumulated Depreciation</t>
  </si>
  <si>
    <t>Calculation of Intangible Accumulated Depreciation</t>
  </si>
  <si>
    <t>Calculation of General Accumulated Depreciation</t>
  </si>
  <si>
    <t>Calculation of Production Accumulated Depreciation</t>
  </si>
  <si>
    <t>Production Accumulated Depreciation</t>
  </si>
  <si>
    <t>p200.21.c</t>
  </si>
  <si>
    <t>p227.6c &amp; 15.c</t>
  </si>
  <si>
    <t>p336.1d&amp;e</t>
  </si>
  <si>
    <t>Beg of year</t>
  </si>
  <si>
    <t>End of Year</t>
  </si>
  <si>
    <t>End of Year for Est. Average for Final</t>
  </si>
  <si>
    <t>PBOPs Cost Support</t>
  </si>
  <si>
    <t>PBOBs</t>
  </si>
  <si>
    <t>All other</t>
  </si>
  <si>
    <t>Account 926 (Current Year)</t>
  </si>
  <si>
    <t>Current Year</t>
  </si>
  <si>
    <t>Change in PBOP Expense</t>
  </si>
  <si>
    <t>General Description of the Facilities</t>
  </si>
  <si>
    <t>Materials &amp; Supplies</t>
  </si>
  <si>
    <t>Description of the Interest on the  Credits</t>
  </si>
  <si>
    <t>Credits</t>
  </si>
  <si>
    <t>Transmission of Electricity By Others; Account 565</t>
  </si>
  <si>
    <t xml:space="preserve">  Total</t>
  </si>
  <si>
    <t>FERC Form 1 p321.96b</t>
  </si>
  <si>
    <t>BPA O&amp;M</t>
  </si>
  <si>
    <t>Total 565 to Reduce O&amp;M</t>
  </si>
  <si>
    <t>Whatcom PUD Line Loss</t>
  </si>
  <si>
    <t>BPA Lease Rights</t>
  </si>
  <si>
    <t>Northwestern O&amp;M</t>
  </si>
  <si>
    <t>Common Plant</t>
  </si>
  <si>
    <t>Accumulated Common Plant</t>
  </si>
  <si>
    <t>Excluded Transmission Facilities - Colstrip Facilities</t>
  </si>
  <si>
    <t>Excluded Transmission Facilities - WA Area Transmission</t>
  </si>
  <si>
    <t>Deferred Compensation - Salary Deferred</t>
  </si>
  <si>
    <t>Other Deferred Credits - LTIP Liability</t>
  </si>
  <si>
    <t>Firm Network Service for Self</t>
  </si>
  <si>
    <t>(F)</t>
  </si>
  <si>
    <t>(A)</t>
  </si>
  <si>
    <t>(B)</t>
  </si>
  <si>
    <t>(D)</t>
  </si>
  <si>
    <t>(E)</t>
  </si>
  <si>
    <t>Income Tax Component = CIT=(T/1-T) * Investment Return * (1-(WCLTD/R)) =</t>
  </si>
  <si>
    <t>(B) Sum Labor Related</t>
  </si>
  <si>
    <t>(A) Total</t>
  </si>
  <si>
    <t>(A) - (B)</t>
  </si>
  <si>
    <t>100% Transmission Related</t>
  </si>
  <si>
    <t>Other (Excluded)</t>
  </si>
  <si>
    <t>Average Beginning and End of Year</t>
  </si>
  <si>
    <t xml:space="preserve"> Accumulated Depreciation Associated with Facilities with Outstanding Network Credits</t>
  </si>
  <si>
    <t>p   (percent of federal income tax deductible for state purposes)</t>
  </si>
  <si>
    <t>T   =1 - {[(1 - SIT) * (1 - FIT)] / (1 - SIT * FIT * p)} =</t>
  </si>
  <si>
    <t>1/(1-T)</t>
  </si>
  <si>
    <t>Accumulated Intangible Depreciation</t>
  </si>
  <si>
    <t>A&amp;G</t>
  </si>
  <si>
    <t>Trans Related</t>
  </si>
  <si>
    <t>Total Transmission Accumulated Depreciation</t>
  </si>
  <si>
    <t>Total Transmission Depreciation Expense</t>
  </si>
  <si>
    <t>O</t>
  </si>
  <si>
    <t>Land Held for Future Use</t>
  </si>
  <si>
    <t>FNO</t>
  </si>
  <si>
    <t>LFP</t>
  </si>
  <si>
    <t>OLF</t>
  </si>
  <si>
    <t>NF</t>
  </si>
  <si>
    <t>OS</t>
  </si>
  <si>
    <t>SFP</t>
  </si>
  <si>
    <t>Powerex</t>
  </si>
  <si>
    <t>Rent from Electric Property - Pole Contacts - J</t>
  </si>
  <si>
    <t>Rent from Electric Property - Transformers</t>
  </si>
  <si>
    <t>Difference (must be zero)</t>
  </si>
  <si>
    <t>Total Revenues</t>
  </si>
  <si>
    <t>Other Charges</t>
  </si>
  <si>
    <t>Energy Charges</t>
  </si>
  <si>
    <t>$ Included on Attachment 3</t>
  </si>
  <si>
    <t>Classification</t>
  </si>
  <si>
    <t>Less Account 561.0 to 561.5</t>
  </si>
  <si>
    <t>Sch 1</t>
  </si>
  <si>
    <t xml:space="preserve">  Transmission future use</t>
  </si>
  <si>
    <t>AFUDC shall not be applied to the portion of a Network Upgrade for which the customer has provided the funds.</t>
  </si>
  <si>
    <t>Changes in depreciation or amortization rates must be filed with the Commission, as well as any new depreciation or amortization rates.</t>
  </si>
  <si>
    <t>P</t>
  </si>
  <si>
    <t>Acc 221 Bonds</t>
  </si>
  <si>
    <t>Less Acc 222 Reacq'd Bonds</t>
  </si>
  <si>
    <t>Acc 223 LT Advances from Assoc Cos.</t>
  </si>
  <si>
    <t>Acc 224 Other LT Debt</t>
  </si>
  <si>
    <t>Less Acc 226 Unamort Discount</t>
  </si>
  <si>
    <t>Less Acc 181 Unamort Debt Expense</t>
  </si>
  <si>
    <t>Less Acc 189 Unamort Loss on Reacqd Debt</t>
  </si>
  <si>
    <t>Plus Acc 225 Unamort Premium</t>
  </si>
  <si>
    <t>Plus Acc 257 Unamort Gain on Reacqd Debt</t>
  </si>
  <si>
    <t>Acc 427 and Acc 430 Interest Expense</t>
  </si>
  <si>
    <t>Acc 428 Amort Debt Discount and Expense</t>
  </si>
  <si>
    <t>Acc 428.1 Amort Loss on Reacqd Debt</t>
  </si>
  <si>
    <t>Less Acc 429 Amort Premium</t>
  </si>
  <si>
    <t>Less Acc 429.1 Amort Gain on Reacqd Debt</t>
  </si>
  <si>
    <t>Acc 204 Preferred Stock Issued</t>
  </si>
  <si>
    <t>Less Acc 217 Reacq Capital Stock (Pfd)</t>
  </si>
  <si>
    <t>Acc 207 Premium on Pfd Stock</t>
  </si>
  <si>
    <t>Acc 207-208 Other Paid In Capital (Pfd)</t>
  </si>
  <si>
    <t>Less Acc 213 discount on Capital Stock (Pfd)</t>
  </si>
  <si>
    <t>Less Acc 214 Capital Stock Expense (Pfd)</t>
  </si>
  <si>
    <t xml:space="preserve">Total Preferred Stock </t>
  </si>
  <si>
    <t>Enter Positive</t>
  </si>
  <si>
    <t>Less: Preferred Stock</t>
  </si>
  <si>
    <t>Less Acc 216.1 Unap Undis Subsidiary Earnings</t>
  </si>
  <si>
    <t>Less:  Account 219 (enter negative)</t>
  </si>
  <si>
    <t>Debt percent</t>
  </si>
  <si>
    <t>Preferred percent</t>
  </si>
  <si>
    <t>Common percent</t>
  </si>
  <si>
    <t>Long Term Debt Cost = 
Long Term Debt Cost / 
Net Proceeds Long Term Debt</t>
  </si>
  <si>
    <t>Preferred Stock cost  =  Preferred Dividends / 
Total Preferred Stock</t>
  </si>
  <si>
    <t>Less Hedging Adjustment</t>
  </si>
  <si>
    <t>Q</t>
  </si>
  <si>
    <t>These line items will include only the balances associated with long-term debt and shall exclude balances associated with short-term debt.</t>
  </si>
  <si>
    <t>R</t>
  </si>
  <si>
    <t xml:space="preserve">The gains and losses on hedges, except for interest rate locks for new debt issuances, are removed from the revenue requirement on this line. </t>
  </si>
  <si>
    <t>(Note R)</t>
  </si>
  <si>
    <t>(Notes R &amp; Q)</t>
  </si>
  <si>
    <t>Wksht 6</t>
  </si>
  <si>
    <t xml:space="preserve"> Long Term Debt</t>
  </si>
  <si>
    <t>Preferred Stock and Dividend</t>
  </si>
  <si>
    <t>Beginning of Year</t>
  </si>
  <si>
    <t>Avg BOY EOY</t>
  </si>
  <si>
    <t>BOY</t>
  </si>
  <si>
    <t>EOY</t>
  </si>
  <si>
    <t>avg BOY EOY</t>
  </si>
  <si>
    <t>Attachment 4 - Calculation of 100 Basis Point Increase in ROE</t>
  </si>
  <si>
    <t>Attachment 5 - Cost Support</t>
  </si>
  <si>
    <t>Attachment 6 - Estimate and Reconciliation Worksheet</t>
  </si>
  <si>
    <t>Base year</t>
  </si>
  <si>
    <t>(G)</t>
  </si>
  <si>
    <t>(C)</t>
  </si>
  <si>
    <t>Total General</t>
  </si>
  <si>
    <t>General Allocated to Transmission</t>
  </si>
  <si>
    <t>Allocated General Expenses</t>
  </si>
  <si>
    <t>General Expenses</t>
  </si>
  <si>
    <t>General Plant Allocated to Transmission</t>
  </si>
  <si>
    <t>General Expenses Allocated to Transmission</t>
  </si>
  <si>
    <t>Labor Related, or General plant related</t>
  </si>
  <si>
    <t>Account 253</t>
  </si>
  <si>
    <t>Attachment 7</t>
  </si>
  <si>
    <t>Rev Req based on Year 1 data</t>
  </si>
  <si>
    <t>Year 1</t>
  </si>
  <si>
    <t>Increased Return and Taxes</t>
  </si>
  <si>
    <t>True-up amount</t>
  </si>
  <si>
    <t>Scheduling, System Control and Dispatch Service</t>
  </si>
  <si>
    <t>Schedule 1</t>
  </si>
  <si>
    <t>Line</t>
  </si>
  <si>
    <t>FERC Form 1 page #/ Ref.</t>
  </si>
  <si>
    <t>(561.0) Load Dispatching</t>
  </si>
  <si>
    <t>pg. 321.84b</t>
  </si>
  <si>
    <t>(561.1) Load Dispatch-Reliability</t>
  </si>
  <si>
    <t>pg. 321.85b</t>
  </si>
  <si>
    <t>(561.2) Load Dispatch-Monitor and Operate Transmission System</t>
  </si>
  <si>
    <t>pg. 321.86b</t>
  </si>
  <si>
    <t>(561.3) Load Dispatch-Transmission Service and Scheduling</t>
  </si>
  <si>
    <t>pg. 321.87b</t>
  </si>
  <si>
    <t>(561.4) Scheduling, System Control and Dispatch Services</t>
  </si>
  <si>
    <t>pg. 321.88b</t>
  </si>
  <si>
    <t>(561.5) Reliability, Planning and Standards Development</t>
  </si>
  <si>
    <t>pg. 321.89b</t>
  </si>
  <si>
    <t>Total 561 Costs for Schedule 1 Annual Revenue Requirement</t>
  </si>
  <si>
    <t>(sum of Ln 1 through Ln 6)</t>
  </si>
  <si>
    <t>Schedule 1 Annual Revenue Requirement</t>
  </si>
  <si>
    <t>(Ln 7)</t>
  </si>
  <si>
    <t>Attachment 6 of OATT Attachment H-1</t>
  </si>
  <si>
    <t>(ln 8 + Ln 9)</t>
  </si>
  <si>
    <t>Schedule 1 - Rate Calculations:</t>
  </si>
  <si>
    <t>Average 12-Month Demand - Current Year (kW)</t>
  </si>
  <si>
    <t>Divisor</t>
  </si>
  <si>
    <t>Rate in $/kW - Yearly</t>
  </si>
  <si>
    <t>Rate in $/kW - Monthly</t>
  </si>
  <si>
    <t>Rate in $/kW - Weekly</t>
  </si>
  <si>
    <t>Rate in $/kW - Daily On-Peak</t>
  </si>
  <si>
    <t>Rate in $/kW - Daily Off-Peak</t>
  </si>
  <si>
    <t>(Ln 12/7)</t>
  </si>
  <si>
    <t>Rate in $/MW - Hourly On-Peak</t>
  </si>
  <si>
    <t>((Ln 13/16) * 1000)</t>
  </si>
  <si>
    <t>Rate in $/MW - Hourly Off-Peak</t>
  </si>
  <si>
    <t>((Ln 14/24) * 1000)</t>
  </si>
  <si>
    <t>Notes:</t>
  </si>
  <si>
    <t xml:space="preserve">Prior year True-up Adjustment is calculated on Attachment 6 as well as the related interest on prior year true-up. </t>
  </si>
  <si>
    <t>Puget Sound Energy</t>
  </si>
  <si>
    <t>Account 456 - Other Electric Revenues (Note 1)</t>
  </si>
  <si>
    <t>Wash St Annual Filing Fee-Electric</t>
  </si>
  <si>
    <t>Gross Book Value</t>
  </si>
  <si>
    <t>Undistr. Stores Exp, Account 163</t>
  </si>
  <si>
    <t>Transmission Plant materials from Account 154</t>
  </si>
  <si>
    <t xml:space="preserve">13 month </t>
  </si>
  <si>
    <t>system</t>
  </si>
  <si>
    <t>labor</t>
  </si>
  <si>
    <t>13 month average</t>
  </si>
  <si>
    <t>Monthly rate</t>
  </si>
  <si>
    <t>Attachment 6A - Estimate and Reconciliation Worksheet - Colstrip</t>
  </si>
  <si>
    <t>Note 1</t>
  </si>
  <si>
    <t>PSANI Project (Note 1)</t>
  </si>
  <si>
    <t xml:space="preserve">Schedule 1 Reconciliation </t>
  </si>
  <si>
    <t>-</t>
  </si>
  <si>
    <t>=</t>
  </si>
  <si>
    <t>FCR W base ROE</t>
  </si>
  <si>
    <t xml:space="preserve">FERC/NERC Expenses directly related to transmission service, RTO filings, OATT compliance, costs in maintaining the formula, transmission siting, FERC annual fee, and any other transmission related expenses itemized in Form 1 at 351.h. </t>
  </si>
  <si>
    <t>Wage Alloc</t>
  </si>
  <si>
    <t>E35016 TSM Easements</t>
  </si>
  <si>
    <t>E3526 TSM Structures &amp; Improvement</t>
  </si>
  <si>
    <t>E3566 TSM O/H Conductor/Devices</t>
  </si>
  <si>
    <t>Depreciation (Note 2)</t>
  </si>
  <si>
    <t>FERC Fees Payable - Power Supply Transaction</t>
  </si>
  <si>
    <t>Stays in rate base</t>
  </si>
  <si>
    <t>Average of the 12 CP</t>
  </si>
  <si>
    <t>p219.28</t>
  </si>
  <si>
    <t>WA Area Transmission</t>
  </si>
  <si>
    <t>Worksheet 5</t>
  </si>
  <si>
    <t>Colstrip</t>
  </si>
  <si>
    <t>Southern Intertie</t>
  </si>
  <si>
    <t xml:space="preserve">Includes all annual membership dues for EPRI and EEI. </t>
  </si>
  <si>
    <t>Property Insurance excludes prior period adjustment in the first year of the formula's operation and reconciliation for the first year.</t>
  </si>
  <si>
    <t xml:space="preserve">Includes all Regulatory Commission Expenses </t>
  </si>
  <si>
    <t xml:space="preserve">Education and outreach expenses relating to transmission, for example siting or billing </t>
  </si>
  <si>
    <t>Gross Revenue Requirement Less Return and Taxes</t>
  </si>
  <si>
    <t>Revenue Requirement per 100 Basis Point increase in ROE</t>
  </si>
  <si>
    <t>Gas Amortization</t>
  </si>
  <si>
    <t>Electric Amortization</t>
  </si>
  <si>
    <t xml:space="preserve">Puget Sound Energy </t>
  </si>
  <si>
    <t>Attachment 8 - Depreciation Rates</t>
  </si>
  <si>
    <t>Plant Type</t>
  </si>
  <si>
    <t>General &amp; Common</t>
  </si>
  <si>
    <t>Structures and Improvements</t>
  </si>
  <si>
    <t>Office Furniture</t>
  </si>
  <si>
    <t>Office Equipment</t>
  </si>
  <si>
    <t>Tools, Shop, Garage and Other Tangible Equipment</t>
  </si>
  <si>
    <t>Laboratory Equipment</t>
  </si>
  <si>
    <t>Communications Equipment</t>
  </si>
  <si>
    <t>Miscellaneous Equipment</t>
  </si>
  <si>
    <t>PSE</t>
  </si>
  <si>
    <t>Projected ARR is based on prior year FERC Form 1 data (lines 1-6 for the prior year) becomes effective with the projected 2012 rate.</t>
  </si>
  <si>
    <t>Post results of Step 9 on OASIS web site</t>
  </si>
  <si>
    <t>Plant related</t>
  </si>
  <si>
    <t>FAS 109 is excluded per note below</t>
  </si>
  <si>
    <t xml:space="preserve">    Less Post Retirement Benefits Other Than Pensions (PBOP) Adjustment</t>
  </si>
  <si>
    <t>Allocator for Pole Contact Rental Revenues:</t>
  </si>
  <si>
    <t>(Ln 8/Ln 11)</t>
  </si>
  <si>
    <t>((Ln 8/Ln 11)/12)</t>
  </si>
  <si>
    <t>((Ln 8/Ln 11)/52)</t>
  </si>
  <si>
    <t>Common Plant Electric Depreciation</t>
  </si>
  <si>
    <t>p336.11f</t>
  </si>
  <si>
    <t xml:space="preserve">  Less Acct 213 discount on Capital Stock (Common)</t>
  </si>
  <si>
    <t>Beginning = 13 month Plant CWIP or Plant balance</t>
  </si>
  <si>
    <t xml:space="preserve">    Less Fish Friendly hydropower turbine development and deployment</t>
  </si>
  <si>
    <t>Hydro power expense</t>
  </si>
  <si>
    <t>Total Transmission</t>
  </si>
  <si>
    <t>January</t>
  </si>
  <si>
    <t>February</t>
  </si>
  <si>
    <t>March</t>
  </si>
  <si>
    <t>July</t>
  </si>
  <si>
    <t>August</t>
  </si>
  <si>
    <t>September</t>
  </si>
  <si>
    <t>October</t>
  </si>
  <si>
    <t>November</t>
  </si>
  <si>
    <t>Amortized Investment Tax Credit-Electric</t>
  </si>
  <si>
    <t>Attachment 7 - Transmission Enhancement Charge Worksheet</t>
  </si>
  <si>
    <t>line #</t>
  </si>
  <si>
    <t>E3500 TSM Land &amp; Land Rights</t>
  </si>
  <si>
    <t>E35017 TSM Easements</t>
  </si>
  <si>
    <t>E3507 TSM Land &amp; Land Rights</t>
  </si>
  <si>
    <t>E352 TSM Str/Impv, 3rd AC Line</t>
  </si>
  <si>
    <t>E352 TSM Str/Impv, Colstrip 3-4 Com</t>
  </si>
  <si>
    <t>E352 TSM Structures &amp; Improvement</t>
  </si>
  <si>
    <t>E3527 TSM Structures &amp; Improvement</t>
  </si>
  <si>
    <t>E353 TSM Sta Eq, 3rd AC Line</t>
  </si>
  <si>
    <t>E353 TSM Sta Eq, Wind Ridge-NonProj</t>
  </si>
  <si>
    <t>E353 TSM Station Equipment</t>
  </si>
  <si>
    <t>E3537 TSM Sta Eq, Fredonia3&amp;4 OP</t>
  </si>
  <si>
    <t>E3537 TSM Substation Equipment</t>
  </si>
  <si>
    <t>E354 TSM Towers &amp; Fixtures</t>
  </si>
  <si>
    <t>E354 TSM Twr/Fixt, 3rd AC Line</t>
  </si>
  <si>
    <t>E354 TSM Twr/Fixt, Colstrip 1-2 Com</t>
  </si>
  <si>
    <t>E354 TSM Twr/Fixt, Colstrip 3-4 Com</t>
  </si>
  <si>
    <t>E354 TSM Twr/Fixt, N Intertie</t>
  </si>
  <si>
    <t>E3547 TSM Towers/Fixtures</t>
  </si>
  <si>
    <t>E355 TSM Poles &amp; Fixtures</t>
  </si>
  <si>
    <t>E355 TSM Poles, 3rd AC Line</t>
  </si>
  <si>
    <t>E355 TSM Poles, N Intertie</t>
  </si>
  <si>
    <t>E355 TSM Poles, Wind Ridge-NonProje</t>
  </si>
  <si>
    <t>E356 TSM O/H Cond, 3rd AC Line</t>
  </si>
  <si>
    <t>E356 TSM O/H Cond, Colstrip 1-2 Com</t>
  </si>
  <si>
    <t>E356 TSM O/H Cond, Colstrip 3-4 Com</t>
  </si>
  <si>
    <t>E356 TSM O/H Cond, N Intertie</t>
  </si>
  <si>
    <t>E356 TSM O/H Cond, Wind Ridge-NonPr</t>
  </si>
  <si>
    <t>E356 TSM O/H Conductor &amp; Devices</t>
  </si>
  <si>
    <t>E3567 TSM O/H Conductor/Devices</t>
  </si>
  <si>
    <t>Exclude Construction Work In Progress expensed as O&amp;M (rather than amortized).  New Transmission plant that is expected to be placed in service in the current calendar year weighted by number of months it is expected to be in-service.  New Transmission plant expected to be placed in service in the current calendar year that is not included in the Transmission Plan must be separately detailed on Attachment 5.  For the Reconciliation, new transmission plant that was actually placed in service weighted by the number of months it was actually in service</t>
  </si>
  <si>
    <t>The currently effective income tax rate,  where FIT is the Federal income tax rate; SIT is the State income tax rate, and p ="the percentage of federal income tax deductible for state income taxes".  If the utility includes taxes in more than one state, it must explain in  Attachment 5 the name of each state and how the blended or composite SIT was developed.  Furthermore, a utility that  elected to use amortization of tax credits against taxable income, rather than book tax credits to Account No. 255 and reduce   rate base, must reduce its income tax expense by the amount of the Amortized Investment Tax Credit (Form 1, 266.8.f) multiplied by (1/1-T).  A utility must not include tax credits as a reduction to rate base and as an amortization against taxable income.   If the tax rates change during a calendar year, an average tax rate will be used - calculated based on the number of days each was effective in the calendar year.</t>
  </si>
  <si>
    <t>The 12 CP monthly peak is the average of the 12 monthly system peaks calculated as the Network customers monthly network load plus the reserve capacity of all long term firm point-to-Point customers.</t>
  </si>
  <si>
    <t>H</t>
  </si>
  <si>
    <t>(Note H)</t>
  </si>
  <si>
    <t>69, 75, 78</t>
  </si>
  <si>
    <t>Qualified Pension Plan Liability</t>
  </si>
  <si>
    <t/>
  </si>
  <si>
    <t>Macquarie Energy, LLC</t>
  </si>
  <si>
    <t>Shell Energy North America</t>
  </si>
  <si>
    <t>The Energy Authority</t>
  </si>
  <si>
    <t>TransAlta Energy</t>
  </si>
  <si>
    <t>Whatcom County PUD</t>
  </si>
  <si>
    <t>E3577 TSM U/G Conduit</t>
  </si>
  <si>
    <t>E3587 TSM U/G Conductor/Devices</t>
  </si>
  <si>
    <t>E3590 TSM Roads &amp; Trails</t>
  </si>
  <si>
    <t>E3590 TSM Roads, 3rd AC Line</t>
  </si>
  <si>
    <t>E3590 TSM Roads, Colstrip 1-2 Com</t>
  </si>
  <si>
    <t>E3590 TSM Roads, Colstrip 3-4 Com</t>
  </si>
  <si>
    <t>E3597 TSM Roads &amp; Trails</t>
  </si>
  <si>
    <t>in Thousands</t>
  </si>
  <si>
    <t>Formula Line</t>
  </si>
  <si>
    <t>Fixed Charge Rate (FCR) if not a CIAC</t>
  </si>
  <si>
    <t xml:space="preserve">Line B less Line A </t>
  </si>
  <si>
    <t>Note 3</t>
  </si>
  <si>
    <t>CWIP is a placeholder that is zero until PSE receives authorization by FERC to include amounts.</t>
  </si>
  <si>
    <t>Worksheet 2 - Prepayments</t>
  </si>
  <si>
    <t>Worksheet 1 - Revenue Credits</t>
  </si>
  <si>
    <t>Worksheet 3 - Generator Interconnection Facilities - Transmission Plant</t>
  </si>
  <si>
    <t>Worksheet 4 - Monthly Transmission System Peak Worksheet</t>
  </si>
  <si>
    <t>Worksheet 5 - Transmission Plant Average Balances</t>
  </si>
  <si>
    <t>Worksheet 6 - Cost of Capital</t>
  </si>
  <si>
    <t>FCR if a CIAC</t>
  </si>
  <si>
    <t>The FCR resulting from Formula in a given year is used for that year only.</t>
  </si>
  <si>
    <t>Therefore actual revenues collected in a year do not change based on cost data for subsequent years</t>
  </si>
  <si>
    <t>Common Plant not allocated to gas or electric</t>
  </si>
  <si>
    <t>p356</t>
  </si>
  <si>
    <t xml:space="preserve">  Common Plant in Service</t>
  </si>
  <si>
    <t xml:space="preserve">  Accumulated Depreciation common plant</t>
  </si>
  <si>
    <t>4 factor allocator</t>
  </si>
  <si>
    <t>Deprec = 13 month avg Accumulated Depreciation</t>
  </si>
  <si>
    <t>Project B</t>
  </si>
  <si>
    <t>Life</t>
  </si>
  <si>
    <t>CIAC</t>
  </si>
  <si>
    <t>Increased ROE (Basis Points)</t>
  </si>
  <si>
    <t>FCR W increased ROE</t>
  </si>
  <si>
    <t>Annual Depreciation Exp</t>
  </si>
  <si>
    <t>Invest Yr</t>
  </si>
  <si>
    <t>W Increased ROE</t>
  </si>
  <si>
    <t>….</t>
  </si>
  <si>
    <t>…..</t>
  </si>
  <si>
    <t>Washington</t>
  </si>
  <si>
    <t>(H)</t>
  </si>
  <si>
    <t>(I)</t>
  </si>
  <si>
    <t>Taxes Other than Income - Transmission</t>
  </si>
  <si>
    <t>1.  ADIT items related only to Non-Electric Operations (e.g., Gas, Water, Sewer) or Production are directly assigned to Column C</t>
  </si>
  <si>
    <t>2.  ADIT items related only to Transmission are directly assigned to Column D</t>
  </si>
  <si>
    <t xml:space="preserve">Short term firm and nonfirm transmission purchased by PSE merchant </t>
  </si>
  <si>
    <t>(Ln 12/6)</t>
  </si>
  <si>
    <t>Green Energy Option</t>
  </si>
  <si>
    <t>Other Electric Revenues - Sale of Non Core Gas</t>
  </si>
  <si>
    <t>Other Electric Revenues - Cost Non Core Gas Sold</t>
  </si>
  <si>
    <t>Lifetime O&amp;M Revenue - Elec</t>
  </si>
  <si>
    <t>5. Deferred income taxes arise when items are included in taxable income in different periods than they are included in rates, therefore if the item giving rise to the ADIT is not included in the formula, the associated ADIT amount shall be excluded</t>
  </si>
  <si>
    <t>Other taxes that are assessed based on labor will be allocated based on the Wages and Salary Allocator</t>
  </si>
  <si>
    <t>Allocator.  If the taxes are 100% recovered at retail they will not be included</t>
  </si>
  <si>
    <t>p205.5.g</t>
  </si>
  <si>
    <t>p207.96.g</t>
  </si>
  <si>
    <t>p323.191.b</t>
  </si>
  <si>
    <t>Tacoma Power</t>
  </si>
  <si>
    <t>Bellingham Cold Storage - Orchard</t>
  </si>
  <si>
    <t>Bellingham Cold Storage - Roeder</t>
  </si>
  <si>
    <t>Rent from Electric Property - Land and Buildings</t>
  </si>
  <si>
    <t>Rent from PCS</t>
  </si>
  <si>
    <t>Rent from Common Property - Land and Buildings</t>
  </si>
  <si>
    <t>p207.75.g</t>
  </si>
  <si>
    <t>Calculation of Distribution Plant In Service</t>
  </si>
  <si>
    <t>Calculation of Total Transmission Plant In Service</t>
  </si>
  <si>
    <t>Calculation of Total Transmission Accumulated Depreciation</t>
  </si>
  <si>
    <t>p219.26</t>
  </si>
  <si>
    <t>Calculation of Distribution Accumulated Depreciation</t>
  </si>
  <si>
    <t>Other Electric Revenues - Summit Buyout</t>
  </si>
  <si>
    <t>100 Basis Point increase in ROE and Income Taxes</t>
  </si>
  <si>
    <t>Year 2</t>
  </si>
  <si>
    <t>Year 3</t>
  </si>
  <si>
    <t xml:space="preserve">Composite Income Taxes                                                                                                       </t>
  </si>
  <si>
    <t>p354.21.b</t>
  </si>
  <si>
    <t>p354.28b</t>
  </si>
  <si>
    <t>p354.27b</t>
  </si>
  <si>
    <t>p321.112.b</t>
  </si>
  <si>
    <t>p323.197.b</t>
  </si>
  <si>
    <t>p323.185b</t>
  </si>
  <si>
    <t>p323.189b</t>
  </si>
  <si>
    <t>p323.191b</t>
  </si>
  <si>
    <t xml:space="preserve">Plus any increased ROE calculated on Attachment 7 </t>
  </si>
  <si>
    <t>p323.187b</t>
  </si>
  <si>
    <t>p350.1 thru 350.21</t>
  </si>
  <si>
    <t>Production related</t>
  </si>
  <si>
    <t>Net Adjusted Revenue Requirement</t>
  </si>
  <si>
    <t>T = 1-{[(1-SIT) * (1-FIT)]/(1-SIT * FIT * p)}</t>
  </si>
  <si>
    <t>p336.7f</t>
  </si>
  <si>
    <t>p336.10f</t>
  </si>
  <si>
    <t>p336.1f</t>
  </si>
  <si>
    <t>Step</t>
  </si>
  <si>
    <t>Month</t>
  </si>
  <si>
    <t>Year</t>
  </si>
  <si>
    <t>Action</t>
  </si>
  <si>
    <t>Exec Summary</t>
  </si>
  <si>
    <t>April</t>
  </si>
  <si>
    <t>May</t>
  </si>
  <si>
    <t>June</t>
  </si>
  <si>
    <t>Jan</t>
  </si>
  <si>
    <t>Feb</t>
  </si>
  <si>
    <t>Mar</t>
  </si>
  <si>
    <t>Apr</t>
  </si>
  <si>
    <t>Jun</t>
  </si>
  <si>
    <t>Jul</t>
  </si>
  <si>
    <t>Aug</t>
  </si>
  <si>
    <t>Sep</t>
  </si>
  <si>
    <t>Oct</t>
  </si>
  <si>
    <t>Nov</t>
  </si>
  <si>
    <t>Dec</t>
  </si>
  <si>
    <t>Interest on Amount of Refunds or Surcharges</t>
  </si>
  <si>
    <t>Yr</t>
  </si>
  <si>
    <t>Interest</t>
  </si>
  <si>
    <t>Months</t>
  </si>
  <si>
    <t>Balance</t>
  </si>
  <si>
    <t>Total Transmission Plant In Service</t>
  </si>
  <si>
    <t>New Transmission Plant Additions for Current Calendar Year  (weighted by months in service)</t>
  </si>
  <si>
    <t xml:space="preserve">    Less Accumulated Depreciation Associated with Facilities with Outstanding Network Credits</t>
  </si>
  <si>
    <t>Non-safety Related</t>
  </si>
  <si>
    <t>Electric / Non-electric Cost Support</t>
  </si>
  <si>
    <t>Transmission / Non-transmission Cost Support</t>
  </si>
  <si>
    <t>Regulatory Expense Related to Transmission Cost Support</t>
  </si>
  <si>
    <t>Safety Related Advertising Cost Support</t>
  </si>
  <si>
    <t>Excluded Plant Cost Support</t>
  </si>
  <si>
    <t>Outstanding Network Credits Cost Support</t>
  </si>
  <si>
    <t>Interest on Outstanding Network Credits Cost Support</t>
  </si>
  <si>
    <t>Return Calculation</t>
  </si>
  <si>
    <t>Rev Req based on Prior Year data</t>
  </si>
  <si>
    <t>Total with interest</t>
  </si>
  <si>
    <t xml:space="preserve">Taxes Other than Income                                                    </t>
  </si>
  <si>
    <t>Account 454 - Rent from Electric Property</t>
  </si>
  <si>
    <t>Total Rent Revenues</t>
  </si>
  <si>
    <t>None</t>
  </si>
  <si>
    <t>Shaded cells are input cells</t>
  </si>
  <si>
    <t>Attachment 1 - Accumulated Deferred Income Taxes (ADIT) Worksheet</t>
  </si>
  <si>
    <t>Attachment 2 - Taxes Other Than Income Worksheet</t>
  </si>
  <si>
    <t>Attachment 6</t>
  </si>
  <si>
    <t>Attachment 1</t>
  </si>
  <si>
    <t>Attachment 5</t>
  </si>
  <si>
    <t>Attachment 3</t>
  </si>
  <si>
    <t>Attachment 2</t>
  </si>
  <si>
    <t>Less FASB 109 Above if not separately removed</t>
  </si>
  <si>
    <t>Less FASB 106 Above if not separately removed</t>
  </si>
  <si>
    <t>Gross Proceeds Outstanding LT Debt</t>
  </si>
  <si>
    <t>Net Proceeds Long Term Debt</t>
  </si>
  <si>
    <t>Total Long Term Debt Cost</t>
  </si>
  <si>
    <t>Preferred Dividend</t>
  </si>
  <si>
    <t>Total Common Stock</t>
  </si>
  <si>
    <t>Acct 221 - Bonds</t>
  </si>
  <si>
    <t>Acct 223 LT Advances from Assoc Cos.</t>
  </si>
  <si>
    <t xml:space="preserve">  Less Acct 222 Reaq'd Bonds</t>
  </si>
  <si>
    <t>Acct 224 Other LT Debt</t>
  </si>
  <si>
    <t xml:space="preserve">  Less Acct 226 Unamort Discount</t>
  </si>
  <si>
    <t xml:space="preserve">  Less Acct 181 Unamort Debt Expense</t>
  </si>
  <si>
    <t xml:space="preserve">  Less Acct 189 Unamort Loss Reaq'd Debt</t>
  </si>
  <si>
    <t xml:space="preserve">  Plus Acct 225 Unamort Premium</t>
  </si>
  <si>
    <t xml:space="preserve">  Plus Acct 257 Unamort Gain Reaq'd Debt</t>
  </si>
  <si>
    <t>Long Term Debt Cost</t>
  </si>
  <si>
    <t>Acct 428 Amort Debt Discount &amp; Expense</t>
  </si>
  <si>
    <t>Acct 428.1 Amort Loss on Reaq'd Debt</t>
  </si>
  <si>
    <t>PSE merchant short term firm and nonfirm transmission is based on projected 2012 in line with PSE merchant's new business practice implemented in 2012. (No longer applicable after 2012)</t>
  </si>
  <si>
    <t xml:space="preserve">  Less Acct 429 Amort Premium</t>
  </si>
  <si>
    <t xml:space="preserve">  Less Acct 429.1 Amort Gain Reaq'd Debt</t>
  </si>
  <si>
    <t>Preferred Stock &amp; Dividend</t>
  </si>
  <si>
    <t>Acct 204 Preferred Stock Issued</t>
  </si>
  <si>
    <t xml:space="preserve">  Less Acct 217 Reaq'd Capital Stock (Pfd)</t>
  </si>
  <si>
    <t>Acct 207 Premium on Pfd Stock</t>
  </si>
  <si>
    <t xml:space="preserve">  Less Acct 213 discount on Capital Stock (Pfd)</t>
  </si>
  <si>
    <t xml:space="preserve">  Less Acct 214 Capital Stock Exp (Pfd)</t>
  </si>
  <si>
    <t>Total Preferred Stock</t>
  </si>
  <si>
    <t xml:space="preserve">  Less Preferred Stock</t>
  </si>
  <si>
    <t xml:space="preserve">  Less Acct 216.1 Unap Undis Subs Earnings</t>
  </si>
  <si>
    <t xml:space="preserve">  Less Acct 219 (enter negative)</t>
  </si>
  <si>
    <t xml:space="preserve"> Common Stock Issued (201)</t>
  </si>
  <si>
    <t xml:space="preserve"> Premium on Capital Stock (207)</t>
  </si>
  <si>
    <t xml:space="preserve"> Other Pd in Capital (208-211)</t>
  </si>
  <si>
    <t xml:space="preserve">   Less Stock Expense (214)</t>
  </si>
  <si>
    <t xml:space="preserve"> Retained Earnings (215, 215.1, 216)</t>
  </si>
  <si>
    <t>Unappr Undistr Sub Retnd Earn (216.1)</t>
  </si>
  <si>
    <t>Accumulated OCI (219)</t>
  </si>
  <si>
    <t xml:space="preserve">   Adjustments - Hedges</t>
  </si>
  <si>
    <t xml:space="preserve">   Adjustments - Accrued to Cash</t>
  </si>
  <si>
    <t>13 month</t>
  </si>
  <si>
    <t>Total Revenue Credits</t>
  </si>
  <si>
    <t>6.  Re:  Form 1-F filer:  Sum of subtotals for Accounts 282 and 283 should tie to Form No. 1-F, p.113.57.c</t>
  </si>
  <si>
    <t>Subtotal - p275  (Form 1-F filer:  see note 6 below)</t>
  </si>
  <si>
    <t>Subtotal - p277  (Form 1-F filer:  see note 6, below)</t>
  </si>
  <si>
    <t>Transmission O&amp;M Reserves</t>
  </si>
  <si>
    <t>Enter Negative</t>
  </si>
  <si>
    <t xml:space="preserve">Prepayments </t>
  </si>
  <si>
    <t xml:space="preserve">Attachment 5 </t>
  </si>
  <si>
    <t>Difference</t>
  </si>
  <si>
    <t xml:space="preserve">Other taxes that are incurred through ownership of plant including transmission plant will be allocated based on the Gross Plant </t>
  </si>
  <si>
    <t>Other taxes that are incurred through ownership of only general or intangible plant will be allocated based on the Wages and Salary</t>
  </si>
  <si>
    <t>Transmission Related Account 242 Reserves (exclude current year environmental site related reserves)</t>
  </si>
  <si>
    <t>Gross Revenue Credits</t>
  </si>
  <si>
    <t>NOL Carryforward</t>
  </si>
  <si>
    <t>FIT deductible for SIT</t>
  </si>
  <si>
    <t>Pursuant to state retail regulatory order</t>
  </si>
  <si>
    <t>Transmission for Others (Note 3)</t>
  </si>
  <si>
    <t>Net revenues associated with Network Integration Transmission Service (NITS) for which the load is not included in the divisor (Note 3)</t>
  </si>
  <si>
    <t>Attachment 3 - Revenue Credit Worksheet</t>
  </si>
  <si>
    <t>Facilities Charges including Interconnection Agreements (Note 2)</t>
  </si>
  <si>
    <t>Short-tern and non-firm service revenues for which the load is not included in the divisor received by Transmission Owner</t>
  </si>
  <si>
    <t>Air Products</t>
  </si>
  <si>
    <t>Justification</t>
  </si>
  <si>
    <t>Total Income Taxes</t>
  </si>
  <si>
    <t>Summary</t>
  </si>
  <si>
    <t>Net Property, Plant &amp; Equipment</t>
  </si>
  <si>
    <t>Taxes Other than Income</t>
  </si>
  <si>
    <t>Common Stock</t>
  </si>
  <si>
    <t>END</t>
  </si>
  <si>
    <t>Revenue Credits</t>
  </si>
  <si>
    <t>C</t>
  </si>
  <si>
    <t>Gross Plant Allocator</t>
  </si>
  <si>
    <t>Total Long Term Debt</t>
  </si>
  <si>
    <t>Total Return ( R )</t>
  </si>
  <si>
    <t>REVENUE REQUIREMENT</t>
  </si>
  <si>
    <t>I</t>
  </si>
  <si>
    <t>Transmission Storm O&amp;M Deferred to 182.1</t>
  </si>
  <si>
    <t>workpaper</t>
  </si>
  <si>
    <t>Total Taxes Other than Income</t>
  </si>
  <si>
    <t>J</t>
  </si>
  <si>
    <t>Long Term Debt</t>
  </si>
  <si>
    <t>Depreciation Expense</t>
  </si>
  <si>
    <t>Note L</t>
  </si>
  <si>
    <t>Accumulated Depreciation (Total Electric Plant)</t>
  </si>
  <si>
    <t>Transmission Depreciation Expense</t>
  </si>
  <si>
    <t>Transmission Wages Expense</t>
  </si>
  <si>
    <t>Total Wages Expense</t>
  </si>
  <si>
    <t xml:space="preserve"> </t>
  </si>
  <si>
    <t>E</t>
  </si>
  <si>
    <t>A</t>
  </si>
  <si>
    <t>D</t>
  </si>
  <si>
    <t>G</t>
  </si>
  <si>
    <t>Preferred Stock</t>
  </si>
  <si>
    <t>K</t>
  </si>
  <si>
    <t>Other Taxes</t>
  </si>
  <si>
    <t>Total Prepayments Allocated to Transmission</t>
  </si>
  <si>
    <t xml:space="preserve">Accumulated Deferred Income Taxes </t>
  </si>
  <si>
    <t>Common Stock (Note J)</t>
  </si>
  <si>
    <t>Revenue= FCR* 13 Month + Depreciation</t>
  </si>
  <si>
    <t>13 Month * FCR + Depreciation</t>
  </si>
  <si>
    <t>Line 179 Attach H</t>
  </si>
  <si>
    <t>Non-incentive</t>
  </si>
  <si>
    <t>Increase</t>
  </si>
  <si>
    <t>……</t>
  </si>
  <si>
    <t>Line 179 Attach H = Total for "W Increased ROE" row</t>
  </si>
  <si>
    <t>Non-Incentive = Total for ''FCR W base ROE'' row</t>
  </si>
  <si>
    <t>Total = Sum all projects</t>
  </si>
  <si>
    <t>13 Month Balance</t>
  </si>
  <si>
    <t>The depreciation expense will be the estimated amount for the projection based on the projected in-service dates and the actual depreciation expense for the year</t>
  </si>
  <si>
    <t>Note 2</t>
  </si>
  <si>
    <t>Total Cash Working Capital Allocated to Transmission</t>
  </si>
  <si>
    <t>Transmission Materials &amp; Supplies</t>
  </si>
  <si>
    <t>Directly Assigned A&amp;G</t>
  </si>
  <si>
    <t>A&amp;G Directly Assigned to Transmission</t>
  </si>
  <si>
    <t>Adjustment to Remove Revenue Requirements Associated with Excluded Transmission Facilities</t>
  </si>
  <si>
    <t>Excluded Transmission Facilities</t>
  </si>
  <si>
    <t>Included Transmission Facilities</t>
  </si>
  <si>
    <t>Inclusion Ratio</t>
  </si>
  <si>
    <t>Adjusted Gross Revenue Requirement</t>
  </si>
  <si>
    <t>Total Materials &amp; Supplies Allocated to Transmission</t>
  </si>
  <si>
    <t>Materials and Supplies</t>
  </si>
  <si>
    <t>Accumulated Depreciation</t>
  </si>
  <si>
    <t>Prepayments</t>
  </si>
  <si>
    <t>Cash Working Capital</t>
  </si>
  <si>
    <t>FERC 354 Towers and Fixtures  (p.207.51.g)</t>
  </si>
  <si>
    <t>FERC 364 Poles, Towers, and Fixtures (p.207.64.g)</t>
  </si>
  <si>
    <t>Allocators</t>
  </si>
  <si>
    <t>Less A&amp;G Wages Expense</t>
  </si>
  <si>
    <t>Transmission Gross Plant</t>
  </si>
  <si>
    <t>Transmission Net Plant</t>
  </si>
  <si>
    <t>Total Accumulated Depreciation</t>
  </si>
  <si>
    <t>Total Plant In Service</t>
  </si>
  <si>
    <t>Wages &amp; Salary Allocation Factor</t>
  </si>
  <si>
    <t>TOTAL Plant In Service</t>
  </si>
  <si>
    <t>Adjustment To Rate Base</t>
  </si>
  <si>
    <t>Net Plant Allocation Factor</t>
  </si>
  <si>
    <t>Intangible Amortization</t>
  </si>
  <si>
    <t>Undistributed Stores Exp</t>
  </si>
  <si>
    <t>General Depreciation Allocated to Transmission</t>
  </si>
  <si>
    <t>Return / Capitalization Calculations</t>
  </si>
  <si>
    <t>ITC Adjustment</t>
  </si>
  <si>
    <t>ITC Adjustment Allocated to Transmission</t>
  </si>
  <si>
    <t>SIT=State Income Tax Rate or Composite</t>
  </si>
  <si>
    <t>FIT=Federal Income Tax Rate</t>
  </si>
  <si>
    <t>Investment Return = Rate Base * Rate of Return</t>
  </si>
  <si>
    <t>Income Tax Rates</t>
  </si>
  <si>
    <t>Depreciation &amp; Amortization</t>
  </si>
  <si>
    <t>Accumulated Deferred Income Taxes Allocated To Transmission</t>
  </si>
  <si>
    <t>Depreciation &amp; Amortization Expense</t>
  </si>
  <si>
    <t>Total Transmission Depreciation &amp; Amortization</t>
  </si>
  <si>
    <t>L</t>
  </si>
  <si>
    <t>M</t>
  </si>
  <si>
    <t>Transmission O&amp;M</t>
  </si>
  <si>
    <t>Wages &amp; Salary Allocator</t>
  </si>
  <si>
    <t>Total Transmission O&amp;M</t>
  </si>
  <si>
    <t>Total A&amp;G</t>
  </si>
  <si>
    <t>General &amp; Intangible</t>
  </si>
  <si>
    <t>Transmission Plant In Service</t>
  </si>
  <si>
    <t>TOTAL Accumulated Depreciation</t>
  </si>
  <si>
    <t>Prepmts - Interest</t>
  </si>
  <si>
    <t>TOTAL Net Property, Plant &amp; Equipment</t>
  </si>
  <si>
    <t>Adjustment to Rate Base</t>
  </si>
  <si>
    <t>Plant Calculations</t>
  </si>
  <si>
    <t>Net Plant</t>
  </si>
  <si>
    <t>Net Plant Allocator</t>
  </si>
  <si>
    <t>Rate Base</t>
  </si>
  <si>
    <t xml:space="preserve">Income Tax Component = </t>
  </si>
  <si>
    <t>p352-353</t>
  </si>
  <si>
    <t xml:space="preserve">     CIT=(T/1-T) * Investment Return * (1-(WCLTD/R)) =</t>
  </si>
  <si>
    <t>Plant Allocation Factors</t>
  </si>
  <si>
    <t>Wage &amp; Salary Allocation Factor</t>
  </si>
  <si>
    <t>TOTAL Adjustment to Rate Base</t>
  </si>
  <si>
    <t>Description</t>
  </si>
  <si>
    <t>Account 456 - Other Electric Revenues</t>
  </si>
  <si>
    <t>Account 456.1 - Revenues from Transmission of Electricity of Others</t>
  </si>
  <si>
    <t>Demand Charges</t>
  </si>
  <si>
    <t>Exclude PTP Scheduling from Ancillary Services</t>
  </si>
  <si>
    <t>General Depreciation</t>
  </si>
  <si>
    <t>Total</t>
  </si>
  <si>
    <t>B</t>
  </si>
  <si>
    <t>Proprietary Capital</t>
  </si>
  <si>
    <t>Operation &amp; Maintenance Expense</t>
  </si>
  <si>
    <t>Amortized Investment Tax Credit</t>
  </si>
  <si>
    <t>Direct Assigned</t>
  </si>
  <si>
    <t>Total Transmission Allocated</t>
  </si>
  <si>
    <t>Transmission Accumulated Depreciation</t>
  </si>
  <si>
    <t>Electric Plant in Service</t>
  </si>
  <si>
    <t>Investment Return</t>
  </si>
  <si>
    <t>Income Taxes</t>
  </si>
  <si>
    <t>Total Balance Transmission Related Account 242 Reserves</t>
  </si>
  <si>
    <t>ATTACHMENT H</t>
  </si>
  <si>
    <t>with amounts exceeding $100,000 will be listed separately.</t>
  </si>
  <si>
    <t>Attachment 1- Accumulated Deferred Income Taxes (ADIT) Worksheet</t>
  </si>
  <si>
    <t>ADITC-255</t>
  </si>
  <si>
    <t>Amortization</t>
  </si>
  <si>
    <t>Rate Base Treatment</t>
  </si>
  <si>
    <t>Difference  /1</t>
  </si>
  <si>
    <t>/1 Difference must be zero</t>
  </si>
  <si>
    <t>Criteria for Allocation:</t>
  </si>
  <si>
    <t xml:space="preserve">Wages &amp; Salary Allocator </t>
  </si>
  <si>
    <t>Transmission Related Account 242 Reserves</t>
  </si>
  <si>
    <t>Worksheet 2</t>
  </si>
  <si>
    <t>Worksheet 3</t>
  </si>
  <si>
    <t>Directly Assignable to Transmission</t>
  </si>
  <si>
    <t>Allocation</t>
  </si>
  <si>
    <t>Total "Other" Taxes (included on p. 263)</t>
  </si>
  <si>
    <t>Acct 427 &amp; Acc 430 Interest Expense</t>
  </si>
  <si>
    <t>NOTE: p.207.75.g  FERC Form 1 2010 balance was prior to reclass and totaled $3,508,513,900; classified as LV distribution for 2010 was $2,947,625,914 (No longer applicable after 2012)</t>
  </si>
  <si>
    <t>NOTE: p.207.75.g  FERC Form 1 2010 balance was prior to reclass and totaled $1,224,444,770; classified as LV distribution for 2010 was $1,053,043,130 (No longer applicable after 2012)</t>
  </si>
  <si>
    <t>Attachment 6B - Estimate and Reconciliation Worksheet - Southern Intertie</t>
  </si>
  <si>
    <t>Total "Taxes Other Than Income Taxes" - acct 408.10 (p. 114.14)</t>
  </si>
  <si>
    <t>Gross Revenue Requirement</t>
  </si>
  <si>
    <t xml:space="preserve">    Less EPRI Dues</t>
  </si>
  <si>
    <t>Subtotal - Transmission Related</t>
  </si>
  <si>
    <t>T/ (1-T)</t>
  </si>
  <si>
    <t>p</t>
  </si>
  <si>
    <t>(percent of federal income tax deductible for state purposes)</t>
  </si>
  <si>
    <t>Notes</t>
  </si>
  <si>
    <t>Allocator</t>
  </si>
  <si>
    <t>p214</t>
  </si>
  <si>
    <t>enter negative</t>
  </si>
  <si>
    <t>Fixed</t>
  </si>
  <si>
    <t>Net Revenue Requirement</t>
  </si>
  <si>
    <t>O&amp;M</t>
  </si>
  <si>
    <t xml:space="preserve">     Less Account 565</t>
  </si>
  <si>
    <t>p200.21c</t>
  </si>
  <si>
    <t>Subtotal</t>
  </si>
  <si>
    <t>Electric portion only</t>
  </si>
  <si>
    <t>Transmission Portion Only</t>
  </si>
  <si>
    <t xml:space="preserve">    Less Property Insurance Account 924</t>
  </si>
  <si>
    <t xml:space="preserve">    Less Regulatory Commission Exp Account 928</t>
  </si>
  <si>
    <t xml:space="preserve">    Less General Advertising Exp Account 930.1</t>
  </si>
  <si>
    <t>Regulatory Commission Exp Account 928</t>
  </si>
  <si>
    <t>General Advertising Exp Account 930.1</t>
  </si>
  <si>
    <t>Property Insurance Account 924</t>
  </si>
  <si>
    <t xml:space="preserve">     T=1 - {[(1 - SIT) * (1 - FIT)] / (1 - SIT * FIT * p)} =</t>
  </si>
  <si>
    <t>Debt %</t>
  </si>
  <si>
    <t>Common %</t>
  </si>
  <si>
    <t>Debt Cost</t>
  </si>
  <si>
    <t>Common Cost</t>
  </si>
  <si>
    <t>Weighted Cost of Debt</t>
  </si>
  <si>
    <t>Weighted Cost of Common</t>
  </si>
  <si>
    <t>Accumulated General Depreciation</t>
  </si>
  <si>
    <t>Preferred %</t>
  </si>
  <si>
    <t>Preferred Cost</t>
  </si>
  <si>
    <t xml:space="preserve">Other taxes except as provided for in A, B and C above, that are incurred and (1) are not fully recovered at retail or (2) are </t>
  </si>
  <si>
    <t xml:space="preserve">directly or indirectly related to transmission service will be allocated based on the Gross Plant Allocator; provided, however, that </t>
  </si>
  <si>
    <t xml:space="preserve">overheads shall be treated as in footnote B above </t>
  </si>
  <si>
    <t>3.  ADIT items related to Plant and not in Columns C &amp; D are included in Column E</t>
  </si>
  <si>
    <t>4.  ADIT items related to labor and not in Columns C &amp; D are included in Column F</t>
  </si>
  <si>
    <t>(Sum Lines 4-11)</t>
  </si>
  <si>
    <t>FERC  Annual Fees</t>
  </si>
  <si>
    <t>RTO Filings</t>
  </si>
  <si>
    <t>Transmission Siting</t>
  </si>
  <si>
    <t>Other Transmission regulatory Commission Expenses</t>
  </si>
  <si>
    <t>NERC Compliance</t>
  </si>
  <si>
    <t>Excluded Items</t>
  </si>
  <si>
    <t>Load paying the Formula Rate</t>
  </si>
  <si>
    <t>Total Transmission Load</t>
  </si>
  <si>
    <t>Gains/Losses sale of land held for future use</t>
  </si>
  <si>
    <t>50% of any gain or loss sales of land that have been in Account No. 105, Land Held for Future Use, at any time (gains will be positive numbers and losses will be negative numbers)</t>
  </si>
  <si>
    <t>Amount of transmission plant excluded from rates per Attachment 5.</t>
  </si>
  <si>
    <t>Total Form No. 1 (p 266 &amp; 267)</t>
  </si>
  <si>
    <t>Net Plant Carrying Charge</t>
  </si>
  <si>
    <t>Net Plant Carrying Charge Calculation per 100 Basis Point increase in ROE</t>
  </si>
  <si>
    <t>Net Plant Carrying Charge per 100 Basis Point increase in ROE</t>
  </si>
  <si>
    <t>Net Plant Carrying Charge per 100 Basis Point in ROE without Depreciation</t>
  </si>
  <si>
    <t xml:space="preserve">Net Plant Carrying Charge </t>
  </si>
  <si>
    <t>Net Plant Carrying Charge without Depreciation</t>
  </si>
  <si>
    <t>Net Plant Carrying Charge without Depreciation, Return, nor Income Taxes</t>
  </si>
  <si>
    <t>Weighted Cost of Preferred</t>
  </si>
  <si>
    <t>Transmission</t>
  </si>
  <si>
    <t>ADIT-190</t>
  </si>
  <si>
    <t>ADIT- 282</t>
  </si>
  <si>
    <t>ADIT-283</t>
  </si>
  <si>
    <t>Miscellaneous</t>
  </si>
  <si>
    <t>Accumulated Deferred Income Taxes</t>
  </si>
  <si>
    <t>Plant Gas</t>
  </si>
  <si>
    <t>Plant Electric</t>
  </si>
  <si>
    <t>Pension</t>
  </si>
  <si>
    <t>Employment</t>
  </si>
  <si>
    <t>State excise</t>
  </si>
  <si>
    <t>Municipal Excise</t>
  </si>
  <si>
    <t>SFAS 109</t>
  </si>
  <si>
    <t>Storm Damage</t>
  </si>
  <si>
    <t>Regulatory assets</t>
  </si>
  <si>
    <t>Derivative instruments</t>
  </si>
  <si>
    <t>TO populates the formula with Year 1 data from FERC Form No. 1 data for Year 1 (e.g., 2010)</t>
  </si>
  <si>
    <t>TO estimates all transmission Cap Adds and CWIP for Year 2 weighted based on Months expected to be in service in Year 2 (e.g., 2011)</t>
  </si>
  <si>
    <t>Post results of Step 3</t>
  </si>
  <si>
    <t>(J)</t>
  </si>
  <si>
    <t>(K)</t>
  </si>
  <si>
    <t>(L)</t>
  </si>
  <si>
    <t>(M)</t>
  </si>
  <si>
    <t>Other Included - Transmission</t>
  </si>
  <si>
    <t>State Utility Tax</t>
  </si>
  <si>
    <t>Total Other Transmission Included</t>
  </si>
  <si>
    <t>(Note S)</t>
  </si>
  <si>
    <t>S</t>
  </si>
  <si>
    <t>Electric Segment Allocation</t>
  </si>
  <si>
    <t>Total Common Plant</t>
  </si>
  <si>
    <t xml:space="preserve">WA Area </t>
  </si>
  <si>
    <t>End of Year Est. Average for Final</t>
  </si>
  <si>
    <t>WA Area</t>
  </si>
  <si>
    <t xml:space="preserve">Total Distribution </t>
  </si>
  <si>
    <t>13 Month</t>
  </si>
  <si>
    <t>Washington Area</t>
  </si>
  <si>
    <t>Result of Formula for Reconciliation</t>
  </si>
  <si>
    <t>True-Up Adjustment</t>
  </si>
  <si>
    <t xml:space="preserve">Total with Interest </t>
  </si>
  <si>
    <t>Actual Revenues Received Step 7</t>
  </si>
  <si>
    <t>Wash Area</t>
  </si>
  <si>
    <t>So. Intertie</t>
  </si>
  <si>
    <t>LT loads</t>
  </si>
  <si>
    <t>Long tern Loads charged under the OATT</t>
  </si>
  <si>
    <t>Yes</t>
  </si>
  <si>
    <t>The total is directly assigned to the three areas where</t>
  </si>
  <si>
    <t>possible, if not possible then allocated based on</t>
  </si>
  <si>
    <t>No</t>
  </si>
  <si>
    <t xml:space="preserve"> loads under the tariff</t>
  </si>
  <si>
    <t>NA</t>
  </si>
  <si>
    <t>Property Alloc</t>
  </si>
  <si>
    <t>Reconciliation</t>
  </si>
  <si>
    <t>Excluded Transmission Facilities - Southern Intertie</t>
  </si>
  <si>
    <t>Outstanding Network Credits is the balance of Network Facilities Upgrades Credits due Transmission Customers who have made lump-sum payments (net of accumulated depreciation) towards the construction of Network Transmission Facilities consistent with Paragraph 657 of Order 2003-A. Interest on the Network Credits as booked each year is added to the revenue requirement to make the Transmission Owner whole on Line "&amp;A262&amp;"."</t>
  </si>
  <si>
    <t>A&amp;G directly assigned to Transmission is for the WA area rate only as the Southern Intertie is 100% operated by BPA and Colstrip 100% operated by Northwestern</t>
  </si>
  <si>
    <t>Attachment 4 Alloc on Rate base</t>
  </si>
  <si>
    <t>(Year 2 data with total of Year 2 Cap Adds removed and monthly weighted average of Year 2 actual Cap Adds added in)</t>
  </si>
  <si>
    <t>Rates in effect in Prior Year times actual loads in each Month</t>
  </si>
  <si>
    <t>Rates Charged</t>
  </si>
  <si>
    <t>Actual Monthly Loads</t>
  </si>
  <si>
    <t>Rate x Loads</t>
  </si>
  <si>
    <t>Less any Prior Year True up</t>
  </si>
  <si>
    <t>Actual Revenues Received</t>
  </si>
  <si>
    <t>Sum</t>
  </si>
  <si>
    <t>The Reconciliation in Step 8</t>
  </si>
  <si>
    <t>Transmission Rate</t>
  </si>
  <si>
    <t>Interest rate pursuant to 35.19a for March of the Current Yr</t>
  </si>
  <si>
    <t>1/12 of Step 8</t>
  </si>
  <si>
    <t>Interest rate for</t>
  </si>
  <si>
    <t>Surcharge (Refund) Owed</t>
  </si>
  <si>
    <t>(See Note #1)</t>
  </si>
  <si>
    <t>March of the Current Yr</t>
  </si>
  <si>
    <t xml:space="preserve">Note #1:  For the initial rate year, enter zero for the first five months, </t>
  </si>
  <si>
    <t xml:space="preserve">              June Year 1 through October Year 1.  Enter 1/12 of Step 8</t>
  </si>
  <si>
    <t xml:space="preserve">             for the months Nov Year 1 through May Year 2.</t>
  </si>
  <si>
    <t>Interest rate from above</t>
  </si>
  <si>
    <t>Amortization over Rate Year</t>
  </si>
  <si>
    <t>FERC Form 1, Page 400</t>
  </si>
  <si>
    <t>Other Long Term Firm Service</t>
  </si>
  <si>
    <t>Other Service</t>
  </si>
  <si>
    <t>Monthly Peak MW - Total   (b)</t>
  </si>
  <si>
    <t>Month (a)</t>
  </si>
  <si>
    <t>Day of Monthly Peak      (c )</t>
  </si>
  <si>
    <t>Hour of Monthly Peak     (d)</t>
  </si>
  <si>
    <t>Firm Network Service for Self                      (e)</t>
  </si>
  <si>
    <t>Firm Network Service for Others                       (f)</t>
  </si>
  <si>
    <t>Long-Term Firm Point-to-point Reservations            (g)</t>
  </si>
  <si>
    <t>Other Long Term Firm Service                    (h)</t>
  </si>
  <si>
    <t>Short-Term Firm Point-to-Point Reservation                        (i)</t>
  </si>
  <si>
    <t xml:space="preserve">Total 427 Interest </t>
  </si>
  <si>
    <t>E3509 (GIF) Land, Wild Horse</t>
  </si>
  <si>
    <t>E35099 (GIF) Easement, Hopkins</t>
  </si>
  <si>
    <t>E35099 (GIF) Easement, Poison Sprin</t>
  </si>
  <si>
    <t>E35099 (GIF) Easement, Upper Baker</t>
  </si>
  <si>
    <t>E35099 (GIF) Easement, Wild Horse</t>
  </si>
  <si>
    <t>E3529 (GIF) Struc/Improv, Mint Farm</t>
  </si>
  <si>
    <t>E3529 (GIF) Struc/Improv, Whitehorn</t>
  </si>
  <si>
    <t>E3538 (LIF) Sta Eq, Sub-Txe</t>
  </si>
  <si>
    <t>E3539 (GIF) Sta Eq, Arco Central</t>
  </si>
  <si>
    <t>E3539 (GIF) Sta Eq, Baker River Sw</t>
  </si>
  <si>
    <t>E3539 (GIF) Sta Eq, Electron Height</t>
  </si>
  <si>
    <t>E3539 (GIF) Sta Eq, Encogen</t>
  </si>
  <si>
    <t>E3539 (GIF) Sta Eq, Frederickson</t>
  </si>
  <si>
    <t>E3539 (GIF) Sta Eq, Fredonia 1&amp;2</t>
  </si>
  <si>
    <t>E3539 (GIF) Sta Eq, Fredonia 3&amp;4</t>
  </si>
  <si>
    <t>E3539 (GIF) Sta Eq, Goldendale</t>
  </si>
  <si>
    <t>E3539 (GIF) Sta Eq, Hopkins Ridge</t>
  </si>
  <si>
    <t>E3539 (GIF) Sta Eq, HPK sub@plant</t>
  </si>
  <si>
    <t>E3539 (GIF) Sta Eq, Lower Baker</t>
  </si>
  <si>
    <t>E3539 (GIF) Sta Eq, Mint Farm</t>
  </si>
  <si>
    <t>E3539 (GIF) Sta Eq, Nooksack</t>
  </si>
  <si>
    <t>E3539 (GIF) Sta Eq, Poison Spring</t>
  </si>
  <si>
    <t>E3539 (GIF) Sta Eq, Shannon</t>
  </si>
  <si>
    <t>E3539 (GIF) Sta Eq, Snoqualmie 2</t>
  </si>
  <si>
    <t>E3539 (GIF) Sta Eq, Snoqualmie Sw</t>
  </si>
  <si>
    <t>E3539 (GIF) Sta Eq, Stillwater</t>
  </si>
  <si>
    <t>E3539 (GIF) Sta Eq, Sumas OP-SMC</t>
  </si>
  <si>
    <t>E3539 (GIF) Sta Eq, Terrell</t>
  </si>
  <si>
    <t>E3539 (GIF) Sta Eq, Texaco West</t>
  </si>
  <si>
    <t>E3539 (GIF) Sta Eq, Ferndale</t>
  </si>
  <si>
    <t>E3539 (GIF) Sta Eq, Snoq 1-2013</t>
  </si>
  <si>
    <t>E3539 (GIF) Sta Eq, Snoq 2-2013</t>
  </si>
  <si>
    <t>E3549 (GIF) Twr/Fixt, Ferndale</t>
  </si>
  <si>
    <t>PSE/16500373</t>
  </si>
  <si>
    <t>PSE/16501083</t>
  </si>
  <si>
    <t>Account 926 (2012)</t>
  </si>
  <si>
    <t>E3536 TSM Sta Eq, Sumas SMS</t>
  </si>
  <si>
    <t>Vantage Wind Energy LLC- Invenergy</t>
  </si>
  <si>
    <t>Bonneville Power Administration</t>
  </si>
  <si>
    <t xml:space="preserve">  Adjustments - Forward Swap</t>
  </si>
  <si>
    <t>E3529 (GIF) Struc/Improv, LSR</t>
  </si>
  <si>
    <t>E3539 (GIF) Sta Eq, LSR</t>
  </si>
  <si>
    <t>E3539 (GIF) Sta Eq, SUB-BRL4-2013</t>
  </si>
  <si>
    <t>E3559 (GIF) TSM Poles, LSR</t>
  </si>
  <si>
    <t>E3569 (GIF) O/H Conductor, LSR</t>
  </si>
  <si>
    <t>E3589 (GIF) UG Conductor, LSR</t>
  </si>
  <si>
    <t>WA Property taxes</t>
  </si>
  <si>
    <t>Annual Point-to-Point and Network Transmission Rate</t>
  </si>
  <si>
    <t>Formula Rate -- Attachment H-1</t>
  </si>
  <si>
    <t>Attachment H-1 % plus 100 Basis Pts</t>
  </si>
  <si>
    <t>Attachment H-1 Line #s, Descriptions, Notes, Form 1 Page #s and Instructions</t>
  </si>
  <si>
    <t>Must run Attachment H-1 to get this number (with input on line 16 of Attachment H-1)</t>
  </si>
  <si>
    <t>Must run Attachment H-1 to get this number (without inputs in line 16 of Attachment H-1 )</t>
  </si>
  <si>
    <t>Must run Attachment H-1 to get this number (without inputs on line 16 of Attachment H-1)</t>
  </si>
  <si>
    <t>Must run Attachment H-1 to get this number (with input in line 16 of Attachment H-1 )</t>
  </si>
  <si>
    <t>Transmission Provider (TP) populates the formula with Year 1 data from FERC Form No. 1 data for Year 1 (e.g., 2010)</t>
  </si>
  <si>
    <t>TP estimates all transmission Cap Adds and CWIP for Year 2 weighted based on Months expected to be in service in Year 2 (e.g., 2011)</t>
  </si>
  <si>
    <t>TP adds weighted Cap Adds to plant in service in Formula</t>
  </si>
  <si>
    <t>Results of Step 3 go into effect for the Rate Year 1 (e.g., June 1, 2011 - May 31, 2012)</t>
  </si>
  <si>
    <t>TP populates the formula with Year 2 data from FERC Form No. 1 for Year 2 (e.g., 2011)</t>
  </si>
  <si>
    <t>Reconciliation - TP adds the difference between the Reconciliation in Step 7 and the forecast in Line 5 with interest to the result of Step 7 (this difference is also added to Step 8 in the subsequent year)</t>
  </si>
  <si>
    <t>Results of Step 9 go into effect for the Rate Year 2 (e.g., June 1, 2012 - May 31, 2013)</t>
  </si>
  <si>
    <t>TP populates the formula with Year 1 data from FERC Form No. 1 data for Year 1 (e.g., 2010)</t>
  </si>
  <si>
    <t>Prior Period Adjustments Detail:</t>
  </si>
  <si>
    <t>Total Other Adjustment</t>
  </si>
  <si>
    <t>True Up</t>
  </si>
  <si>
    <t>Prior Period Adjustment</t>
  </si>
  <si>
    <t>Net True up</t>
  </si>
  <si>
    <t>Year 1=</t>
  </si>
  <si>
    <t>Year 2=</t>
  </si>
  <si>
    <t>Year 3=</t>
  </si>
  <si>
    <t>TP estimates Cap Adds and CWIP during Year 3 weighted based on Months expected to be in service in Year 3 (e.g., 2012)</t>
  </si>
  <si>
    <t>Input to Line 16 of Attachment H-1</t>
  </si>
  <si>
    <t>True up adjustments including any prior period adjustments</t>
  </si>
  <si>
    <t>Balance to line 40 of Attachment H-1</t>
  </si>
  <si>
    <t>Amortization to line 142 of Attachment H-1</t>
  </si>
  <si>
    <t>E35017 TSM Easements, Baker Com</t>
  </si>
  <si>
    <t>E35017 TSM Easements, Upper Baker</t>
  </si>
  <si>
    <t>E353 TSM Sta Eq, Wild Horse-WindRid</t>
  </si>
  <si>
    <t>E355 TSM Poles, Wild Horse-WindRidg</t>
  </si>
  <si>
    <t>E3557 TSM Poles, Baker Common</t>
  </si>
  <si>
    <t>E3557 TSM Poles, Upper Baker</t>
  </si>
  <si>
    <t>E356 TSM O/H Cond, Wild Horse-WindR</t>
  </si>
  <si>
    <t>E3567 TSM O/H Cond, Baker Common</t>
  </si>
  <si>
    <t>E3567 TSM O/H Cond, Upper Baker</t>
  </si>
  <si>
    <t>PSE/16502021</t>
  </si>
  <si>
    <t xml:space="preserve">   Total Colstrip</t>
  </si>
  <si>
    <t>E3529 (GIF) Str/Impr, Fredonia 1&amp;2</t>
  </si>
  <si>
    <t>E3559 (GIF) Poles, TLN-HPK@plant</t>
  </si>
  <si>
    <t>E3569 (GIF) O/H Cond, TLN-HPK@plant</t>
  </si>
  <si>
    <t>E3579 (GIF)U/G Conduit,TLN-WHD@plnt</t>
  </si>
  <si>
    <t>E3589 (GIF)U/G Cond,TLN-HPK@plt</t>
  </si>
  <si>
    <t>E3589 (GIF)U/G Cond,TLN-WHD@plnt</t>
  </si>
  <si>
    <t>E3589 (GIF)U/G Cond,TLN-WHDE@plt</t>
  </si>
  <si>
    <t>Total WA Transmission Plant</t>
  </si>
  <si>
    <t>Total Colstrip Transmission Plant</t>
  </si>
  <si>
    <t>Total Southern Intertie Plant</t>
  </si>
  <si>
    <t>Total Transmission Plant</t>
  </si>
  <si>
    <t>ties to FF1 p206.58(b)</t>
  </si>
  <si>
    <t>ties to FF1 p207.58(g)</t>
  </si>
  <si>
    <t>Transmission Plant in Service</t>
  </si>
  <si>
    <t>Transmission Plant Accumulated Depreciation</t>
  </si>
  <si>
    <t xml:space="preserve">  Total Southern Intertie</t>
  </si>
  <si>
    <t>WA Area Total Trans Depr Reserves</t>
  </si>
  <si>
    <t>Southern Intertie Total Depr Reserves</t>
  </si>
  <si>
    <t>Total Depreciation reserves</t>
  </si>
  <si>
    <t>Ties to FERC Form 1 p219.25.(c)</t>
  </si>
  <si>
    <t>PSE/16504201</t>
  </si>
  <si>
    <t>Prepaid - Art 312 Dev Rec- Camp - Major Maint - LT</t>
  </si>
  <si>
    <t>Electric Rate of Return Refund</t>
  </si>
  <si>
    <t xml:space="preserve">  Total Washington Area</t>
  </si>
  <si>
    <t xml:space="preserve">E353 TSM Sta Eq, Colstrip 3-4 </t>
  </si>
  <si>
    <t xml:space="preserve">  Total WA GIF</t>
  </si>
  <si>
    <t xml:space="preserve">  Total Colstrip GIF</t>
  </si>
  <si>
    <t xml:space="preserve">  Total WA Area</t>
  </si>
  <si>
    <t>E3500 TSM Land, N Intertie</t>
  </si>
  <si>
    <t>E3500 TSM Land, Wind Ridge</t>
  </si>
  <si>
    <t xml:space="preserve">E3556 TSM Poles </t>
  </si>
  <si>
    <t xml:space="preserve">E3557 TSM Poles </t>
  </si>
  <si>
    <t>E3500 TSM Land, Colstrip</t>
  </si>
  <si>
    <t xml:space="preserve">  Total Colstrip</t>
  </si>
  <si>
    <t>E3500 TSM Land, 3rd AC</t>
  </si>
  <si>
    <t xml:space="preserve">E3539 (GIF) Sta Eq, Wild Horse </t>
  </si>
  <si>
    <t>Colstrip Total Depr Reserves</t>
  </si>
  <si>
    <t>PSE/16502221</t>
  </si>
  <si>
    <t>PSE/16502261</t>
  </si>
  <si>
    <t>E35010 TSM Easement</t>
  </si>
  <si>
    <t>E3539 (GIF) Sta Eq, Fred 1/APC</t>
  </si>
  <si>
    <t>E3569 (GIF) O/H Cond, Lower Baker</t>
  </si>
  <si>
    <t>E3589 (GIF) U/G Cond, Fred 1/APC</t>
  </si>
  <si>
    <t xml:space="preserve">E3539 (GIF) Sta Eq, Colstrip 3-4 </t>
  </si>
  <si>
    <t>E3559 (GIF) Poles, Colstrip 3-4</t>
  </si>
  <si>
    <t>E3569 (GIF) O/H Cond, Colstrip 3-4</t>
  </si>
  <si>
    <t>Total ARO Transmission Plant</t>
  </si>
  <si>
    <t>TSM ARO Transmission</t>
  </si>
  <si>
    <t>E353 TSM Sta Eq LSR</t>
  </si>
  <si>
    <t>E3537 TSM Sta Eq, Hopkins Ridge Exp</t>
  </si>
  <si>
    <t>E355 TSM Poles, Baker Common</t>
  </si>
  <si>
    <t>E35010 TSM Easement,Colstrip 1-2Com</t>
  </si>
  <si>
    <t>E35010 TSM Easement,Colstrip 3-4Com</t>
  </si>
  <si>
    <t>ARO Total</t>
  </si>
  <si>
    <t>Colstrip Generation Plant Property Tax</t>
  </si>
  <si>
    <t xml:space="preserve">Federal Income tax, (Account 409.1) </t>
  </si>
  <si>
    <t>E3536 TSM Substation Equipment</t>
  </si>
  <si>
    <t>Colstrip Trasmission Benefit Use Tax</t>
  </si>
  <si>
    <t>Baker SA 318 Law Enforcement Plan</t>
  </si>
  <si>
    <t>Wind Farm Maintenance Accrual</t>
  </si>
  <si>
    <t>FERC Annual Charge US Lands</t>
  </si>
  <si>
    <t>Lower Baker - FERC License Fees</t>
  </si>
  <si>
    <t>Upper Baker - FERC License Fees</t>
  </si>
  <si>
    <t>Snoqualmie #1 - FERC License Fees</t>
  </si>
  <si>
    <t>Snoqualmie #2 - FERC License Fees</t>
  </si>
  <si>
    <t>Accrued WUTC Fee - Gas</t>
  </si>
  <si>
    <t>Article 103 - O&amp;M Upstream Fish Passage Fund</t>
  </si>
  <si>
    <t>Article 105 - O&amp;M Downstream Fish Passage Fund</t>
  </si>
  <si>
    <t>Article 511 - O&amp;M Decaying Wood Fund</t>
  </si>
  <si>
    <t>Article 505 - O&amp;M Aquatic Riparian Habitat Fund</t>
  </si>
  <si>
    <t>Article 602 - O&amp;M Recration Adaptive Mgmt Fund</t>
  </si>
  <si>
    <t>Article 514 - O&amp;M Use of Habitat Evaluation</t>
  </si>
  <si>
    <t>Article 101-Fish Propagation O&amp;M Fund</t>
  </si>
  <si>
    <t>Article 110-Shoreline Erosion O&amp;M Fund</t>
  </si>
  <si>
    <t>Article 502-Forest Habitat Capital Fund</t>
  </si>
  <si>
    <t>Article 502-Forest Habitat O&amp;M Fund</t>
  </si>
  <si>
    <t>Article 503-Elk Habitat Capital Fund</t>
  </si>
  <si>
    <t>Article 503-Elk Habitat O&amp;M Fund</t>
  </si>
  <si>
    <t>Article 504-Wetland Habitat Capital Fund</t>
  </si>
  <si>
    <t>Article 504-Wetland Habitat O&amp;M Fund</t>
  </si>
  <si>
    <t>Article 505-Aquatic Riparian Habitat Capital Fund</t>
  </si>
  <si>
    <t>Article 508-Noxious Weeds O&amp;M Fund</t>
  </si>
  <si>
    <t>Article 602-Terrestrial Enhance &amp;Research Fund O&amp;M</t>
  </si>
  <si>
    <t>Article 302 - Aesthetics Mgmt O&amp;M</t>
  </si>
  <si>
    <t>Article 304 - Bak Resr Rec Water Safety Pln O&amp;M</t>
  </si>
  <si>
    <t>California Carbon Obligation</t>
  </si>
  <si>
    <t>Article 602 - O&amp;M Cultural Resource Enhansmnt Fund</t>
  </si>
  <si>
    <t xml:space="preserve">Prepmts -  Linked In Advertising </t>
  </si>
  <si>
    <t>E3506 TSM Land &amp; Land Rights</t>
  </si>
  <si>
    <t>Brookfield Renewables</t>
  </si>
  <si>
    <t>Other Misc</t>
  </si>
  <si>
    <t>Elec Decouling Revenue</t>
  </si>
  <si>
    <t>EV Revenues</t>
  </si>
  <si>
    <t>a</t>
  </si>
  <si>
    <t>b</t>
  </si>
  <si>
    <t>c</t>
  </si>
  <si>
    <t>d</t>
  </si>
  <si>
    <t>PSE/16502313</t>
  </si>
  <si>
    <t xml:space="preserve">Prepaid - Insurance and Employee Benefits </t>
  </si>
  <si>
    <t>PSE/16502323</t>
  </si>
  <si>
    <t xml:space="preserve">Prepaid - General and Administrative </t>
  </si>
  <si>
    <t>PSE/16501273</t>
  </si>
  <si>
    <t>Prepaid - Amazon Web Services IAAS</t>
  </si>
  <si>
    <t>PSE/16502333</t>
  </si>
  <si>
    <t>Prepaid - Hardware/Software</t>
  </si>
  <si>
    <t>PSE/16502343</t>
  </si>
  <si>
    <t>Prepaid - Outside Services</t>
  </si>
  <si>
    <t>PSE/16502353</t>
  </si>
  <si>
    <t>Prepaid - Miscellaneous</t>
  </si>
  <si>
    <t>PSE/16501293</t>
  </si>
  <si>
    <t>Prepaid - Purchased Electricity</t>
  </si>
  <si>
    <t>permits</t>
  </si>
  <si>
    <t>Other Income Tax Adjustment</t>
  </si>
  <si>
    <t>145a</t>
  </si>
  <si>
    <t>Income Tax Adjustment</t>
  </si>
  <si>
    <t>145b</t>
  </si>
  <si>
    <t>Other Income Tax Adjustments</t>
  </si>
  <si>
    <t>Other Income Tax Adjustments - Grossed Up</t>
  </si>
  <si>
    <t>Other income Tax Adjustment x 1/(1-T)</t>
  </si>
  <si>
    <t>Line 145a * (1/(1 - Line 140))</t>
  </si>
  <si>
    <t>Wksheet 7</t>
  </si>
  <si>
    <t>Flow Through/net AFUDC (Note 1)</t>
  </si>
  <si>
    <t>Note 1: Flow through accounting is used for allowance for funds used during construction and construction period interest calculations.  The impact on tax expense is reflected in this adjustment.</t>
  </si>
  <si>
    <t>Protected Plant-related (Note b)</t>
  </si>
  <si>
    <t>Unprotected Plant-related (Note c)</t>
  </si>
  <si>
    <t>Unprotected Non-Plant related (Note d)</t>
  </si>
  <si>
    <t>Worksheet 7 - Excess and Deficient Accumulated Deferred Income Taxes (ADIT)</t>
  </si>
  <si>
    <t>Excess or Deficient ADIT Class</t>
  </si>
  <si>
    <t>Amortization Methodology &amp; Period</t>
  </si>
  <si>
    <t xml:space="preserve">Amortized Excess or Deficient ADIT </t>
  </si>
  <si>
    <t>Excess or Deficient ADIT and Net Flow Through Adjustment</t>
  </si>
  <si>
    <t>21a</t>
  </si>
  <si>
    <t>Revesal of Excess or Deficient ADIT and net Flow Through</t>
  </si>
  <si>
    <t>21b</t>
  </si>
  <si>
    <t>Grossed Up - Reversal of Excess/Dedicient ADIT and net Flow Through</t>
  </si>
  <si>
    <t>Line 21a x 1/(1-T)</t>
  </si>
  <si>
    <t>Line 21a * (1/(1 - Line 16))</t>
  </si>
  <si>
    <t>Line 21 + 21b + 22</t>
  </si>
  <si>
    <t>ARAM/Life of Asset</t>
  </si>
  <si>
    <t>"Protected Plant-related" means that applicable tax rules require that excess deferred taxes be reversed using the mandated average rate assumption method ("ARAM") over the remaining book lives of the underlying assets.</t>
  </si>
  <si>
    <t>"Unprotected Plant-related" balances are reversed using the average rate assumption method over the remaining book lives of the underlying assets.</t>
  </si>
  <si>
    <t>Total Amortized Excess or Deficient ADIT</t>
  </si>
  <si>
    <t>SFAS109</t>
  </si>
  <si>
    <t>gas related</t>
  </si>
  <si>
    <t>NERC Standards Compliance Loss Reserve</t>
  </si>
  <si>
    <t>Accrued - 401(k) ER Contributions %</t>
  </si>
  <si>
    <t>Accrual - 401(k) Match on Incentive Plan</t>
  </si>
  <si>
    <t>Article 507 - Loon Surveys &amp; Non-Game Species</t>
  </si>
  <si>
    <t>Electric - Upper Skagit Tribe MOU - BakLicImp</t>
  </si>
  <si>
    <t>Electric - Sauk-Suiattle Agmt - BakLicImp</t>
  </si>
  <si>
    <t>Electric - Swinomish Tribe Agmt - BakLicImp</t>
  </si>
  <si>
    <t>Accrued - Sale of Transf Frequency Response - Elec</t>
  </si>
  <si>
    <t>Article 602 - O&amp;M Habitat Enhance, Rstr, Cons Fund</t>
  </si>
  <si>
    <t>Exelon Generation</t>
  </si>
  <si>
    <t>BP Products North America Inc</t>
  </si>
  <si>
    <t>PSE/16504573</t>
  </si>
  <si>
    <t xml:space="preserve">Prepaid - Permits &amp; Fees </t>
  </si>
  <si>
    <t>PSE/16504553</t>
  </si>
  <si>
    <t>PSE/16504563</t>
  </si>
  <si>
    <t xml:space="preserve">Prepaid - Hardware/Software </t>
  </si>
  <si>
    <t>This section provides support for the remeasurement and amortization of excess or deficient ADIT that results from changes to federal, state, or local income tax rates.  PSE records its ADIT in FERC Accounts 190, 282, and 283.  Upon remeasurement, excess and deficient balances are amortized using FERC Accounts 410.1 and 411.1.</t>
  </si>
  <si>
    <t>ADIT Before Remeasurement</t>
  </si>
  <si>
    <t>ADIT After Remeasurement</t>
  </si>
  <si>
    <t>Excess/Deficient ADIT Balance at Remeasurement</t>
  </si>
  <si>
    <t>3 years/Straight Line</t>
  </si>
  <si>
    <t>WA</t>
  </si>
  <si>
    <t>OR</t>
  </si>
  <si>
    <t>Dynasty Power Inc</t>
  </si>
  <si>
    <t>Morgan Stanley Capital Group, Inc.</t>
  </si>
  <si>
    <t>Portland General Electric Company</t>
  </si>
  <si>
    <t>HollyFrontier Puget Sound Refining</t>
  </si>
  <si>
    <t>Tesoro Refining &amp; Marketing CMP</t>
  </si>
  <si>
    <t>Tax net operating loss carryforward</t>
  </si>
  <si>
    <t>Determination of Excess/Deficient ADIT (Note a)</t>
  </si>
  <si>
    <t>To calculate excess and deficient ADIT, PSE remeasured its ADIT balances.  Excess and deficient ADIT balances continue to reside in their original ADIT accounts (i.e., FERC 282, 283 and 190 accounts).  To reflect the rate change, PSE adjusted its FERC 254 account and adjusted its FERC 190, 282, and 283 accounts using tracking account to reflect the rate change.  The excess/deficient ADIT balances are amortized using FERC 411.1 and 410.1 accounts.</t>
  </si>
  <si>
    <t>FERC B/S Account Where ADIT Is Located</t>
  </si>
  <si>
    <t>FERC B/S Account for Excess (254) / Deficit (182.3) ADIT</t>
  </si>
  <si>
    <t>FERC I/S Account to Which Excess/ Deficient ADIT Is Amortized</t>
  </si>
  <si>
    <t>The remeasurement occurred as a result of the Federal tax rate change from 35% to 21% in the Tax Cut and Jobs Act as of 12/31/2017.
In the event of another tax rate change, this footnote will be updated to identify the new tax rate change, and the numbers in Columns E through K will change as follows: 
 - Column E and note d will be updated to reflect PSE's proposed amortization methodologies for unprotected non-plant-related ADIT balances resulting from the tax rate change. 
 - Column F will be updated to reflect the total ADIT balance immediately prior to the tax rate change. 
 - Column G will be updated to reflect the total ADIT at the new statutory rate.
 - Column H will show the new difference between columns F &amp; G - the total excess or deficiency.
 - Column I will reflect the actual balance of the excess or deficiency as of the end of the current reporting period.
 - Column J will show the reversal of the excess or deficit for the current reporting period.
 - Column K will be updated to reflect the gross-up associated with the excess or deficient ADIT balance.</t>
  </si>
  <si>
    <t>Unprotected Non-Plant balances are not subject to ARAM.  The 3 year amortization period was reached in an effort to balance the cash needs of the company and the timely pass back of the excess deferred taxes to customers.  This period is consisant with the approach approved by the Washington Utility and Transportation Commission (WUTC) in PSE's 2019 General Rate Case (GRC).</t>
  </si>
  <si>
    <t>e</t>
  </si>
  <si>
    <t>Column K represents the tax gross-up column I and is not included in rate base</t>
  </si>
  <si>
    <t>PSE/various 165</t>
  </si>
  <si>
    <t>Reversal of Excess Deferred Taxes Plant Related</t>
  </si>
  <si>
    <t>Guzman Energy</t>
  </si>
  <si>
    <t>CP Energy Marketing</t>
  </si>
  <si>
    <t>Vitol, Inc.</t>
  </si>
  <si>
    <t>PSE/16502673</t>
  </si>
  <si>
    <t>Prepaid Applications</t>
  </si>
  <si>
    <t xml:space="preserve">Prepaid - Goldendale </t>
  </si>
  <si>
    <t>FERC 355 Poles and Fixtures (p.207.52.g)</t>
  </si>
  <si>
    <t>Article 512 - O&amp;M Bald Eagle Survey Fund</t>
  </si>
  <si>
    <t>Community Solar Olympia Center # Capital Fund</t>
  </si>
  <si>
    <t>5150 - Article 305 - Developed Recreation O&amp;M Fund</t>
  </si>
  <si>
    <t>Lease</t>
  </si>
  <si>
    <t xml:space="preserve">Other </t>
  </si>
  <si>
    <t>Non-Op</t>
  </si>
  <si>
    <t>Lease related</t>
  </si>
  <si>
    <t>Gas Related</t>
  </si>
  <si>
    <t>Plant Non-Utility</t>
  </si>
  <si>
    <t>Non-Utility</t>
  </si>
  <si>
    <t>E3537 TSM Sub Eq, Sumas OP-SMS</t>
  </si>
  <si>
    <t>Prepaid - Colstrip Gen</t>
  </si>
  <si>
    <t>Prepaid Powerex Capacity</t>
  </si>
  <si>
    <t>Other Electric Revenues - CEIP</t>
  </si>
  <si>
    <t>Landlord Incentives</t>
  </si>
  <si>
    <t>Article 516 # Mountain Goats Required Funding</t>
  </si>
  <si>
    <t>Pole Expense Accrual</t>
  </si>
  <si>
    <t>Excess/Deficient ADIT Reversal in 2024</t>
  </si>
  <si>
    <t>E3559 (GIF) Poles, Snoqualmie 1</t>
  </si>
  <si>
    <t>E3536 TSM Sta Eq, Encogen</t>
  </si>
  <si>
    <t>Additional Revenue from Redirect LT to ST</t>
  </si>
  <si>
    <t>Altop Energy Trading LLC</t>
  </si>
  <si>
    <t>BP Energy Company</t>
  </si>
  <si>
    <t>Shell Energy North America.</t>
  </si>
  <si>
    <t>Dynasty Power Inc.</t>
  </si>
  <si>
    <t>Morgan Stanley Capital Group, Inc</t>
  </si>
  <si>
    <t>Avangrid Renewable, LLC</t>
  </si>
  <si>
    <t>Powerex.</t>
  </si>
  <si>
    <t>Seattle City Light.</t>
  </si>
  <si>
    <t>TransAlta Energy.</t>
  </si>
  <si>
    <t>Turlock Irrigation Distric</t>
  </si>
  <si>
    <t>HollyFrontier Puget Sound</t>
  </si>
  <si>
    <t>Rainbow Energy Marketing Corporation</t>
  </si>
  <si>
    <t>5150 - Article 315 - LB Trail maintenan</t>
  </si>
  <si>
    <t>For 2023</t>
  </si>
  <si>
    <t>For 2024</t>
  </si>
  <si>
    <t>E3511 TSM Computer Hardware</t>
  </si>
  <si>
    <t>E3512 TSM Computer Software</t>
  </si>
  <si>
    <t>E3513 TSM Communication Equip</t>
  </si>
  <si>
    <t>E3536 TSM Sta Eq, Hopkins Ridge</t>
  </si>
  <si>
    <t>E355 TSM Poles, Colstrip 1-2 Com</t>
  </si>
  <si>
    <t>E3539 (GIF) Sta Eq, Beaver Creek</t>
  </si>
  <si>
    <t>Original Cost 12/31/2025</t>
  </si>
  <si>
    <t>Accumulated Depreciation 12/31/2025</t>
  </si>
  <si>
    <t>Net Plant 12/31/2025</t>
  </si>
  <si>
    <t>12/31/2024 Excess/Deficient ADIT Balance</t>
  </si>
  <si>
    <t>12/31/2025
Gross-Up on column (K)</t>
  </si>
  <si>
    <t>2025AU</t>
  </si>
  <si>
    <t>2024AU</t>
  </si>
  <si>
    <t>2023AU</t>
  </si>
  <si>
    <t>Rev Req</t>
  </si>
  <si>
    <t>2026AU</t>
  </si>
  <si>
    <t>MonthlyRate</t>
  </si>
  <si>
    <t>Article 316 - Forest Road Maintenance O&amp;M Fund</t>
  </si>
  <si>
    <t>Article 109 # Large Woody Debris Required Funding</t>
  </si>
  <si>
    <t>Other Miscellaneous Revenue</t>
  </si>
  <si>
    <t>Morgan Stanley Capital Group</t>
  </si>
  <si>
    <t>Citadel Energy Marketing LLC</t>
  </si>
  <si>
    <t>Mercuria Energy America</t>
  </si>
  <si>
    <t>Altop Energy Trading LLC.</t>
  </si>
  <si>
    <t>Citadel Energy Marketing LLC.</t>
  </si>
  <si>
    <t>NRG Business Marketing LLC</t>
  </si>
  <si>
    <t>MAG Energy Solution</t>
  </si>
  <si>
    <t>MAG Energy Solution.</t>
  </si>
  <si>
    <t>AMCOR Rigid Plastics</t>
  </si>
  <si>
    <t xml:space="preserve">Miscellaneous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</si>
</sst>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3">
    <numFmt numFmtId="5" formatCode="&quot;$&quot;#,##0_);\(&quot;$&quot;#,##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General_)"/>
    <numFmt numFmtId="166" formatCode="0.0000"/>
    <numFmt numFmtId="167" formatCode="_(&quot;$&quot;* #,##0_);_(&quot;$&quot;* \(#,##0\);_(&quot;$&quot;* &quot;-&quot;??_);_(@_)"/>
    <numFmt numFmtId="168" formatCode="0.000%"/>
    <numFmt numFmtId="169" formatCode="0.00000"/>
    <numFmt numFmtId="170" formatCode="&quot;$&quot;#,##0.00"/>
    <numFmt numFmtId="171" formatCode="0.0%"/>
    <numFmt numFmtId="172" formatCode="_(* #,##0.0000_);_(* \(#,##0.0000\);_(* &quot;-&quot;??_);_(@_)"/>
    <numFmt numFmtId="173" formatCode="0.0000%"/>
    <numFmt numFmtId="174" formatCode="0.00000%"/>
    <numFmt numFmtId="175" formatCode="_(* #,##0.000_);_(* \(#,##0.000\);_(* &quot;-&quot;??_);_(@_)"/>
    <numFmt numFmtId="176" formatCode="_(* #,##0.00000_);_(* \(#,##0.00000\);_(* &quot;-&quot;??_);_(@_)"/>
    <numFmt numFmtId="177" formatCode="_(* #,##0.000000_);_(* \(#,##0.000000\);_(* &quot;-&quot;??_);_(@_)"/>
    <numFmt numFmtId="178" formatCode=";;;\(@\)"/>
    <numFmt numFmtId="179" formatCode="&quot; &quot;&quot;$&quot;* #,##0.00&quot;/kw  &quot;"/>
    <numFmt numFmtId="180" formatCode="* #,##0&quot;  &quot;\ "/>
    <numFmt numFmtId="181" formatCode="_(* #,##0.0_);_(* \(#,##0.0\);_(* &quot;-&quot;??_);_(@_)"/>
    <numFmt numFmtId="182" formatCode="0.000000"/>
    <numFmt numFmtId="183" formatCode="[$-409]mmm\-yy;@"/>
    <numFmt numFmtId="184" formatCode="[$-409]mmmm\-yy;@"/>
    <numFmt numFmtId="185" formatCode="0.000"/>
    <numFmt numFmtId="186" formatCode="&quot;$&quot;#,##0"/>
    <numFmt numFmtId="187" formatCode="#,##0.00;\-#,##0.00;#,##0.00"/>
    <numFmt numFmtId="188" formatCode="###,000"/>
    <numFmt numFmtId="189" formatCode="* #,##0;* \(#,##0\);* &quot;-&quot;;_(@_)"/>
    <numFmt numFmtId="190" formatCode="* #,##0;* \(#,##0\);* &quot;—&quot;;_(@_)"/>
  </numFmts>
  <fonts count="174">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1"/>
      <color indexed="8"/>
      <name val="Calibri"/>
      <family val="2"/>
    </font>
    <font>
      <sz val="11"/>
      <color indexed="8"/>
      <name val="Calibri"/>
      <family val="2"/>
    </font>
    <font>
      <sz val="10"/>
      <name val="Arial"/>
      <family val="2"/>
    </font>
    <font>
      <b/>
      <sz val="10"/>
      <name val="Arial"/>
      <family val="2"/>
    </font>
    <font>
      <b/>
      <sz val="12"/>
      <name val="Arial"/>
      <family val="2"/>
    </font>
    <font>
      <sz val="10"/>
      <color indexed="10"/>
      <name val="Arial"/>
      <family val="2"/>
    </font>
    <font>
      <sz val="12"/>
      <name val="Arial"/>
      <family val="2"/>
    </font>
    <font>
      <sz val="10"/>
      <name val="Courier"/>
      <family val="3"/>
    </font>
    <font>
      <sz val="12"/>
      <color indexed="12"/>
      <name val="Arial"/>
      <family val="2"/>
    </font>
    <font>
      <b/>
      <sz val="12"/>
      <color indexed="10"/>
      <name val="Arial"/>
      <family val="2"/>
    </font>
    <font>
      <sz val="12"/>
      <color indexed="10"/>
      <name val="Arial"/>
      <family val="2"/>
    </font>
    <font>
      <b/>
      <sz val="10"/>
      <color indexed="10"/>
      <name val="Arial"/>
      <family val="2"/>
    </font>
    <font>
      <sz val="10"/>
      <name val="Arial"/>
      <family val="2"/>
    </font>
    <font>
      <sz val="12"/>
      <name val="Arial MT"/>
    </font>
    <font>
      <sz val="10"/>
      <color indexed="12"/>
      <name val="Arial"/>
      <family val="2"/>
    </font>
    <font>
      <b/>
      <sz val="14"/>
      <name val="Arial"/>
      <family val="2"/>
    </font>
    <font>
      <sz val="12"/>
      <color indexed="12"/>
      <name val="Helv"/>
    </font>
    <font>
      <sz val="12"/>
      <name val="Helv"/>
    </font>
    <font>
      <b/>
      <sz val="12"/>
      <name val="Helv"/>
    </font>
    <font>
      <sz val="12"/>
      <color indexed="13"/>
      <name val="Arial"/>
      <family val="2"/>
    </font>
    <font>
      <b/>
      <sz val="12"/>
      <color indexed="13"/>
      <name val="Arial"/>
      <family val="2"/>
    </font>
    <font>
      <b/>
      <sz val="12"/>
      <color indexed="13"/>
      <name val="Helv"/>
    </font>
    <font>
      <sz val="14"/>
      <name val="Arial"/>
      <family val="2"/>
    </font>
    <font>
      <sz val="12"/>
      <name val="Arial Narrow"/>
      <family val="2"/>
    </font>
    <font>
      <b/>
      <sz val="18"/>
      <name val="Arial"/>
      <family val="2"/>
    </font>
    <font>
      <b/>
      <i/>
      <sz val="10"/>
      <name val="Arial"/>
      <family val="2"/>
    </font>
    <font>
      <b/>
      <i/>
      <sz val="12"/>
      <name val="Arial"/>
      <family val="2"/>
    </font>
    <font>
      <b/>
      <i/>
      <sz val="12"/>
      <color indexed="14"/>
      <name val="Arial"/>
      <family val="2"/>
    </font>
    <font>
      <b/>
      <sz val="10"/>
      <color indexed="10"/>
      <name val="Arial Narrow"/>
      <family val="2"/>
    </font>
    <font>
      <sz val="10"/>
      <name val="Arial Narrow"/>
      <family val="2"/>
    </font>
    <font>
      <b/>
      <i/>
      <sz val="10"/>
      <color indexed="10"/>
      <name val="Arial"/>
      <family val="2"/>
    </font>
    <font>
      <b/>
      <sz val="10"/>
      <color indexed="14"/>
      <name val="Arial"/>
      <family val="2"/>
    </font>
    <font>
      <sz val="11"/>
      <name val="Arial"/>
      <family val="2"/>
    </font>
    <font>
      <b/>
      <sz val="10"/>
      <name val="Arial Narrow"/>
      <family val="2"/>
    </font>
    <font>
      <b/>
      <sz val="12"/>
      <color indexed="13"/>
      <name val="Helvetica"/>
      <family val="2"/>
    </font>
    <font>
      <sz val="14"/>
      <name val="Arial"/>
      <family val="2"/>
    </font>
    <font>
      <sz val="12"/>
      <color indexed="43"/>
      <name val="Arial"/>
      <family val="2"/>
    </font>
    <font>
      <sz val="10"/>
      <color indexed="10"/>
      <name val="Arial"/>
      <family val="2"/>
    </font>
    <font>
      <b/>
      <u/>
      <sz val="10"/>
      <name val="Arial"/>
      <family val="2"/>
    </font>
    <font>
      <b/>
      <sz val="11"/>
      <name val="Arial"/>
      <family val="2"/>
    </font>
    <font>
      <sz val="10"/>
      <color indexed="8"/>
      <name val="Arial"/>
      <family val="2"/>
    </font>
    <font>
      <sz val="10"/>
      <name val="Arial"/>
      <family val="2"/>
    </font>
    <font>
      <b/>
      <sz val="8"/>
      <name val="Arial"/>
      <family val="2"/>
    </font>
    <font>
      <sz val="8"/>
      <name val="Arial"/>
      <family val="2"/>
    </font>
    <font>
      <sz val="9"/>
      <name val="Arial Narrow"/>
      <family val="2"/>
    </font>
    <font>
      <sz val="8"/>
      <name val="Arial"/>
      <family val="2"/>
    </font>
    <font>
      <sz val="10"/>
      <color indexed="17"/>
      <name val="Arial"/>
      <family val="2"/>
    </font>
    <font>
      <sz val="10"/>
      <color indexed="17"/>
      <name val="Arial Narrow"/>
      <family val="2"/>
    </font>
    <font>
      <b/>
      <sz val="10"/>
      <color indexed="17"/>
      <name val="Arial Narrow"/>
      <family val="2"/>
    </font>
    <font>
      <sz val="10"/>
      <color indexed="17"/>
      <name val="Arial"/>
      <family val="2"/>
    </font>
    <font>
      <sz val="8"/>
      <color indexed="17"/>
      <name val="Arial"/>
      <family val="2"/>
    </font>
    <font>
      <sz val="10"/>
      <color indexed="10"/>
      <name val="Arial"/>
      <family val="2"/>
    </font>
    <font>
      <b/>
      <u/>
      <sz val="12"/>
      <name val="Arial"/>
      <family val="2"/>
    </font>
    <font>
      <b/>
      <sz val="12"/>
      <color indexed="12"/>
      <name val="Arial"/>
      <family val="2"/>
    </font>
    <font>
      <b/>
      <sz val="9"/>
      <color indexed="10"/>
      <name val="Arial"/>
      <family val="2"/>
    </font>
    <font>
      <sz val="12"/>
      <color indexed="36"/>
      <name val="Arial Narrow"/>
      <family val="2"/>
    </font>
    <font>
      <sz val="10"/>
      <color indexed="36"/>
      <name val="Arial Narrow"/>
      <family val="2"/>
    </font>
    <font>
      <sz val="12"/>
      <color indexed="17"/>
      <name val="Arial"/>
      <family val="2"/>
    </font>
    <font>
      <sz val="8"/>
      <name val="Arial"/>
      <family val="2"/>
    </font>
    <font>
      <sz val="10"/>
      <name val="Arial"/>
      <family val="2"/>
    </font>
    <font>
      <sz val="10"/>
      <color indexed="12"/>
      <name val="Arial"/>
      <family val="2"/>
    </font>
    <font>
      <u val="singleAccounting"/>
      <sz val="10"/>
      <name val="Times"/>
      <family val="1"/>
    </font>
    <font>
      <sz val="10"/>
      <name val="MS Sans Serif"/>
      <family val="2"/>
    </font>
    <font>
      <b/>
      <sz val="10"/>
      <name val="MS Sans Serif"/>
      <family val="2"/>
    </font>
    <font>
      <sz val="10"/>
      <color indexed="18"/>
      <name val="Arial"/>
      <family val="2"/>
    </font>
    <font>
      <sz val="9"/>
      <name val="Arial"/>
      <family val="2"/>
    </font>
    <font>
      <sz val="12"/>
      <color indexed="10"/>
      <name val="Arial"/>
      <family val="2"/>
    </font>
    <font>
      <sz val="8"/>
      <name val="Arial"/>
      <family val="2"/>
    </font>
    <font>
      <b/>
      <sz val="10"/>
      <color indexed="8"/>
      <name val="Arial"/>
      <family val="2"/>
    </font>
    <font>
      <sz val="10"/>
      <color indexed="8"/>
      <name val="Arial"/>
      <family val="2"/>
    </font>
    <font>
      <b/>
      <u/>
      <sz val="10"/>
      <color indexed="8"/>
      <name val="Arial"/>
      <family val="2"/>
    </font>
    <font>
      <b/>
      <u/>
      <sz val="11"/>
      <color indexed="8"/>
      <name val="Calibri"/>
      <family val="2"/>
    </font>
    <font>
      <sz val="11"/>
      <name val="Calibri"/>
      <family val="2"/>
    </font>
    <font>
      <sz val="11"/>
      <color indexed="8"/>
      <name val="Calibri"/>
      <family val="2"/>
    </font>
    <font>
      <b/>
      <i/>
      <sz val="14"/>
      <name val="Arial Narrow"/>
      <family val="2"/>
    </font>
    <font>
      <i/>
      <sz val="10"/>
      <name val="Arial"/>
      <family val="2"/>
    </font>
    <font>
      <b/>
      <i/>
      <sz val="11"/>
      <name val="Arial Narrow"/>
      <family val="2"/>
    </font>
    <font>
      <b/>
      <sz val="9"/>
      <name val="Arial Narrow"/>
      <family val="2"/>
    </font>
    <font>
      <sz val="9"/>
      <color indexed="10"/>
      <name val="Arial Narrow"/>
      <family val="2"/>
    </font>
    <font>
      <b/>
      <sz val="9"/>
      <color indexed="10"/>
      <name val="Arial Narrow"/>
      <family val="2"/>
    </font>
    <font>
      <b/>
      <i/>
      <sz val="12"/>
      <name val="Arial Narrow"/>
      <family val="2"/>
    </font>
    <font>
      <sz val="10"/>
      <name val="Arial"/>
      <family val="2"/>
    </font>
    <font>
      <sz val="10"/>
      <color indexed="9"/>
      <name val="Arial"/>
      <family val="2"/>
    </font>
    <font>
      <u/>
      <sz val="8"/>
      <name val="Arial"/>
      <family val="2"/>
    </font>
    <font>
      <sz val="14"/>
      <name val="Arial Narrow"/>
      <family val="2"/>
    </font>
    <font>
      <b/>
      <sz val="14"/>
      <color indexed="10"/>
      <name val="Arial Narrow"/>
      <family val="2"/>
    </font>
    <font>
      <b/>
      <sz val="14"/>
      <name val="Arial Narrow"/>
      <family val="2"/>
    </font>
    <font>
      <sz val="11"/>
      <color indexed="9"/>
      <name val="Calibri"/>
      <family val="2"/>
    </font>
    <font>
      <sz val="11"/>
      <color indexed="20"/>
      <name val="Calibri"/>
      <family val="2"/>
    </font>
    <font>
      <b/>
      <sz val="11"/>
      <color indexed="9"/>
      <name val="Calibri"/>
      <family val="2"/>
    </font>
    <font>
      <i/>
      <sz val="11"/>
      <color indexed="23"/>
      <name val="Calibri"/>
      <family val="2"/>
    </font>
    <font>
      <sz val="11"/>
      <color indexed="62"/>
      <name val="Calibri"/>
      <family val="2"/>
    </font>
    <font>
      <sz val="11"/>
      <color indexed="10"/>
      <name val="Calibri"/>
      <family val="2"/>
    </font>
    <font>
      <b/>
      <sz val="11"/>
      <color indexed="63"/>
      <name val="Calibri"/>
      <family val="2"/>
    </font>
    <font>
      <b/>
      <sz val="11"/>
      <color indexed="8"/>
      <name val="Calibri"/>
      <family val="2"/>
    </font>
    <font>
      <sz val="10"/>
      <color indexed="10"/>
      <name val="Arial"/>
      <family val="2"/>
    </font>
    <font>
      <sz val="11"/>
      <name val="Arial"/>
      <family val="2"/>
    </font>
    <font>
      <sz val="9"/>
      <name val="Arial"/>
      <family val="2"/>
    </font>
    <font>
      <b/>
      <sz val="10"/>
      <color indexed="17"/>
      <name val="Arial"/>
      <family val="2"/>
    </font>
    <font>
      <b/>
      <sz val="11"/>
      <color indexed="52"/>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52"/>
      <name val="Calibri"/>
      <family val="2"/>
    </font>
    <font>
      <sz val="11"/>
      <color indexed="60"/>
      <name val="Calibri"/>
      <family val="2"/>
    </font>
    <font>
      <sz val="12"/>
      <name val="SWISS"/>
    </font>
    <font>
      <b/>
      <sz val="18"/>
      <color indexed="56"/>
      <name val="Cambria"/>
      <family val="2"/>
    </font>
    <font>
      <u/>
      <sz val="10"/>
      <name val="Arial"/>
      <family val="2"/>
    </font>
    <font>
      <sz val="10"/>
      <color indexed="10"/>
      <name val="Arial"/>
      <family val="2"/>
    </font>
    <font>
      <vertAlign val="superscript"/>
      <sz val="12"/>
      <name val="Arial"/>
      <family val="2"/>
    </font>
    <font>
      <u/>
      <vertAlign val="superscript"/>
      <sz val="12"/>
      <name val="Arial"/>
      <family val="2"/>
    </font>
    <font>
      <u/>
      <sz val="12"/>
      <name val="Arial"/>
      <family val="2"/>
    </font>
    <font>
      <sz val="10"/>
      <name val="Segoe UI"/>
      <family val="2"/>
    </font>
    <font>
      <b/>
      <i/>
      <sz val="12"/>
      <name val="Arial"/>
      <family val="2"/>
    </font>
    <font>
      <sz val="10"/>
      <name val="Arial"/>
      <family val="2"/>
    </font>
    <font>
      <b/>
      <sz val="10"/>
      <name val="Helv"/>
    </font>
    <font>
      <sz val="10"/>
      <name val="Arial"/>
      <family val="2"/>
    </font>
    <font>
      <sz val="9"/>
      <color indexed="11"/>
      <name val="Arial Narrow"/>
      <family val="2"/>
    </font>
    <font>
      <b/>
      <sz val="9"/>
      <color indexed="11"/>
      <name val="Arial Narrow"/>
      <family val="2"/>
    </font>
    <font>
      <sz val="10"/>
      <color indexed="11"/>
      <name val="Arial"/>
      <family val="2"/>
    </font>
    <font>
      <sz val="9"/>
      <color indexed="56"/>
      <name val="Arial Narrow"/>
      <family val="2"/>
    </font>
    <font>
      <b/>
      <sz val="14"/>
      <color indexed="12"/>
      <name val="Arial"/>
      <family val="2"/>
    </font>
    <font>
      <sz val="11"/>
      <color theme="1"/>
      <name val="Calibri"/>
      <family val="2"/>
      <scheme val="minor"/>
    </font>
    <font>
      <sz val="11"/>
      <color theme="1"/>
      <name val="Arial Narrow"/>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rgb="FFFF0000"/>
      <name val="Arial"/>
      <family val="2"/>
    </font>
    <font>
      <b/>
      <sz val="10"/>
      <color rgb="FFFF0000"/>
      <name val="Arial"/>
      <family val="2"/>
    </font>
    <font>
      <sz val="10"/>
      <color rgb="FF000000"/>
      <name val="Arial"/>
      <family val="2"/>
    </font>
    <font>
      <b/>
      <sz val="10"/>
      <color rgb="FFFF0000"/>
      <name val="Arial Narrow"/>
      <family val="2"/>
    </font>
    <font>
      <b/>
      <sz val="8"/>
      <color rgb="FFFF0000"/>
      <name val="Arial"/>
      <family val="2"/>
    </font>
    <font>
      <b/>
      <sz val="9"/>
      <color rgb="FF7030A0"/>
      <name val="Arial Narrow"/>
      <family val="2"/>
    </font>
    <font>
      <b/>
      <sz val="10"/>
      <color rgb="FF7030A0"/>
      <name val="Arial"/>
      <family val="2"/>
    </font>
    <font>
      <sz val="10"/>
      <name val="Arial"/>
      <family val="2"/>
    </font>
    <font>
      <sz val="8"/>
      <color theme="1"/>
      <name val="Arial"/>
      <family val="2"/>
    </font>
    <font>
      <b/>
      <u/>
      <sz val="9"/>
      <name val="Arial Narrow"/>
      <family val="2"/>
    </font>
    <font>
      <b/>
      <sz val="12"/>
      <name val="Arial Narrow"/>
      <family val="2"/>
    </font>
    <font>
      <sz val="9"/>
      <color rgb="FFFF0000"/>
      <name val="Arial Narrow"/>
      <family val="2"/>
    </font>
    <font>
      <b/>
      <sz val="9"/>
      <color rgb="FFFF0000"/>
      <name val="Arial Narrow"/>
      <family val="2"/>
    </font>
    <font>
      <sz val="10"/>
      <color indexed="10"/>
      <name val="Arial Narrow"/>
      <family val="2"/>
    </font>
    <font>
      <sz val="14"/>
      <color theme="1"/>
      <name val="Calibri"/>
      <family val="2"/>
      <scheme val="minor"/>
    </font>
    <font>
      <sz val="8"/>
      <color rgb="FF000000"/>
      <name val="Verdana"/>
      <family val="2"/>
    </font>
    <font>
      <sz val="8"/>
      <color rgb="FF1F497D"/>
      <name val="Verdana"/>
      <family val="2"/>
    </font>
    <font>
      <sz val="10"/>
      <color theme="1"/>
      <name val="Arial"/>
      <family val="2"/>
    </font>
    <font>
      <sz val="8"/>
      <color rgb="FF000000"/>
      <name val="Arial"/>
      <family val="2"/>
    </font>
    <font>
      <b/>
      <sz val="14"/>
      <color theme="1"/>
      <name val="Arial"/>
      <family val="2"/>
    </font>
    <font>
      <b/>
      <sz val="12"/>
      <color theme="1"/>
      <name val="Arial"/>
      <family val="2"/>
    </font>
    <font>
      <b/>
      <u/>
      <sz val="10"/>
      <color theme="1"/>
      <name val="Arial"/>
      <family val="2"/>
    </font>
    <font>
      <b/>
      <sz val="10"/>
      <color theme="1"/>
      <name val="Arial"/>
      <family val="2"/>
    </font>
    <font>
      <sz val="8"/>
      <color theme="1"/>
      <name val="Calibri"/>
      <family val="2"/>
      <scheme val="minor"/>
    </font>
    <font>
      <sz val="11"/>
      <name val="Arial Narrow"/>
      <family val="2"/>
    </font>
    <font>
      <b/>
      <sz val="11"/>
      <name val="Arial Narrow"/>
      <family val="2"/>
    </font>
  </fonts>
  <fills count="74">
    <fill>
      <patternFill patternType="none"/>
    </fill>
    <fill>
      <patternFill patternType="gray125"/>
    </fill>
    <fill>
      <patternFill patternType="solid">
        <fgColor indexed="44"/>
      </patternFill>
    </fill>
    <fill>
      <patternFill patternType="solid">
        <fgColor indexed="31"/>
      </patternFill>
    </fill>
    <fill>
      <patternFill patternType="solid">
        <fgColor indexed="29"/>
      </patternFill>
    </fill>
    <fill>
      <patternFill patternType="solid">
        <fgColor indexed="45"/>
      </patternFill>
    </fill>
    <fill>
      <patternFill patternType="solid">
        <fgColor indexed="26"/>
      </patternFill>
    </fill>
    <fill>
      <patternFill patternType="solid">
        <fgColor indexed="42"/>
      </patternFill>
    </fill>
    <fill>
      <patternFill patternType="solid">
        <fgColor indexed="47"/>
      </patternFill>
    </fill>
    <fill>
      <patternFill patternType="solid">
        <fgColor indexed="46"/>
      </patternFill>
    </fill>
    <fill>
      <patternFill patternType="solid">
        <fgColor indexed="27"/>
      </patternFill>
    </fill>
    <fill>
      <patternFill patternType="solid">
        <fgColor indexed="11"/>
      </patternFill>
    </fill>
    <fill>
      <patternFill patternType="solid">
        <fgColor indexed="22"/>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9"/>
        <bgColor indexed="9"/>
      </patternFill>
    </fill>
    <fill>
      <patternFill patternType="solid">
        <fgColor indexed="43"/>
      </patternFill>
    </fill>
    <fill>
      <patternFill patternType="mediumGray">
        <fgColor indexed="22"/>
      </patternFill>
    </fill>
    <fill>
      <patternFill patternType="solid">
        <fgColor indexed="31"/>
        <bgColor indexed="64"/>
      </patternFill>
    </fill>
    <fill>
      <patternFill patternType="solid">
        <fgColor indexed="35"/>
        <bgColor indexed="64"/>
      </patternFill>
    </fill>
    <fill>
      <patternFill patternType="solid">
        <fgColor indexed="26"/>
        <bgColor indexed="9"/>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9"/>
        <bgColor indexed="64"/>
      </patternFill>
    </fill>
    <fill>
      <patternFill patternType="solid">
        <fgColor indexed="47"/>
        <bgColor indexed="64"/>
      </patternFill>
    </fill>
    <fill>
      <patternFill patternType="solid">
        <fgColor indexed="13"/>
        <bgColor indexed="64"/>
      </patternFill>
    </fill>
    <fill>
      <patternFill patternType="solid">
        <fgColor indexed="3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86"/>
        <bgColor indexed="64"/>
      </patternFill>
    </fill>
    <fill>
      <patternFill patternType="solid">
        <fgColor rgb="FFB7CFE8"/>
        <bgColor rgb="FF000000"/>
      </patternFill>
    </fill>
    <fill>
      <patternFill patternType="solid">
        <fgColor rgb="FFFFFF99"/>
        <bgColor indexed="64"/>
      </patternFill>
    </fill>
    <fill>
      <patternFill patternType="solid">
        <fgColor rgb="FFFFFFFF"/>
        <bgColor indexed="64"/>
      </patternFill>
    </fill>
  </fills>
  <borders count="8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62"/>
      </top>
      <bottom style="double">
        <color indexed="62"/>
      </bottom>
      <diagonal/>
    </border>
    <border>
      <left/>
      <right/>
      <top style="thin">
        <color indexed="64"/>
      </top>
      <bottom/>
      <diagonal/>
    </border>
    <border>
      <left/>
      <right/>
      <top style="thin">
        <color indexed="64"/>
      </top>
      <bottom style="double">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bottom style="double">
        <color indexed="64"/>
      </bottom>
      <diagonal/>
    </border>
    <border>
      <left/>
      <right/>
      <top/>
      <bottom style="double">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style="medium">
        <color indexed="64"/>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59996337778862885"/>
      </left>
      <right style="thin">
        <color theme="3" tint="0.59996337778862885"/>
      </right>
      <top style="thin">
        <color theme="3" tint="0.59996337778862885"/>
      </top>
      <bottom style="thin">
        <color theme="3" tint="0.59996337778862885"/>
      </bottom>
      <diagonal/>
    </border>
  </borders>
  <cellStyleXfs count="1159">
    <xf numFmtId="0" fontId="0" fillId="0"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5"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9"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2"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5" fillId="13" borderId="0" applyNumberFormat="0" applyBorder="0" applyAlignment="0" applyProtection="0"/>
    <xf numFmtId="0" fontId="93" fillId="14" borderId="0" applyNumberFormat="0" applyBorder="0" applyAlignment="0" applyProtection="0"/>
    <xf numFmtId="0" fontId="93" fillId="4" borderId="0" applyNumberFormat="0" applyBorder="0" applyAlignment="0" applyProtection="0"/>
    <xf numFmtId="0" fontId="93" fillId="11"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17" borderId="0" applyNumberFormat="0" applyBorder="0" applyAlignment="0" applyProtection="0"/>
    <xf numFmtId="0" fontId="93" fillId="18" borderId="0" applyNumberFormat="0" applyBorder="0" applyAlignment="0" applyProtection="0"/>
    <xf numFmtId="0" fontId="93" fillId="19" borderId="0" applyNumberFormat="0" applyBorder="0" applyAlignment="0" applyProtection="0"/>
    <xf numFmtId="0" fontId="93" fillId="20" borderId="0" applyNumberFormat="0" applyBorder="0" applyAlignment="0" applyProtection="0"/>
    <xf numFmtId="0" fontId="93" fillId="15" borderId="0" applyNumberFormat="0" applyBorder="0" applyAlignment="0" applyProtection="0"/>
    <xf numFmtId="0" fontId="93" fillId="16" borderId="0" applyNumberFormat="0" applyBorder="0" applyAlignment="0" applyProtection="0"/>
    <xf numFmtId="0" fontId="93" fillId="21" borderId="0" applyNumberFormat="0" applyBorder="0" applyAlignment="0" applyProtection="0"/>
    <xf numFmtId="0" fontId="94" fillId="5" borderId="0" applyNumberFormat="0" applyBorder="0" applyAlignment="0" applyProtection="0"/>
    <xf numFmtId="0" fontId="105" fillId="12" borderId="1" applyNumberFormat="0" applyAlignment="0" applyProtection="0"/>
    <xf numFmtId="0" fontId="95" fillId="22" borderId="2" applyNumberFormat="0" applyAlignment="0" applyProtection="0"/>
    <xf numFmtId="178" fontId="67" fillId="0" borderId="0">
      <alignment horizontal="center" wrapText="1"/>
    </xf>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1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47"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7"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3" fontId="8" fillId="23" borderId="0" applyFont="0" applyFill="0" applyBorder="0" applyAlignment="0" applyProtection="0"/>
    <xf numFmtId="0" fontId="8" fillId="0" borderId="3"/>
    <xf numFmtId="179" fontId="12" fillId="0" borderId="0">
      <protection locked="0"/>
    </xf>
    <xf numFmtId="44" fontId="8" fillId="0" borderId="0" applyFont="0" applyFill="0" applyBorder="0" applyAlignment="0" applyProtection="0"/>
    <xf numFmtId="44" fontId="1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6" fillId="0" borderId="0" applyFont="0" applyFill="0" applyBorder="0" applyAlignment="0" applyProtection="0"/>
    <xf numFmtId="5" fontId="8" fillId="23" borderId="0" applyFont="0" applyFill="0" applyBorder="0" applyAlignment="0" applyProtection="0"/>
    <xf numFmtId="0" fontId="8" fillId="23" borderId="0" applyFont="0" applyFill="0" applyBorder="0" applyAlignment="0" applyProtection="0"/>
    <xf numFmtId="0" fontId="96" fillId="0" borderId="0" applyNumberFormat="0" applyFill="0" applyBorder="0" applyAlignment="0" applyProtection="0"/>
    <xf numFmtId="2" fontId="8" fillId="23" borderId="0" applyFont="0" applyFill="0" applyBorder="0" applyAlignment="0" applyProtection="0"/>
    <xf numFmtId="0" fontId="106" fillId="7" borderId="0" applyNumberFormat="0" applyBorder="0" applyAlignment="0" applyProtection="0"/>
    <xf numFmtId="0" fontId="107" fillId="0" borderId="4" applyNumberFormat="0" applyFill="0" applyAlignment="0" applyProtection="0"/>
    <xf numFmtId="0" fontId="108" fillId="0" borderId="5" applyNumberFormat="0" applyFill="0" applyAlignment="0" applyProtection="0"/>
    <xf numFmtId="0" fontId="109" fillId="0" borderId="6" applyNumberFormat="0" applyFill="0" applyAlignment="0" applyProtection="0"/>
    <xf numFmtId="0" fontId="109" fillId="0" borderId="0" applyNumberFormat="0" applyFill="0" applyBorder="0" applyAlignment="0" applyProtection="0"/>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0" fontId="97" fillId="8" borderId="1" applyNumberFormat="0" applyAlignment="0" applyProtection="0"/>
    <xf numFmtId="180" fontId="12" fillId="0" borderId="0">
      <alignment horizontal="center"/>
      <protection locked="0"/>
    </xf>
    <xf numFmtId="0" fontId="111" fillId="0" borderId="7" applyNumberFormat="0" applyFill="0" applyAlignment="0" applyProtection="0"/>
    <xf numFmtId="0" fontId="112" fillId="24" borderId="0" applyNumberFormat="0" applyBorder="0" applyAlignment="0" applyProtection="0"/>
    <xf numFmtId="0" fontId="6" fillId="0" borderId="0"/>
    <xf numFmtId="0" fontId="8" fillId="0" borderId="0"/>
    <xf numFmtId="0" fontId="8" fillId="0" borderId="0"/>
    <xf numFmtId="0" fontId="8" fillId="0" borderId="0"/>
    <xf numFmtId="0" fontId="8" fillId="0" borderId="0"/>
    <xf numFmtId="0" fontId="6" fillId="0" borderId="0"/>
    <xf numFmtId="0" fontId="8" fillId="0" borderId="0"/>
    <xf numFmtId="0" fontId="5" fillId="0" borderId="0"/>
    <xf numFmtId="0" fontId="6" fillId="0" borderId="0"/>
    <xf numFmtId="0" fontId="5" fillId="0" borderId="0"/>
    <xf numFmtId="0" fontId="5" fillId="0" borderId="0"/>
    <xf numFmtId="0" fontId="8" fillId="0" borderId="0"/>
    <xf numFmtId="0" fontId="5" fillId="0" borderId="0"/>
    <xf numFmtId="0" fontId="6" fillId="0" borderId="0"/>
    <xf numFmtId="0" fontId="6" fillId="0" borderId="0"/>
    <xf numFmtId="183" fontId="8" fillId="0" borderId="0"/>
    <xf numFmtId="0" fontId="5" fillId="0" borderId="0"/>
    <xf numFmtId="183" fontId="8" fillId="0" borderId="0"/>
    <xf numFmtId="0" fontId="5" fillId="0" borderId="0"/>
    <xf numFmtId="0" fontId="113" fillId="0" borderId="0"/>
    <xf numFmtId="0" fontId="8" fillId="0" borderId="0"/>
    <xf numFmtId="0" fontId="18" fillId="0" borderId="0"/>
    <xf numFmtId="0" fontId="18" fillId="0" borderId="0"/>
    <xf numFmtId="0" fontId="8" fillId="0" borderId="0"/>
    <xf numFmtId="0" fontId="8" fillId="0" borderId="0"/>
    <xf numFmtId="183" fontId="8" fillId="0" borderId="0"/>
    <xf numFmtId="183"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131" fillId="0" borderId="0"/>
    <xf numFmtId="0" fontId="6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8" fillId="0" borderId="0"/>
    <xf numFmtId="0" fontId="8" fillId="0" borderId="0"/>
    <xf numFmtId="0" fontId="130" fillId="0" borderId="0"/>
    <xf numFmtId="0" fontId="8" fillId="0" borderId="0"/>
    <xf numFmtId="0" fontId="8" fillId="0" borderId="0"/>
    <xf numFmtId="0" fontId="8" fillId="0" borderId="0"/>
    <xf numFmtId="0" fontId="5" fillId="0" borderId="0"/>
    <xf numFmtId="0" fontId="130"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165" fontId="13"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0" fontId="6" fillId="0" borderId="0"/>
    <xf numFmtId="0" fontId="6" fillId="0" borderId="0"/>
    <xf numFmtId="0" fontId="8" fillId="0" borderId="0"/>
    <xf numFmtId="0" fontId="5" fillId="0" borderId="0"/>
    <xf numFmtId="0" fontId="8" fillId="0" borderId="0"/>
    <xf numFmtId="0" fontId="8" fillId="0" borderId="0"/>
    <xf numFmtId="39" fontId="13" fillId="0" borderId="0"/>
    <xf numFmtId="170" fontId="19" fillId="0" borderId="0" applyProtection="0"/>
    <xf numFmtId="39" fontId="13" fillId="0" borderId="0"/>
    <xf numFmtId="0" fontId="8" fillId="0" borderId="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8"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49" fillId="6" borderId="8" applyNumberFormat="0" applyFont="0" applyAlignment="0" applyProtection="0"/>
    <xf numFmtId="0" fontId="99" fillId="12" borderId="9" applyNumberFormat="0" applyAlignment="0" applyProtection="0"/>
    <xf numFmtId="9" fontId="8" fillId="0" borderId="0" applyFont="0" applyFill="0" applyBorder="0" applyAlignment="0" applyProtection="0"/>
    <xf numFmtId="9" fontId="1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47" fillId="0" borderId="0" applyFont="0" applyFill="0" applyBorder="0" applyAlignment="0" applyProtection="0"/>
    <xf numFmtId="9" fontId="8" fillId="0" borderId="0" applyFont="0" applyFill="0" applyBorder="0" applyAlignment="0" applyProtection="0"/>
    <xf numFmtId="9" fontId="6"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68" fillId="0" borderId="0" applyNumberFormat="0" applyFont="0" applyFill="0" applyBorder="0" applyAlignment="0" applyProtection="0">
      <alignment horizontal="left"/>
    </xf>
    <xf numFmtId="15" fontId="68" fillId="0" borderId="0" applyFont="0" applyFill="0" applyBorder="0" applyAlignment="0" applyProtection="0"/>
    <xf numFmtId="4" fontId="68" fillId="0" borderId="0" applyFont="0" applyFill="0" applyBorder="0" applyAlignment="0" applyProtection="0"/>
    <xf numFmtId="0" fontId="69" fillId="0" borderId="10">
      <alignment horizontal="center"/>
    </xf>
    <xf numFmtId="3" fontId="68" fillId="0" borderId="0" applyFont="0" applyFill="0" applyBorder="0" applyAlignment="0" applyProtection="0"/>
    <xf numFmtId="0" fontId="68" fillId="25" borderId="0" applyNumberFormat="0" applyFont="0" applyBorder="0" applyAlignment="0" applyProtection="0"/>
    <xf numFmtId="0" fontId="8" fillId="26" borderId="9" applyNumberFormat="0" applyProtection="0">
      <alignment horizontal="left" vertical="center" indent="1"/>
    </xf>
    <xf numFmtId="4" fontId="46" fillId="27" borderId="9" applyNumberFormat="0" applyProtection="0">
      <alignment horizontal="right" vertical="center"/>
    </xf>
    <xf numFmtId="0" fontId="8" fillId="26" borderId="9" applyNumberFormat="0" applyProtection="0">
      <alignment horizontal="left" vertical="center" indent="1"/>
    </xf>
    <xf numFmtId="0" fontId="8" fillId="26" borderId="9" applyNumberFormat="0" applyProtection="0">
      <alignment horizontal="left" vertical="center" indent="1"/>
    </xf>
    <xf numFmtId="0" fontId="21" fillId="28" borderId="0"/>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182" fontId="8" fillId="0" borderId="0">
      <alignment horizontal="left" wrapText="1"/>
    </xf>
    <xf numFmtId="0" fontId="8" fillId="29" borderId="3" applyNumberFormat="0" applyFont="0" applyAlignment="0"/>
    <xf numFmtId="0" fontId="114" fillId="0" borderId="0" applyNumberFormat="0" applyFill="0" applyBorder="0" applyAlignment="0" applyProtection="0"/>
    <xf numFmtId="0" fontId="100" fillId="0" borderId="11" applyNumberFormat="0" applyFill="0" applyAlignment="0" applyProtection="0"/>
    <xf numFmtId="0" fontId="98" fillId="0" borderId="0" applyNumberFormat="0" applyFill="0" applyBorder="0" applyAlignment="0" applyProtection="0"/>
    <xf numFmtId="0" fontId="132" fillId="0" borderId="0" applyNumberFormat="0" applyFill="0" applyBorder="0" applyAlignment="0" applyProtection="0"/>
    <xf numFmtId="0" fontId="133" fillId="0" borderId="72" applyNumberFormat="0" applyFill="0" applyAlignment="0" applyProtection="0"/>
    <xf numFmtId="0" fontId="134" fillId="0" borderId="73" applyNumberFormat="0" applyFill="0" applyAlignment="0" applyProtection="0"/>
    <xf numFmtId="0" fontId="135" fillId="0" borderId="74" applyNumberFormat="0" applyFill="0" applyAlignment="0" applyProtection="0"/>
    <xf numFmtId="0" fontId="135" fillId="0" borderId="0" applyNumberFormat="0" applyFill="0" applyBorder="0" applyAlignment="0" applyProtection="0"/>
    <xf numFmtId="0" fontId="136" fillId="38" borderId="0" applyNumberFormat="0" applyBorder="0" applyAlignment="0" applyProtection="0"/>
    <xf numFmtId="0" fontId="137" fillId="39" borderId="0" applyNumberFormat="0" applyBorder="0" applyAlignment="0" applyProtection="0"/>
    <xf numFmtId="0" fontId="138" fillId="40" borderId="0" applyNumberFormat="0" applyBorder="0" applyAlignment="0" applyProtection="0"/>
    <xf numFmtId="0" fontId="139" fillId="41" borderId="75" applyNumberFormat="0" applyAlignment="0" applyProtection="0"/>
    <xf numFmtId="0" fontId="140" fillId="42" borderId="76" applyNumberFormat="0" applyAlignment="0" applyProtection="0"/>
    <xf numFmtId="0" fontId="141" fillId="42" borderId="75" applyNumberFormat="0" applyAlignment="0" applyProtection="0"/>
    <xf numFmtId="0" fontId="142" fillId="0" borderId="77" applyNumberFormat="0" applyFill="0" applyAlignment="0" applyProtection="0"/>
    <xf numFmtId="0" fontId="143" fillId="43" borderId="78" applyNumberFormat="0" applyAlignment="0" applyProtection="0"/>
    <xf numFmtId="0" fontId="144" fillId="0" borderId="0" applyNumberFormat="0" applyFill="0" applyBorder="0" applyAlignment="0" applyProtection="0"/>
    <xf numFmtId="0" fontId="145" fillId="0" borderId="0" applyNumberFormat="0" applyFill="0" applyBorder="0" applyAlignment="0" applyProtection="0"/>
    <xf numFmtId="0" fontId="146" fillId="0" borderId="80" applyNumberFormat="0" applyFill="0" applyAlignment="0" applyProtection="0"/>
    <xf numFmtId="0" fontId="147" fillId="45" borderId="0" applyNumberFormat="0" applyBorder="0" applyAlignment="0" applyProtection="0"/>
    <xf numFmtId="0" fontId="4" fillId="46" borderId="0" applyNumberFormat="0" applyBorder="0" applyAlignment="0" applyProtection="0"/>
    <xf numFmtId="0" fontId="4" fillId="47" borderId="0" applyNumberFormat="0" applyBorder="0" applyAlignment="0" applyProtection="0"/>
    <xf numFmtId="0" fontId="147" fillId="48" borderId="0" applyNumberFormat="0" applyBorder="0" applyAlignment="0" applyProtection="0"/>
    <xf numFmtId="0" fontId="147" fillId="49" borderId="0" applyNumberFormat="0" applyBorder="0" applyAlignment="0" applyProtection="0"/>
    <xf numFmtId="0" fontId="4" fillId="50" borderId="0" applyNumberFormat="0" applyBorder="0" applyAlignment="0" applyProtection="0"/>
    <xf numFmtId="0" fontId="4" fillId="51" borderId="0" applyNumberFormat="0" applyBorder="0" applyAlignment="0" applyProtection="0"/>
    <xf numFmtId="0" fontId="147" fillId="52" borderId="0" applyNumberFormat="0" applyBorder="0" applyAlignment="0" applyProtection="0"/>
    <xf numFmtId="0" fontId="147" fillId="53" borderId="0" applyNumberFormat="0" applyBorder="0" applyAlignment="0" applyProtection="0"/>
    <xf numFmtId="0" fontId="4" fillId="54" borderId="0" applyNumberFormat="0" applyBorder="0" applyAlignment="0" applyProtection="0"/>
    <xf numFmtId="0" fontId="4" fillId="55" borderId="0" applyNumberFormat="0" applyBorder="0" applyAlignment="0" applyProtection="0"/>
    <xf numFmtId="0" fontId="147" fillId="56" borderId="0" applyNumberFormat="0" applyBorder="0" applyAlignment="0" applyProtection="0"/>
    <xf numFmtId="0" fontId="147" fillId="57" borderId="0" applyNumberFormat="0" applyBorder="0" applyAlignment="0" applyProtection="0"/>
    <xf numFmtId="0" fontId="4" fillId="58" borderId="0" applyNumberFormat="0" applyBorder="0" applyAlignment="0" applyProtection="0"/>
    <xf numFmtId="0" fontId="4" fillId="59" borderId="0" applyNumberFormat="0" applyBorder="0" applyAlignment="0" applyProtection="0"/>
    <xf numFmtId="0" fontId="147" fillId="60" borderId="0" applyNumberFormat="0" applyBorder="0" applyAlignment="0" applyProtection="0"/>
    <xf numFmtId="0" fontId="147" fillId="61" borderId="0" applyNumberFormat="0" applyBorder="0" applyAlignment="0" applyProtection="0"/>
    <xf numFmtId="0" fontId="4" fillId="62" borderId="0" applyNumberFormat="0" applyBorder="0" applyAlignment="0" applyProtection="0"/>
    <xf numFmtId="0" fontId="4" fillId="63" borderId="0" applyNumberFormat="0" applyBorder="0" applyAlignment="0" applyProtection="0"/>
    <xf numFmtId="0" fontId="147" fillId="64" borderId="0" applyNumberFormat="0" applyBorder="0" applyAlignment="0" applyProtection="0"/>
    <xf numFmtId="0" fontId="147" fillId="65" borderId="0" applyNumberFormat="0" applyBorder="0" applyAlignment="0" applyProtection="0"/>
    <xf numFmtId="0" fontId="4" fillId="66" borderId="0" applyNumberFormat="0" applyBorder="0" applyAlignment="0" applyProtection="0"/>
    <xf numFmtId="0" fontId="4" fillId="67" borderId="0" applyNumberFormat="0" applyBorder="0" applyAlignment="0" applyProtection="0"/>
    <xf numFmtId="0" fontId="147" fillId="68" borderId="0" applyNumberFormat="0" applyBorder="0" applyAlignment="0" applyProtection="0"/>
    <xf numFmtId="0" fontId="4" fillId="0" borderId="0"/>
    <xf numFmtId="43" fontId="4" fillId="0" borderId="0" applyFont="0" applyFill="0" applyBorder="0" applyAlignment="0" applyProtection="0"/>
    <xf numFmtId="43" fontId="8"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4" fontId="8" fillId="0" borderId="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4" fillId="0" borderId="0"/>
    <xf numFmtId="0" fontId="4" fillId="0" borderId="0"/>
    <xf numFmtId="0" fontId="5" fillId="0" borderId="0"/>
    <xf numFmtId="0" fontId="5" fillId="0" borderId="0"/>
    <xf numFmtId="0" fontId="5" fillId="0" borderId="0"/>
    <xf numFmtId="0" fontId="5" fillId="0" borderId="0"/>
    <xf numFmtId="0" fontId="5" fillId="0" borderId="0"/>
    <xf numFmtId="0" fontId="4" fillId="44" borderId="79" applyNumberFormat="0" applyFont="0" applyAlignment="0" applyProtection="0"/>
    <xf numFmtId="0" fontId="4" fillId="0" borderId="0"/>
    <xf numFmtId="9" fontId="8" fillId="0" borderId="0" applyFont="0" applyFill="0" applyBorder="0" applyAlignment="0" applyProtection="0"/>
    <xf numFmtId="9" fontId="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44" borderId="79" applyNumberFormat="0" applyFont="0" applyAlignment="0" applyProtection="0"/>
    <xf numFmtId="0" fontId="4" fillId="44" borderId="79" applyNumberFormat="0" applyFont="0" applyAlignment="0" applyProtection="0"/>
    <xf numFmtId="0" fontId="4" fillId="0" borderId="0"/>
    <xf numFmtId="44"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46" borderId="0" applyNumberFormat="0" applyBorder="0" applyAlignment="0" applyProtection="0"/>
    <xf numFmtId="0" fontId="3" fillId="50" borderId="0" applyNumberFormat="0" applyBorder="0" applyAlignment="0" applyProtection="0"/>
    <xf numFmtId="0" fontId="3" fillId="54" borderId="0" applyNumberFormat="0" applyBorder="0" applyAlignment="0" applyProtection="0"/>
    <xf numFmtId="0" fontId="3" fillId="58" borderId="0" applyNumberFormat="0" applyBorder="0" applyAlignment="0" applyProtection="0"/>
    <xf numFmtId="0" fontId="3" fillId="62" borderId="0" applyNumberFormat="0" applyBorder="0" applyAlignment="0" applyProtection="0"/>
    <xf numFmtId="0" fontId="3" fillId="66" borderId="0" applyNumberFormat="0" applyBorder="0" applyAlignment="0" applyProtection="0"/>
    <xf numFmtId="0" fontId="3" fillId="47" borderId="0" applyNumberFormat="0" applyBorder="0" applyAlignment="0" applyProtection="0"/>
    <xf numFmtId="0" fontId="3" fillId="51" borderId="0" applyNumberFormat="0" applyBorder="0" applyAlignment="0" applyProtection="0"/>
    <xf numFmtId="0" fontId="3" fillId="55" borderId="0" applyNumberFormat="0" applyBorder="0" applyAlignment="0" applyProtection="0"/>
    <xf numFmtId="0" fontId="3" fillId="59" borderId="0" applyNumberFormat="0" applyBorder="0" applyAlignment="0" applyProtection="0"/>
    <xf numFmtId="0" fontId="3" fillId="63" borderId="0" applyNumberFormat="0" applyBorder="0" applyAlignment="0" applyProtection="0"/>
    <xf numFmtId="0" fontId="3" fillId="67" borderId="0" applyNumberFormat="0" applyBorder="0" applyAlignment="0" applyProtection="0"/>
    <xf numFmtId="0" fontId="3" fillId="44" borderId="79" applyNumberFormat="0" applyFont="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3" fillId="44" borderId="79" applyNumberFormat="0" applyFont="0" applyAlignment="0" applyProtection="0"/>
    <xf numFmtId="0" fontId="3" fillId="0" borderId="0"/>
    <xf numFmtId="0" fontId="3" fillId="44" borderId="79" applyNumberFormat="0" applyFont="0" applyAlignment="0" applyProtection="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8"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8" fillId="0" borderId="0"/>
    <xf numFmtId="0" fontId="3" fillId="44" borderId="79"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44" borderId="79" applyNumberFormat="0" applyFont="0" applyAlignment="0" applyProtection="0"/>
    <xf numFmtId="0" fontId="3" fillId="0" borderId="0"/>
    <xf numFmtId="0" fontId="8" fillId="6" borderId="8" applyNumberFormat="0" applyFont="0" applyAlignment="0" applyProtection="0"/>
    <xf numFmtId="0" fontId="8" fillId="6" borderId="8" applyNumberFormat="0" applyFont="0" applyAlignment="0" applyProtection="0"/>
    <xf numFmtId="0" fontId="8" fillId="6" borderId="8" applyNumberFormat="0" applyFont="0" applyAlignment="0" applyProtection="0"/>
    <xf numFmtId="0" fontId="3" fillId="0" borderId="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3" fillId="44" borderId="79" applyNumberFormat="0" applyFont="0" applyAlignment="0" applyProtection="0"/>
    <xf numFmtId="0" fontId="8" fillId="6" borderId="8" applyNumberFormat="0" applyFont="0" applyAlignment="0" applyProtection="0"/>
    <xf numFmtId="0" fontId="3" fillId="0" borderId="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43" fontId="8" fillId="0" borderId="0" applyFont="0" applyFill="0" applyBorder="0" applyAlignment="0" applyProtection="0"/>
    <xf numFmtId="0" fontId="8" fillId="0" borderId="0"/>
    <xf numFmtId="0" fontId="3" fillId="0" borderId="0"/>
    <xf numFmtId="44" fontId="8" fillId="0" borderId="0" applyFont="0" applyFill="0" applyBorder="0" applyAlignment="0" applyProtection="0"/>
    <xf numFmtId="0" fontId="8" fillId="6" borderId="8" applyNumberFormat="0" applyFont="0" applyAlignment="0" applyProtection="0"/>
    <xf numFmtId="43" fontId="8" fillId="0" borderId="0" applyFont="0" applyFill="0" applyBorder="0" applyAlignment="0" applyProtection="0"/>
    <xf numFmtId="44"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8" fillId="6" borderId="8"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43" fontId="8" fillId="0" borderId="0" applyNumberFormat="0" applyFill="0" applyBorder="0" applyAlignment="0" applyProtection="0"/>
    <xf numFmtId="0" fontId="3" fillId="44" borderId="79" applyNumberFormat="0" applyFont="0" applyAlignment="0" applyProtection="0"/>
    <xf numFmtId="0" fontId="3" fillId="0" borderId="0"/>
    <xf numFmtId="0" fontId="3" fillId="0" borderId="0"/>
    <xf numFmtId="0" fontId="8" fillId="6" borderId="8" applyNumberFormat="0" applyFont="0" applyAlignment="0" applyProtection="0"/>
    <xf numFmtId="9" fontId="8" fillId="0" borderId="0" applyFont="0" applyFill="0" applyBorder="0" applyAlignment="0" applyProtection="0"/>
    <xf numFmtId="0" fontId="8" fillId="6" borderId="8" applyNumberFormat="0" applyFont="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9" fontId="3" fillId="0" borderId="0" applyFont="0" applyFill="0" applyBorder="0" applyAlignment="0" applyProtection="0"/>
    <xf numFmtId="9" fontId="3" fillId="0" borderId="0" applyFont="0" applyFill="0" applyBorder="0" applyAlignment="0" applyProtection="0"/>
    <xf numFmtId="0" fontId="3" fillId="44" borderId="79" applyNumberFormat="0" applyFont="0" applyAlignment="0" applyProtection="0"/>
    <xf numFmtId="0" fontId="3" fillId="44" borderId="79" applyNumberFormat="0" applyFont="0" applyAlignment="0" applyProtection="0"/>
    <xf numFmtId="0" fontId="3" fillId="0" borderId="0"/>
    <xf numFmtId="44"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44" borderId="79" applyNumberFormat="0" applyFont="0" applyAlignment="0" applyProtection="0"/>
    <xf numFmtId="0" fontId="3" fillId="0" borderId="0"/>
    <xf numFmtId="0" fontId="3" fillId="44" borderId="79" applyNumberFormat="0" applyFont="0" applyAlignment="0" applyProtection="0"/>
    <xf numFmtId="0" fontId="3" fillId="0" borderId="0"/>
    <xf numFmtId="0" fontId="8" fillId="0" borderId="0"/>
    <xf numFmtId="0" fontId="2" fillId="0" borderId="0"/>
    <xf numFmtId="0" fontId="2" fillId="0" borderId="0"/>
    <xf numFmtId="0" fontId="2" fillId="46" borderId="0" applyNumberFormat="0" applyBorder="0" applyAlignment="0" applyProtection="0"/>
    <xf numFmtId="0" fontId="2" fillId="47" borderId="0" applyNumberFormat="0" applyBorder="0" applyAlignment="0" applyProtection="0"/>
    <xf numFmtId="0" fontId="2" fillId="50" borderId="0" applyNumberFormat="0" applyBorder="0" applyAlignment="0" applyProtection="0"/>
    <xf numFmtId="0" fontId="2" fillId="51" borderId="0" applyNumberFormat="0" applyBorder="0" applyAlignment="0" applyProtection="0"/>
    <xf numFmtId="0" fontId="2" fillId="54" borderId="0" applyNumberFormat="0" applyBorder="0" applyAlignment="0" applyProtection="0"/>
    <xf numFmtId="0" fontId="2" fillId="55" borderId="0" applyNumberFormat="0" applyBorder="0" applyAlignment="0" applyProtection="0"/>
    <xf numFmtId="0" fontId="2" fillId="58" borderId="0" applyNumberFormat="0" applyBorder="0" applyAlignment="0" applyProtection="0"/>
    <xf numFmtId="0" fontId="2" fillId="59" borderId="0" applyNumberFormat="0" applyBorder="0" applyAlignment="0" applyProtection="0"/>
    <xf numFmtId="0" fontId="2" fillId="62" borderId="0" applyNumberFormat="0" applyBorder="0" applyAlignment="0" applyProtection="0"/>
    <xf numFmtId="0" fontId="2" fillId="63" borderId="0" applyNumberFormat="0" applyBorder="0" applyAlignment="0" applyProtection="0"/>
    <xf numFmtId="0" fontId="2" fillId="66" borderId="0" applyNumberFormat="0" applyBorder="0" applyAlignment="0" applyProtection="0"/>
    <xf numFmtId="0" fontId="2" fillId="67" borderId="0" applyNumberFormat="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6" borderId="0" applyNumberFormat="0" applyBorder="0" applyAlignment="0" applyProtection="0"/>
    <xf numFmtId="0" fontId="2" fillId="50" borderId="0" applyNumberFormat="0" applyBorder="0" applyAlignment="0" applyProtection="0"/>
    <xf numFmtId="0" fontId="2" fillId="54" borderId="0" applyNumberFormat="0" applyBorder="0" applyAlignment="0" applyProtection="0"/>
    <xf numFmtId="0" fontId="2" fillId="58" borderId="0" applyNumberFormat="0" applyBorder="0" applyAlignment="0" applyProtection="0"/>
    <xf numFmtId="0" fontId="2" fillId="62" borderId="0" applyNumberFormat="0" applyBorder="0" applyAlignment="0" applyProtection="0"/>
    <xf numFmtId="0" fontId="2" fillId="66" borderId="0" applyNumberFormat="0" applyBorder="0" applyAlignment="0" applyProtection="0"/>
    <xf numFmtId="0" fontId="2" fillId="47" borderId="0" applyNumberFormat="0" applyBorder="0" applyAlignment="0" applyProtection="0"/>
    <xf numFmtId="0" fontId="2" fillId="51" borderId="0" applyNumberFormat="0" applyBorder="0" applyAlignment="0" applyProtection="0"/>
    <xf numFmtId="0" fontId="2" fillId="55" borderId="0" applyNumberFormat="0" applyBorder="0" applyAlignment="0" applyProtection="0"/>
    <xf numFmtId="0" fontId="2" fillId="59" borderId="0" applyNumberFormat="0" applyBorder="0" applyAlignment="0" applyProtection="0"/>
    <xf numFmtId="0" fontId="2" fillId="63" borderId="0" applyNumberFormat="0" applyBorder="0" applyAlignment="0" applyProtection="0"/>
    <xf numFmtId="0" fontId="2" fillId="67" borderId="0" applyNumberFormat="0" applyBorder="0" applyAlignment="0" applyProtection="0"/>
    <xf numFmtId="0" fontId="2" fillId="44" borderId="79" applyNumberFormat="0" applyFont="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0" fontId="2" fillId="44" borderId="79" applyNumberFormat="0" applyFont="0" applyAlignment="0" applyProtection="0"/>
    <xf numFmtId="0" fontId="2" fillId="44" borderId="79" applyNumberFormat="0" applyFont="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0" fontId="2" fillId="44" borderId="79" applyNumberFormat="0" applyFont="0" applyAlignment="0" applyProtection="0"/>
    <xf numFmtId="0" fontId="2" fillId="44" borderId="79" applyNumberFormat="0" applyFont="0" applyAlignment="0" applyProtection="0"/>
    <xf numFmtId="0" fontId="2" fillId="0" borderId="0"/>
    <xf numFmtId="44"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44" borderId="79" applyNumberFormat="0" applyFont="0" applyAlignment="0" applyProtection="0"/>
    <xf numFmtId="0" fontId="2" fillId="0" borderId="0"/>
    <xf numFmtId="0" fontId="2" fillId="44" borderId="79" applyNumberFormat="0" applyFont="0" applyAlignment="0" applyProtection="0"/>
    <xf numFmtId="0" fontId="2" fillId="0" borderId="0"/>
    <xf numFmtId="0" fontId="1" fillId="0" borderId="0"/>
    <xf numFmtId="0" fontId="1" fillId="0" borderId="0"/>
    <xf numFmtId="0" fontId="1" fillId="46" borderId="0" applyNumberFormat="0" applyBorder="0" applyAlignment="0" applyProtection="0"/>
    <xf numFmtId="0" fontId="1" fillId="47"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2" borderId="0" applyNumberFormat="0" applyBorder="0" applyAlignment="0" applyProtection="0"/>
    <xf numFmtId="0" fontId="1" fillId="63" borderId="0" applyNumberFormat="0" applyBorder="0" applyAlignment="0" applyProtection="0"/>
    <xf numFmtId="0" fontId="1" fillId="66" borderId="0" applyNumberFormat="0" applyBorder="0" applyAlignment="0" applyProtection="0"/>
    <xf numFmtId="0" fontId="1" fillId="67" borderId="0" applyNumberFormat="0" applyBorder="0" applyAlignment="0" applyProtection="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6" borderId="0" applyNumberFormat="0" applyBorder="0" applyAlignment="0" applyProtection="0"/>
    <xf numFmtId="0" fontId="1" fillId="50" borderId="0" applyNumberFormat="0" applyBorder="0" applyAlignment="0" applyProtection="0"/>
    <xf numFmtId="0" fontId="1" fillId="54" borderId="0" applyNumberFormat="0" applyBorder="0" applyAlignment="0" applyProtection="0"/>
    <xf numFmtId="0" fontId="1" fillId="58" borderId="0" applyNumberFormat="0" applyBorder="0" applyAlignment="0" applyProtection="0"/>
    <xf numFmtId="0" fontId="1" fillId="62" borderId="0" applyNumberFormat="0" applyBorder="0" applyAlignment="0" applyProtection="0"/>
    <xf numFmtId="0" fontId="1" fillId="66" borderId="0" applyNumberFormat="0" applyBorder="0" applyAlignment="0" applyProtection="0"/>
    <xf numFmtId="0" fontId="1" fillId="47" borderId="0" applyNumberFormat="0" applyBorder="0" applyAlignment="0" applyProtection="0"/>
    <xf numFmtId="0" fontId="1" fillId="51" borderId="0" applyNumberFormat="0" applyBorder="0" applyAlignment="0" applyProtection="0"/>
    <xf numFmtId="0" fontId="1" fillId="55" borderId="0" applyNumberFormat="0" applyBorder="0" applyAlignment="0" applyProtection="0"/>
    <xf numFmtId="0" fontId="1" fillId="59" borderId="0" applyNumberFormat="0" applyBorder="0" applyAlignment="0" applyProtection="0"/>
    <xf numFmtId="0" fontId="1" fillId="63" borderId="0" applyNumberFormat="0" applyBorder="0" applyAlignment="0" applyProtection="0"/>
    <xf numFmtId="0" fontId="1" fillId="67" borderId="0" applyNumberFormat="0" applyBorder="0" applyAlignment="0" applyProtection="0"/>
    <xf numFmtId="0" fontId="1" fillId="44" borderId="79" applyNumberFormat="0" applyFont="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0" fontId="1" fillId="44" borderId="79" applyNumberFormat="0" applyFont="0" applyAlignment="0" applyProtection="0"/>
    <xf numFmtId="0" fontId="1" fillId="44" borderId="79" applyNumberFormat="0" applyFont="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0" fontId="1" fillId="44" borderId="79" applyNumberFormat="0" applyFont="0" applyAlignment="0" applyProtection="0"/>
    <xf numFmtId="0" fontId="1" fillId="44" borderId="79" applyNumberFormat="0" applyFont="0" applyAlignment="0" applyProtection="0"/>
    <xf numFmtId="0" fontId="1" fillId="0" borderId="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44" borderId="79" applyNumberFormat="0" applyFont="0" applyAlignment="0" applyProtection="0"/>
    <xf numFmtId="0" fontId="1" fillId="0" borderId="0"/>
    <xf numFmtId="0" fontId="1" fillId="44" borderId="79" applyNumberFormat="0" applyFont="0" applyAlignment="0" applyProtection="0"/>
    <xf numFmtId="0" fontId="1" fillId="0" borderId="0"/>
    <xf numFmtId="0" fontId="163" fillId="71" borderId="82" applyNumberFormat="0" applyAlignment="0" applyProtection="0">
      <alignment horizontal="left" vertical="center" indent="1"/>
    </xf>
    <xf numFmtId="188" fontId="164" fillId="0" borderId="83" applyNumberFormat="0" applyProtection="0">
      <alignment horizontal="right" vertical="center"/>
    </xf>
    <xf numFmtId="43" fontId="8" fillId="0" borderId="0" applyFont="0" applyFill="0" applyBorder="0" applyAlignment="0" applyProtection="0"/>
    <xf numFmtId="41" fontId="8" fillId="0" borderId="0" applyFont="0" applyFill="0" applyBorder="0" applyAlignment="0" applyProtection="0"/>
  </cellStyleXfs>
  <cellXfs count="1572">
    <xf numFmtId="0" fontId="0" fillId="0" borderId="0" xfId="0"/>
    <xf numFmtId="0" fontId="10" fillId="0" borderId="0" xfId="0" applyFont="1"/>
    <xf numFmtId="0" fontId="12" fillId="0" borderId="0" xfId="0" applyFont="1" applyAlignment="1">
      <alignment horizontal="center"/>
    </xf>
    <xf numFmtId="0" fontId="12" fillId="0" borderId="0" xfId="0" applyFont="1"/>
    <xf numFmtId="0" fontId="10" fillId="0" borderId="12" xfId="0" applyFont="1" applyBorder="1"/>
    <xf numFmtId="173" fontId="10" fillId="0" borderId="0" xfId="633" applyNumberFormat="1" applyFont="1" applyAlignment="1"/>
    <xf numFmtId="0" fontId="10" fillId="0" borderId="13" xfId="0" applyFont="1" applyBorder="1"/>
    <xf numFmtId="0" fontId="12" fillId="0" borderId="0" xfId="0" applyFont="1" applyAlignment="1">
      <alignment horizontal="left"/>
    </xf>
    <xf numFmtId="0" fontId="12" fillId="0" borderId="12" xfId="0" applyFont="1" applyBorder="1" applyAlignment="1">
      <alignment horizontal="left"/>
    </xf>
    <xf numFmtId="0" fontId="12" fillId="0" borderId="12" xfId="0" applyFont="1" applyBorder="1"/>
    <xf numFmtId="0" fontId="26" fillId="30" borderId="0" xfId="0" applyFont="1" applyFill="1"/>
    <xf numFmtId="0" fontId="26" fillId="30" borderId="0" xfId="0" applyFont="1" applyFill="1" applyAlignment="1">
      <alignment horizontal="left"/>
    </xf>
    <xf numFmtId="0" fontId="12" fillId="0" borderId="14" xfId="0" applyFont="1" applyBorder="1" applyAlignment="1">
      <alignment horizontal="left"/>
    </xf>
    <xf numFmtId="0" fontId="12" fillId="0" borderId="14" xfId="0" applyFont="1" applyBorder="1"/>
    <xf numFmtId="0" fontId="12" fillId="0" borderId="13" xfId="0" applyFont="1" applyBorder="1"/>
    <xf numFmtId="168" fontId="10" fillId="0" borderId="13" xfId="0" applyNumberFormat="1" applyFont="1" applyBorder="1" applyAlignment="1">
      <alignment horizontal="left"/>
    </xf>
    <xf numFmtId="0" fontId="12" fillId="30" borderId="0" xfId="0" applyFont="1" applyFill="1"/>
    <xf numFmtId="0" fontId="26" fillId="0" borderId="0" xfId="0" applyFont="1"/>
    <xf numFmtId="0" fontId="12" fillId="30" borderId="0" xfId="0" applyFont="1" applyFill="1" applyAlignment="1">
      <alignment horizontal="center" wrapText="1"/>
    </xf>
    <xf numFmtId="168" fontId="10" fillId="0" borderId="0" xfId="0" applyNumberFormat="1" applyFont="1" applyAlignment="1">
      <alignment horizontal="left"/>
    </xf>
    <xf numFmtId="0" fontId="10" fillId="0" borderId="12" xfId="0" applyFont="1" applyBorder="1" applyAlignment="1">
      <alignment horizontal="left"/>
    </xf>
    <xf numFmtId="0" fontId="12" fillId="30" borderId="0" xfId="0" applyFont="1" applyFill="1" applyAlignment="1">
      <alignment horizontal="center"/>
    </xf>
    <xf numFmtId="0" fontId="11" fillId="0" borderId="0" xfId="0" applyFont="1"/>
    <xf numFmtId="0" fontId="28" fillId="0" borderId="15" xfId="0" applyFont="1" applyBorder="1" applyAlignment="1">
      <alignment horizontal="center"/>
    </xf>
    <xf numFmtId="0" fontId="21" fillId="0" borderId="16" xfId="0" applyFont="1" applyBorder="1" applyAlignment="1">
      <alignment horizontal="center"/>
    </xf>
    <xf numFmtId="164" fontId="12" fillId="0" borderId="0" xfId="381" applyNumberFormat="1" applyFont="1"/>
    <xf numFmtId="0" fontId="21" fillId="0" borderId="0" xfId="0" applyFont="1" applyAlignment="1">
      <alignment horizontal="center"/>
    </xf>
    <xf numFmtId="0" fontId="10" fillId="0" borderId="0" xfId="0" applyFont="1" applyAlignment="1">
      <alignment horizontal="left"/>
    </xf>
    <xf numFmtId="0" fontId="12" fillId="0" borderId="14" xfId="0" applyFont="1" applyBorder="1" applyAlignment="1">
      <alignment horizontal="center"/>
    </xf>
    <xf numFmtId="0" fontId="12" fillId="0" borderId="12" xfId="0" applyFont="1" applyBorder="1" applyAlignment="1">
      <alignment horizontal="center"/>
    </xf>
    <xf numFmtId="0" fontId="12" fillId="0" borderId="13" xfId="0" applyFont="1" applyBorder="1" applyAlignment="1">
      <alignment horizontal="center"/>
    </xf>
    <xf numFmtId="0" fontId="10" fillId="0" borderId="13" xfId="0" applyFont="1" applyBorder="1" applyAlignment="1">
      <alignment horizontal="center"/>
    </xf>
    <xf numFmtId="0" fontId="10" fillId="0" borderId="0" xfId="0" applyFont="1" applyAlignment="1">
      <alignment horizontal="center"/>
    </xf>
    <xf numFmtId="3" fontId="10" fillId="0" borderId="12" xfId="0" applyNumberFormat="1" applyFont="1" applyBorder="1" applyAlignment="1">
      <alignment horizontal="center"/>
    </xf>
    <xf numFmtId="0" fontId="14" fillId="0" borderId="0" xfId="0" applyFont="1" applyAlignment="1">
      <alignment horizontal="center"/>
    </xf>
    <xf numFmtId="0" fontId="14" fillId="0" borderId="14" xfId="0" applyFont="1" applyBorder="1"/>
    <xf numFmtId="0" fontId="14" fillId="0" borderId="14" xfId="0" applyFont="1" applyBorder="1" applyAlignment="1">
      <alignment horizontal="center"/>
    </xf>
    <xf numFmtId="0" fontId="28" fillId="0" borderId="0" xfId="0" applyFont="1" applyAlignment="1">
      <alignment horizontal="center"/>
    </xf>
    <xf numFmtId="3" fontId="10" fillId="0" borderId="0" xfId="0" applyNumberFormat="1" applyFont="1"/>
    <xf numFmtId="0" fontId="16" fillId="0" borderId="0" xfId="0" applyFont="1" applyAlignment="1">
      <alignment horizontal="center"/>
    </xf>
    <xf numFmtId="0" fontId="31" fillId="0" borderId="0" xfId="0" applyFont="1"/>
    <xf numFmtId="0" fontId="0" fillId="0" borderId="0" xfId="0" applyAlignment="1">
      <alignment horizontal="center"/>
    </xf>
    <xf numFmtId="0" fontId="0" fillId="0" borderId="0" xfId="0" applyAlignment="1">
      <alignment horizontal="left" wrapText="1"/>
    </xf>
    <xf numFmtId="0" fontId="0" fillId="0" borderId="0" xfId="0" applyAlignment="1">
      <alignment horizontal="left" vertical="center" wrapText="1"/>
    </xf>
    <xf numFmtId="0" fontId="18" fillId="0" borderId="0" xfId="0" applyFont="1"/>
    <xf numFmtId="164" fontId="8" fillId="0" borderId="0" xfId="381" applyNumberFormat="1" applyAlignment="1"/>
    <xf numFmtId="0" fontId="31" fillId="0" borderId="0" xfId="0" applyFont="1" applyAlignment="1">
      <alignment horizontal="center"/>
    </xf>
    <xf numFmtId="0" fontId="35" fillId="0" borderId="0" xfId="0" applyFont="1"/>
    <xf numFmtId="0" fontId="0" fillId="0" borderId="0" xfId="0" applyAlignment="1">
      <alignment horizontal="right"/>
    </xf>
    <xf numFmtId="0" fontId="31" fillId="0" borderId="0" xfId="0" applyFont="1" applyAlignment="1">
      <alignment horizontal="right"/>
    </xf>
    <xf numFmtId="0" fontId="17" fillId="0" borderId="0" xfId="0" applyFont="1"/>
    <xf numFmtId="0" fontId="37" fillId="0" borderId="0" xfId="0" applyFont="1" applyAlignment="1">
      <alignment horizontal="center"/>
    </xf>
    <xf numFmtId="0" fontId="30" fillId="0" borderId="0" xfId="0" applyFont="1" applyAlignment="1">
      <alignment horizontal="left"/>
    </xf>
    <xf numFmtId="0" fontId="10" fillId="0" borderId="0" xfId="0" applyFont="1" applyAlignment="1">
      <alignment horizontal="center" wrapText="1"/>
    </xf>
    <xf numFmtId="0" fontId="36" fillId="0" borderId="0" xfId="0" applyFont="1" applyAlignment="1">
      <alignment horizontal="center"/>
    </xf>
    <xf numFmtId="0" fontId="18" fillId="0" borderId="0" xfId="0" applyFont="1" applyAlignment="1">
      <alignment horizontal="left"/>
    </xf>
    <xf numFmtId="0" fontId="29" fillId="0" borderId="0" xfId="0" applyFont="1" applyAlignment="1">
      <alignment horizontal="center"/>
    </xf>
    <xf numFmtId="0" fontId="26" fillId="30" borderId="0" xfId="0" applyFont="1" applyFill="1" applyAlignment="1">
      <alignment horizontal="center"/>
    </xf>
    <xf numFmtId="3" fontId="12" fillId="0" borderId="0" xfId="0" applyNumberFormat="1" applyFont="1" applyAlignment="1">
      <alignment horizontal="center"/>
    </xf>
    <xf numFmtId="37" fontId="0" fillId="0" borderId="0" xfId="0" applyNumberFormat="1"/>
    <xf numFmtId="37" fontId="0" fillId="0" borderId="0" xfId="0" applyNumberFormat="1" applyAlignment="1">
      <alignment horizontal="right" wrapText="1"/>
    </xf>
    <xf numFmtId="0" fontId="0" fillId="0" borderId="0" xfId="0" applyAlignment="1">
      <alignment horizontal="left"/>
    </xf>
    <xf numFmtId="0" fontId="43" fillId="0" borderId="0" xfId="0" applyFont="1"/>
    <xf numFmtId="164" fontId="0" fillId="0" borderId="0" xfId="381" applyNumberFormat="1" applyFont="1" applyAlignment="1"/>
    <xf numFmtId="164" fontId="8" fillId="0" borderId="0" xfId="381" applyNumberFormat="1" applyFill="1" applyBorder="1" applyAlignment="1">
      <alignment wrapText="1"/>
    </xf>
    <xf numFmtId="164" fontId="0" fillId="0" borderId="0" xfId="381" applyNumberFormat="1" applyFont="1" applyFill="1" applyAlignment="1"/>
    <xf numFmtId="164" fontId="0" fillId="0" borderId="0" xfId="381" applyNumberFormat="1" applyFont="1" applyFill="1" applyBorder="1" applyAlignment="1"/>
    <xf numFmtId="41" fontId="0" fillId="0" borderId="0" xfId="0" applyNumberFormat="1" applyAlignment="1">
      <alignment horizontal="right"/>
    </xf>
    <xf numFmtId="164" fontId="0" fillId="0" borderId="0" xfId="0" applyNumberFormat="1"/>
    <xf numFmtId="0" fontId="9" fillId="0" borderId="0" xfId="0" applyFont="1" applyAlignment="1">
      <alignment horizontal="center"/>
    </xf>
    <xf numFmtId="0" fontId="0" fillId="0" borderId="17" xfId="0" applyBorder="1" applyAlignment="1">
      <alignment horizontal="left"/>
    </xf>
    <xf numFmtId="0" fontId="0" fillId="0" borderId="17" xfId="0" applyBorder="1"/>
    <xf numFmtId="37" fontId="0" fillId="0" borderId="17" xfId="0" applyNumberFormat="1" applyBorder="1"/>
    <xf numFmtId="0" fontId="32" fillId="0" borderId="0" xfId="0" applyFont="1" applyAlignment="1">
      <alignment horizontal="center"/>
    </xf>
    <xf numFmtId="0" fontId="34" fillId="0" borderId="0" xfId="0" applyFont="1"/>
    <xf numFmtId="0" fontId="0" fillId="0" borderId="0" xfId="0" applyAlignment="1">
      <alignment wrapText="1"/>
    </xf>
    <xf numFmtId="0" fontId="45" fillId="0" borderId="0" xfId="0" applyFont="1"/>
    <xf numFmtId="41" fontId="9" fillId="0" borderId="0" xfId="0" applyNumberFormat="1" applyFont="1" applyAlignment="1">
      <alignment horizontal="center"/>
    </xf>
    <xf numFmtId="0" fontId="20" fillId="0" borderId="0" xfId="0" applyFont="1" applyAlignment="1">
      <alignment wrapText="1"/>
    </xf>
    <xf numFmtId="0" fontId="34" fillId="0" borderId="0" xfId="0" applyFont="1" applyAlignment="1">
      <alignment horizontal="left"/>
    </xf>
    <xf numFmtId="0" fontId="0" fillId="0" borderId="12" xfId="0" applyBorder="1"/>
    <xf numFmtId="0" fontId="0" fillId="0" borderId="14" xfId="0" applyBorder="1"/>
    <xf numFmtId="37" fontId="0" fillId="0" borderId="0" xfId="0" applyNumberFormat="1" applyAlignment="1">
      <alignment horizontal="center"/>
    </xf>
    <xf numFmtId="0" fontId="42" fillId="0" borderId="0" xfId="0" applyFont="1"/>
    <xf numFmtId="37" fontId="18" fillId="0" borderId="0" xfId="0" applyNumberFormat="1" applyFont="1"/>
    <xf numFmtId="0" fontId="17" fillId="0" borderId="0" xfId="0" applyFont="1" applyAlignment="1">
      <alignment horizontal="center"/>
    </xf>
    <xf numFmtId="164" fontId="12" fillId="0" borderId="0" xfId="381" applyNumberFormat="1" applyFont="1" applyFill="1"/>
    <xf numFmtId="0" fontId="38" fillId="0" borderId="0" xfId="0" applyFont="1"/>
    <xf numFmtId="0" fontId="0" fillId="0" borderId="0" xfId="0" applyAlignment="1">
      <alignment vertical="top"/>
    </xf>
    <xf numFmtId="164" fontId="8" fillId="0" borderId="0" xfId="381" applyNumberFormat="1" applyBorder="1"/>
    <xf numFmtId="0" fontId="0" fillId="31" borderId="0" xfId="0" applyFill="1"/>
    <xf numFmtId="164" fontId="8" fillId="0" borderId="17" xfId="381" applyNumberFormat="1" applyBorder="1"/>
    <xf numFmtId="0" fontId="0" fillId="0" borderId="17" xfId="0" applyBorder="1" applyAlignment="1">
      <alignment wrapText="1"/>
    </xf>
    <xf numFmtId="0" fontId="20" fillId="0" borderId="17" xfId="0" applyFont="1" applyBorder="1" applyAlignment="1">
      <alignment wrapText="1"/>
    </xf>
    <xf numFmtId="0" fontId="21" fillId="0" borderId="0" xfId="0" applyFont="1" applyAlignment="1">
      <alignment horizontal="centerContinuous"/>
    </xf>
    <xf numFmtId="0" fontId="0" fillId="0" borderId="0" xfId="0" applyAlignment="1">
      <alignment horizontal="centerContinuous"/>
    </xf>
    <xf numFmtId="0" fontId="41" fillId="0" borderId="0" xfId="0" applyFont="1"/>
    <xf numFmtId="37" fontId="0" fillId="0" borderId="0" xfId="0" applyNumberFormat="1" applyAlignment="1">
      <alignment wrapText="1"/>
    </xf>
    <xf numFmtId="164" fontId="0" fillId="0" borderId="0" xfId="0" applyNumberFormat="1" applyAlignment="1">
      <alignment wrapText="1"/>
    </xf>
    <xf numFmtId="0" fontId="32" fillId="0" borderId="0" xfId="0" applyFont="1" applyAlignment="1">
      <alignment horizontal="centerContinuous"/>
    </xf>
    <xf numFmtId="164" fontId="43" fillId="0" borderId="0" xfId="0" applyNumberFormat="1" applyFont="1"/>
    <xf numFmtId="164" fontId="18" fillId="0" borderId="0" xfId="381" applyNumberFormat="1" applyFont="1" applyFill="1" applyAlignment="1"/>
    <xf numFmtId="0" fontId="8" fillId="0" borderId="0" xfId="0" applyFont="1"/>
    <xf numFmtId="164" fontId="0" fillId="0" borderId="0" xfId="381" applyNumberFormat="1" applyFont="1" applyFill="1"/>
    <xf numFmtId="0" fontId="8" fillId="0" borderId="0" xfId="0" applyFont="1" applyAlignment="1">
      <alignment horizontal="right"/>
    </xf>
    <xf numFmtId="0" fontId="9" fillId="0" borderId="0" xfId="0" applyFont="1"/>
    <xf numFmtId="3" fontId="0" fillId="0" borderId="0" xfId="0" applyNumberFormat="1" applyAlignment="1">
      <alignment horizontal="left"/>
    </xf>
    <xf numFmtId="164" fontId="8" fillId="0" borderId="0" xfId="381" applyNumberFormat="1" applyFont="1" applyFill="1" applyAlignment="1"/>
    <xf numFmtId="164" fontId="8" fillId="0" borderId="0" xfId="381" applyNumberFormat="1" applyFont="1"/>
    <xf numFmtId="0" fontId="32" fillId="0" borderId="0" xfId="0" applyFont="1" applyAlignment="1">
      <alignment horizontal="left"/>
    </xf>
    <xf numFmtId="0" fontId="9" fillId="0" borderId="0" xfId="0" applyFont="1" applyAlignment="1">
      <alignment horizontal="left"/>
    </xf>
    <xf numFmtId="37" fontId="10" fillId="0" borderId="0" xfId="0" applyNumberFormat="1" applyFont="1" applyAlignment="1">
      <alignment horizontal="right"/>
    </xf>
    <xf numFmtId="0" fontId="18" fillId="0" borderId="0" xfId="465"/>
    <xf numFmtId="0" fontId="18" fillId="0" borderId="0" xfId="465" applyAlignment="1">
      <alignment horizontal="center" wrapText="1"/>
    </xf>
    <xf numFmtId="3" fontId="12" fillId="0" borderId="0" xfId="465" applyNumberFormat="1" applyFont="1"/>
    <xf numFmtId="3" fontId="18" fillId="0" borderId="0" xfId="465" applyNumberFormat="1" applyAlignment="1">
      <alignment horizontal="center"/>
    </xf>
    <xf numFmtId="0" fontId="18" fillId="0" borderId="20" xfId="465" applyBorder="1" applyAlignment="1">
      <alignment horizontal="center"/>
    </xf>
    <xf numFmtId="0" fontId="18" fillId="0" borderId="0" xfId="465" applyAlignment="1">
      <alignment horizontal="center"/>
    </xf>
    <xf numFmtId="0" fontId="18" fillId="0" borderId="0" xfId="465" applyAlignment="1">
      <alignment horizontal="left"/>
    </xf>
    <xf numFmtId="0" fontId="18" fillId="0" borderId="21" xfId="465" applyBorder="1"/>
    <xf numFmtId="0" fontId="18" fillId="0" borderId="14" xfId="465" applyBorder="1" applyAlignment="1">
      <alignment horizontal="left"/>
    </xf>
    <xf numFmtId="3" fontId="12" fillId="0" borderId="14" xfId="465" applyNumberFormat="1" applyFont="1" applyBorder="1"/>
    <xf numFmtId="0" fontId="9" fillId="0" borderId="0" xfId="465" applyFont="1" applyAlignment="1">
      <alignment horizontal="left"/>
    </xf>
    <xf numFmtId="0" fontId="20" fillId="0" borderId="0" xfId="465" applyFont="1" applyAlignment="1">
      <alignment horizontal="center"/>
    </xf>
    <xf numFmtId="0" fontId="18" fillId="0" borderId="21" xfId="465" applyBorder="1" applyAlignment="1">
      <alignment horizontal="left"/>
    </xf>
    <xf numFmtId="0" fontId="18" fillId="0" borderId="22" xfId="465" applyBorder="1" applyAlignment="1">
      <alignment horizontal="center"/>
    </xf>
    <xf numFmtId="0" fontId="18" fillId="0" borderId="10" xfId="465" applyBorder="1" applyAlignment="1">
      <alignment horizontal="center"/>
    </xf>
    <xf numFmtId="0" fontId="18" fillId="0" borderId="10" xfId="465" applyBorder="1" applyAlignment="1">
      <alignment horizontal="left"/>
    </xf>
    <xf numFmtId="0" fontId="18" fillId="0" borderId="23" xfId="465" applyBorder="1" applyAlignment="1">
      <alignment horizontal="left"/>
    </xf>
    <xf numFmtId="164" fontId="18" fillId="0" borderId="0" xfId="390" applyNumberFormat="1" applyFont="1" applyFill="1" applyBorder="1" applyAlignment="1">
      <alignment horizontal="right"/>
    </xf>
    <xf numFmtId="0" fontId="35" fillId="0" borderId="0" xfId="465" applyFont="1"/>
    <xf numFmtId="0" fontId="35" fillId="0" borderId="20" xfId="465" applyFont="1" applyBorder="1" applyAlignment="1">
      <alignment horizontal="center"/>
    </xf>
    <xf numFmtId="0" fontId="35" fillId="0" borderId="0" xfId="465" applyFont="1" applyAlignment="1">
      <alignment horizontal="left"/>
    </xf>
    <xf numFmtId="0" fontId="39" fillId="0" borderId="0" xfId="465" applyFont="1" applyAlignment="1">
      <alignment horizontal="left"/>
    </xf>
    <xf numFmtId="0" fontId="35" fillId="0" borderId="21" xfId="465" applyFont="1" applyBorder="1"/>
    <xf numFmtId="3" fontId="35" fillId="0" borderId="0" xfId="465" applyNumberFormat="1" applyFont="1" applyAlignment="1">
      <alignment horizontal="center"/>
    </xf>
    <xf numFmtId="0" fontId="35" fillId="0" borderId="0" xfId="465" applyFont="1" applyAlignment="1">
      <alignment horizontal="left" wrapText="1"/>
    </xf>
    <xf numFmtId="0" fontId="29" fillId="0" borderId="0" xfId="465" applyFont="1" applyAlignment="1">
      <alignment horizontal="center"/>
    </xf>
    <xf numFmtId="0" fontId="29" fillId="0" borderId="0" xfId="465" applyFont="1" applyAlignment="1">
      <alignment horizontal="right"/>
    </xf>
    <xf numFmtId="0" fontId="29" fillId="0" borderId="0" xfId="465" applyFont="1" applyAlignment="1">
      <alignment horizontal="left"/>
    </xf>
    <xf numFmtId="0" fontId="29" fillId="0" borderId="0" xfId="465" applyFont="1"/>
    <xf numFmtId="0" fontId="18" fillId="0" borderId="24" xfId="465" applyBorder="1" applyAlignment="1">
      <alignment horizontal="center"/>
    </xf>
    <xf numFmtId="0" fontId="20" fillId="0" borderId="0" xfId="465" applyFont="1"/>
    <xf numFmtId="0" fontId="9" fillId="0" borderId="0" xfId="465" applyFont="1"/>
    <xf numFmtId="0" fontId="18" fillId="0" borderId="10" xfId="465" applyBorder="1"/>
    <xf numFmtId="3" fontId="18" fillId="0" borderId="23" xfId="465" applyNumberFormat="1" applyBorder="1" applyAlignment="1">
      <alignment horizontal="left"/>
    </xf>
    <xf numFmtId="164" fontId="18" fillId="0" borderId="10" xfId="390" applyNumberFormat="1" applyFont="1" applyFill="1" applyBorder="1" applyAlignment="1">
      <alignment horizontal="center"/>
    </xf>
    <xf numFmtId="164" fontId="18" fillId="0" borderId="10" xfId="465" applyNumberFormat="1" applyBorder="1" applyAlignment="1">
      <alignment horizontal="center"/>
    </xf>
    <xf numFmtId="0" fontId="18" fillId="0" borderId="10" xfId="465" applyBorder="1" applyAlignment="1">
      <alignment horizontal="right"/>
    </xf>
    <xf numFmtId="0" fontId="9" fillId="0" borderId="0" xfId="465" applyFont="1" applyAlignment="1">
      <alignment horizontal="center"/>
    </xf>
    <xf numFmtId="0" fontId="18" fillId="0" borderId="20" xfId="465" applyBorder="1"/>
    <xf numFmtId="164" fontId="18" fillId="0" borderId="0" xfId="465" applyNumberFormat="1" applyAlignment="1">
      <alignment horizontal="center"/>
    </xf>
    <xf numFmtId="0" fontId="9" fillId="0" borderId="20" xfId="465" applyFont="1" applyBorder="1"/>
    <xf numFmtId="0" fontId="12" fillId="0" borderId="0" xfId="465" applyFont="1" applyAlignment="1">
      <alignment horizontal="center"/>
    </xf>
    <xf numFmtId="0" fontId="12" fillId="0" borderId="0" xfId="465" applyFont="1"/>
    <xf numFmtId="164" fontId="12" fillId="0" borderId="0" xfId="390" applyNumberFormat="1" applyFont="1" applyFill="1"/>
    <xf numFmtId="10" fontId="12" fillId="0" borderId="0" xfId="634" applyNumberFormat="1" applyFont="1" applyFill="1"/>
    <xf numFmtId="0" fontId="12" fillId="30" borderId="0" xfId="465" applyFont="1" applyFill="1"/>
    <xf numFmtId="0" fontId="12" fillId="0" borderId="0" xfId="465" applyFont="1" applyAlignment="1">
      <alignment horizontal="left"/>
    </xf>
    <xf numFmtId="0" fontId="12" fillId="0" borderId="0" xfId="465" applyFont="1" applyAlignment="1">
      <alignment wrapText="1"/>
    </xf>
    <xf numFmtId="171" fontId="12" fillId="0" borderId="0" xfId="465" applyNumberFormat="1" applyFont="1"/>
    <xf numFmtId="3" fontId="12" fillId="0" borderId="0" xfId="465" applyNumberFormat="1" applyFont="1" applyAlignment="1">
      <alignment horizontal="left"/>
    </xf>
    <xf numFmtId="3" fontId="12" fillId="0" borderId="0" xfId="465" applyNumberFormat="1" applyFont="1" applyAlignment="1">
      <alignment horizontal="center"/>
    </xf>
    <xf numFmtId="0" fontId="14" fillId="0" borderId="0" xfId="465" applyFont="1"/>
    <xf numFmtId="3" fontId="12" fillId="0" borderId="0" xfId="465" quotePrefix="1" applyNumberFormat="1" applyFont="1" applyAlignment="1">
      <alignment horizontal="right"/>
    </xf>
    <xf numFmtId="0" fontId="12" fillId="0" borderId="0" xfId="465" applyFont="1" applyAlignment="1">
      <alignment horizontal="right"/>
    </xf>
    <xf numFmtId="0" fontId="12" fillId="0" borderId="14" xfId="465" applyFont="1" applyBorder="1" applyAlignment="1">
      <alignment horizontal="center"/>
    </xf>
    <xf numFmtId="0" fontId="12" fillId="0" borderId="14" xfId="465" applyFont="1" applyBorder="1" applyAlignment="1">
      <alignment horizontal="left"/>
    </xf>
    <xf numFmtId="0" fontId="12" fillId="0" borderId="14" xfId="465" applyFont="1" applyBorder="1"/>
    <xf numFmtId="3" fontId="12" fillId="0" borderId="14" xfId="465" applyNumberFormat="1" applyFont="1" applyBorder="1" applyAlignment="1">
      <alignment horizontal="right"/>
    </xf>
    <xf numFmtId="166" fontId="12" fillId="0" borderId="14" xfId="465" applyNumberFormat="1" applyFont="1" applyBorder="1"/>
    <xf numFmtId="0" fontId="10" fillId="0" borderId="0" xfId="465" applyFont="1"/>
    <xf numFmtId="3" fontId="10" fillId="0" borderId="0" xfId="465" quotePrefix="1" applyNumberFormat="1" applyFont="1" applyAlignment="1">
      <alignment horizontal="right"/>
    </xf>
    <xf numFmtId="166" fontId="10" fillId="0" borderId="0" xfId="465" applyNumberFormat="1" applyFont="1"/>
    <xf numFmtId="0" fontId="10" fillId="0" borderId="0" xfId="465" applyFont="1" applyAlignment="1">
      <alignment horizontal="center"/>
    </xf>
    <xf numFmtId="3" fontId="10" fillId="0" borderId="0" xfId="465" applyNumberFormat="1" applyFont="1"/>
    <xf numFmtId="168" fontId="10" fillId="0" borderId="13" xfId="465" applyNumberFormat="1" applyFont="1" applyBorder="1" applyAlignment="1">
      <alignment horizontal="left"/>
    </xf>
    <xf numFmtId="0" fontId="12" fillId="0" borderId="13" xfId="465" applyFont="1" applyBorder="1"/>
    <xf numFmtId="3" fontId="10" fillId="0" borderId="13" xfId="465" applyNumberFormat="1" applyFont="1" applyBorder="1"/>
    <xf numFmtId="169" fontId="10" fillId="0" borderId="13" xfId="465" applyNumberFormat="1" applyFont="1" applyBorder="1" applyAlignment="1">
      <alignment horizontal="center"/>
    </xf>
    <xf numFmtId="0" fontId="27" fillId="30" borderId="0" xfId="465" applyFont="1" applyFill="1"/>
    <xf numFmtId="0" fontId="24" fillId="30" borderId="0" xfId="465" applyFont="1" applyFill="1" applyAlignment="1">
      <alignment horizontal="left"/>
    </xf>
    <xf numFmtId="0" fontId="26" fillId="30" borderId="0" xfId="465" applyFont="1" applyFill="1" applyAlignment="1">
      <alignment horizontal="center"/>
    </xf>
    <xf numFmtId="3" fontId="12" fillId="30" borderId="0" xfId="465" applyNumberFormat="1" applyFont="1" applyFill="1"/>
    <xf numFmtId="168" fontId="10" fillId="0" borderId="0" xfId="465" applyNumberFormat="1" applyFont="1" applyAlignment="1">
      <alignment horizontal="left"/>
    </xf>
    <xf numFmtId="169" fontId="12" fillId="0" borderId="0" xfId="465" applyNumberFormat="1" applyFont="1" applyAlignment="1">
      <alignment horizontal="center"/>
    </xf>
    <xf numFmtId="0" fontId="19" fillId="0" borderId="0" xfId="465" applyFont="1"/>
    <xf numFmtId="10" fontId="19" fillId="0" borderId="0" xfId="465" applyNumberFormat="1" applyFont="1"/>
    <xf numFmtId="0" fontId="14" fillId="0" borderId="0" xfId="465" applyFont="1" applyAlignment="1">
      <alignment horizontal="center"/>
    </xf>
    <xf numFmtId="10" fontId="12" fillId="0" borderId="0" xfId="465" applyNumberFormat="1" applyFont="1" applyAlignment="1">
      <alignment horizontal="right"/>
    </xf>
    <xf numFmtId="168" fontId="12" fillId="0" borderId="0" xfId="465" applyNumberFormat="1" applyFont="1" applyAlignment="1">
      <alignment horizontal="center"/>
    </xf>
    <xf numFmtId="168" fontId="12" fillId="0" borderId="0" xfId="465" applyNumberFormat="1" applyFont="1" applyAlignment="1">
      <alignment horizontal="left"/>
    </xf>
    <xf numFmtId="10" fontId="12" fillId="0" borderId="0" xfId="634" applyNumberFormat="1" applyFont="1" applyFill="1" applyAlignment="1"/>
    <xf numFmtId="0" fontId="23" fillId="0" borderId="14" xfId="465" applyFont="1" applyBorder="1" applyAlignment="1">
      <alignment horizontal="left"/>
    </xf>
    <xf numFmtId="3" fontId="22" fillId="0" borderId="0" xfId="465" applyNumberFormat="1" applyFont="1" applyAlignment="1">
      <alignment horizontal="right"/>
    </xf>
    <xf numFmtId="0" fontId="10" fillId="0" borderId="12" xfId="465" applyFont="1" applyBorder="1" applyAlignment="1">
      <alignment horizontal="left"/>
    </xf>
    <xf numFmtId="0" fontId="38" fillId="0" borderId="12" xfId="465" applyFont="1" applyBorder="1" applyAlignment="1">
      <alignment horizontal="left"/>
    </xf>
    <xf numFmtId="3" fontId="22" fillId="0" borderId="12" xfId="465" applyNumberFormat="1" applyFont="1" applyBorder="1" applyAlignment="1">
      <alignment horizontal="right"/>
    </xf>
    <xf numFmtId="3" fontId="24" fillId="0" borderId="12" xfId="465" applyNumberFormat="1" applyFont="1" applyBorder="1" applyAlignment="1">
      <alignment horizontal="right"/>
    </xf>
    <xf numFmtId="0" fontId="10" fillId="0" borderId="0" xfId="465" applyFont="1" applyAlignment="1">
      <alignment horizontal="left"/>
    </xf>
    <xf numFmtId="164" fontId="10" fillId="0" borderId="0" xfId="390" applyNumberFormat="1" applyFont="1" applyFill="1" applyAlignment="1"/>
    <xf numFmtId="3" fontId="23" fillId="0" borderId="0" xfId="465" applyNumberFormat="1" applyFont="1" applyAlignment="1">
      <alignment horizontal="right"/>
    </xf>
    <xf numFmtId="0" fontId="10" fillId="0" borderId="13" xfId="465" applyFont="1" applyBorder="1" applyAlignment="1">
      <alignment horizontal="center"/>
    </xf>
    <xf numFmtId="169" fontId="10" fillId="0" borderId="13" xfId="465" applyNumberFormat="1" applyFont="1" applyBorder="1"/>
    <xf numFmtId="164" fontId="10" fillId="0" borderId="13" xfId="390" applyNumberFormat="1" applyFont="1" applyFill="1" applyBorder="1" applyAlignment="1">
      <alignment horizontal="right"/>
    </xf>
    <xf numFmtId="3" fontId="12" fillId="0" borderId="0" xfId="465" applyNumberFormat="1" applyFont="1" applyAlignment="1">
      <alignment horizontal="right"/>
    </xf>
    <xf numFmtId="169" fontId="12" fillId="0" borderId="0" xfId="465" applyNumberFormat="1" applyFont="1"/>
    <xf numFmtId="164" fontId="19" fillId="0" borderId="0" xfId="381" applyNumberFormat="1" applyFont="1" applyFill="1"/>
    <xf numFmtId="173" fontId="19" fillId="0" borderId="0" xfId="633" applyNumberFormat="1" applyFont="1" applyFill="1"/>
    <xf numFmtId="172" fontId="12" fillId="0" borderId="0" xfId="381" applyNumberFormat="1" applyFont="1" applyFill="1" applyAlignment="1"/>
    <xf numFmtId="176" fontId="12" fillId="0" borderId="0" xfId="381" applyNumberFormat="1" applyFont="1" applyFill="1" applyAlignment="1"/>
    <xf numFmtId="173" fontId="0" fillId="0" borderId="0" xfId="0" applyNumberFormat="1"/>
    <xf numFmtId="43" fontId="0" fillId="0" borderId="0" xfId="381" applyFont="1" applyBorder="1"/>
    <xf numFmtId="43" fontId="0" fillId="0" borderId="0" xfId="0" applyNumberFormat="1"/>
    <xf numFmtId="3" fontId="12" fillId="0" borderId="0" xfId="0" applyNumberFormat="1" applyFont="1"/>
    <xf numFmtId="164" fontId="10" fillId="0" borderId="0" xfId="381" applyNumberFormat="1" applyFont="1" applyFill="1" applyBorder="1" applyAlignment="1"/>
    <xf numFmtId="10" fontId="12" fillId="0" borderId="0" xfId="465" applyNumberFormat="1" applyFont="1"/>
    <xf numFmtId="0" fontId="18" fillId="0" borderId="22" xfId="465" applyBorder="1"/>
    <xf numFmtId="0" fontId="9" fillId="0" borderId="20" xfId="465" applyFont="1" applyBorder="1" applyAlignment="1">
      <alignment horizontal="center"/>
    </xf>
    <xf numFmtId="0" fontId="40" fillId="30" borderId="0" xfId="465" applyFont="1" applyFill="1"/>
    <xf numFmtId="0" fontId="26" fillId="30" borderId="0" xfId="465" applyFont="1" applyFill="1" applyAlignment="1">
      <alignment horizontal="left"/>
    </xf>
    <xf numFmtId="164" fontId="18" fillId="0" borderId="0" xfId="465" applyNumberFormat="1"/>
    <xf numFmtId="164" fontId="9" fillId="0" borderId="0" xfId="390" applyNumberFormat="1" applyFont="1" applyFill="1" applyBorder="1"/>
    <xf numFmtId="0" fontId="51" fillId="0" borderId="20" xfId="0" applyFont="1" applyBorder="1"/>
    <xf numFmtId="164" fontId="51" fillId="0" borderId="0" xfId="381" applyNumberFormat="1" applyFont="1" applyFill="1" applyBorder="1"/>
    <xf numFmtId="0" fontId="51" fillId="0" borderId="21" xfId="0" applyFont="1" applyBorder="1"/>
    <xf numFmtId="0" fontId="52" fillId="0" borderId="0" xfId="465" applyFont="1"/>
    <xf numFmtId="0" fontId="55" fillId="0" borderId="0" xfId="0" applyFont="1"/>
    <xf numFmtId="0" fontId="53" fillId="0" borderId="0" xfId="0" applyFont="1"/>
    <xf numFmtId="0" fontId="54" fillId="0" borderId="0" xfId="0" applyFont="1"/>
    <xf numFmtId="0" fontId="52" fillId="0" borderId="0" xfId="465" applyFont="1" applyAlignment="1">
      <alignment horizontal="center" wrapText="1"/>
    </xf>
    <xf numFmtId="0" fontId="52" fillId="0" borderId="22" xfId="465" applyFont="1" applyBorder="1" applyAlignment="1">
      <alignment horizontal="center"/>
    </xf>
    <xf numFmtId="0" fontId="52" fillId="0" borderId="10" xfId="465" applyFont="1" applyBorder="1" applyAlignment="1">
      <alignment horizontal="left"/>
    </xf>
    <xf numFmtId="0" fontId="52" fillId="0" borderId="10" xfId="465" applyFont="1" applyBorder="1" applyAlignment="1">
      <alignment horizontal="center"/>
    </xf>
    <xf numFmtId="0" fontId="18" fillId="0" borderId="21" xfId="465" applyBorder="1" applyAlignment="1">
      <alignment horizontal="left" wrapText="1"/>
    </xf>
    <xf numFmtId="164" fontId="18" fillId="0" borderId="21" xfId="390" applyNumberFormat="1" applyFont="1" applyFill="1" applyBorder="1" applyAlignment="1">
      <alignment horizontal="right"/>
    </xf>
    <xf numFmtId="0" fontId="18" fillId="0" borderId="23" xfId="465" applyBorder="1" applyAlignment="1">
      <alignment horizontal="center"/>
    </xf>
    <xf numFmtId="0" fontId="18" fillId="0" borderId="25" xfId="465" applyBorder="1" applyAlignment="1">
      <alignment horizontal="center"/>
    </xf>
    <xf numFmtId="0" fontId="9" fillId="0" borderId="24" xfId="465" applyFont="1" applyBorder="1" applyAlignment="1">
      <alignment horizontal="left"/>
    </xf>
    <xf numFmtId="0" fontId="18" fillId="0" borderId="24" xfId="465" applyBorder="1"/>
    <xf numFmtId="0" fontId="18" fillId="0" borderId="24" xfId="465" applyBorder="1" applyAlignment="1">
      <alignment horizontal="left"/>
    </xf>
    <xf numFmtId="0" fontId="18" fillId="0" borderId="23" xfId="465" applyBorder="1" applyAlignment="1">
      <alignment horizontal="left" wrapText="1"/>
    </xf>
    <xf numFmtId="0" fontId="39" fillId="0" borderId="0" xfId="465" applyFont="1"/>
    <xf numFmtId="0" fontId="35" fillId="0" borderId="0" xfId="465" applyFont="1" applyAlignment="1">
      <alignment horizontal="center"/>
    </xf>
    <xf numFmtId="0" fontId="35" fillId="0" borderId="21" xfId="465" applyFont="1" applyBorder="1" applyAlignment="1">
      <alignment horizontal="center"/>
    </xf>
    <xf numFmtId="3" fontId="35" fillId="0" borderId="21" xfId="465" applyNumberFormat="1" applyFont="1" applyBorder="1"/>
    <xf numFmtId="0" fontId="35" fillId="0" borderId="10" xfId="465" applyFont="1" applyBorder="1"/>
    <xf numFmtId="1" fontId="18" fillId="0" borderId="14" xfId="465" applyNumberFormat="1" applyBorder="1" applyAlignment="1">
      <alignment horizontal="center"/>
    </xf>
    <xf numFmtId="3" fontId="18" fillId="0" borderId="0" xfId="465" applyNumberFormat="1"/>
    <xf numFmtId="0" fontId="44" fillId="0" borderId="0" xfId="465" applyFont="1" applyAlignment="1">
      <alignment horizontal="left"/>
    </xf>
    <xf numFmtId="3" fontId="18" fillId="0" borderId="0" xfId="465" applyNumberFormat="1" applyAlignment="1">
      <alignment horizontal="right"/>
    </xf>
    <xf numFmtId="0" fontId="29" fillId="0" borderId="0" xfId="0" applyFont="1" applyAlignment="1">
      <alignment horizontal="left"/>
    </xf>
    <xf numFmtId="164" fontId="9" fillId="0" borderId="0" xfId="381" applyNumberFormat="1" applyFont="1" applyBorder="1"/>
    <xf numFmtId="164" fontId="9" fillId="0" borderId="10" xfId="381" applyNumberFormat="1" applyFont="1" applyFill="1" applyBorder="1"/>
    <xf numFmtId="0" fontId="10" fillId="30" borderId="0" xfId="0" applyFont="1" applyFill="1" applyAlignment="1">
      <alignment horizontal="center"/>
    </xf>
    <xf numFmtId="3" fontId="12" fillId="0" borderId="13" xfId="0" applyNumberFormat="1" applyFont="1" applyBorder="1" applyAlignment="1">
      <alignment horizontal="center"/>
    </xf>
    <xf numFmtId="3" fontId="12" fillId="0" borderId="12" xfId="0" applyNumberFormat="1" applyFont="1" applyBorder="1"/>
    <xf numFmtId="0" fontId="10" fillId="0" borderId="12" xfId="0" applyFont="1" applyBorder="1" applyAlignment="1">
      <alignment horizontal="center"/>
    </xf>
    <xf numFmtId="3" fontId="12" fillId="0" borderId="12" xfId="0" applyNumberFormat="1" applyFont="1" applyBorder="1" applyAlignment="1">
      <alignment horizontal="center"/>
    </xf>
    <xf numFmtId="0" fontId="10" fillId="0" borderId="13" xfId="0" applyFont="1" applyBorder="1" applyAlignment="1">
      <alignment horizontal="left"/>
    </xf>
    <xf numFmtId="168" fontId="12" fillId="0" borderId="0" xfId="0" applyNumberFormat="1" applyFont="1" applyAlignment="1">
      <alignment horizontal="left"/>
    </xf>
    <xf numFmtId="0" fontId="21" fillId="0" borderId="15" xfId="0" applyFont="1" applyBorder="1"/>
    <xf numFmtId="3" fontId="21" fillId="0" borderId="15" xfId="0" applyNumberFormat="1" applyFont="1" applyBorder="1" applyAlignment="1">
      <alignment horizontal="center"/>
    </xf>
    <xf numFmtId="0" fontId="21" fillId="0" borderId="0" xfId="0" applyFont="1"/>
    <xf numFmtId="3" fontId="21" fillId="0" borderId="0" xfId="0" applyNumberFormat="1" applyFont="1" applyAlignment="1">
      <alignment horizontal="center"/>
    </xf>
    <xf numFmtId="0" fontId="21" fillId="0" borderId="14" xfId="0" applyFont="1" applyBorder="1"/>
    <xf numFmtId="10" fontId="12" fillId="0" borderId="0" xfId="633" applyNumberFormat="1" applyFont="1" applyFill="1" applyBorder="1"/>
    <xf numFmtId="0" fontId="15" fillId="0" borderId="0" xfId="0" applyFont="1" applyAlignment="1">
      <alignment horizontal="center"/>
    </xf>
    <xf numFmtId="37" fontId="12" fillId="0" borderId="0" xfId="0" applyNumberFormat="1" applyFont="1" applyAlignment="1">
      <alignment horizontal="left"/>
    </xf>
    <xf numFmtId="3" fontId="12" fillId="30" borderId="0" xfId="0" applyNumberFormat="1" applyFont="1" applyFill="1" applyAlignment="1">
      <alignment horizontal="center"/>
    </xf>
    <xf numFmtId="49" fontId="61" fillId="0" borderId="0" xfId="0" applyNumberFormat="1" applyFont="1" applyAlignment="1">
      <alignment horizontal="left"/>
    </xf>
    <xf numFmtId="0" fontId="8" fillId="0" borderId="0" xfId="465" applyFont="1"/>
    <xf numFmtId="0" fontId="9" fillId="0" borderId="0" xfId="465" applyFont="1" applyAlignment="1">
      <alignment horizontal="center" wrapText="1"/>
    </xf>
    <xf numFmtId="0" fontId="51" fillId="0" borderId="0" xfId="0" applyFont="1"/>
    <xf numFmtId="164" fontId="18" fillId="0" borderId="22" xfId="390" applyNumberFormat="1" applyFont="1" applyFill="1" applyBorder="1" applyAlignment="1">
      <alignment horizontal="center"/>
    </xf>
    <xf numFmtId="164" fontId="9" fillId="0" borderId="24" xfId="381" applyNumberFormat="1" applyFont="1" applyFill="1" applyBorder="1"/>
    <xf numFmtId="0" fontId="8" fillId="0" borderId="0" xfId="467"/>
    <xf numFmtId="0" fontId="8" fillId="0" borderId="0" xfId="467" applyAlignment="1">
      <alignment horizontal="center"/>
    </xf>
    <xf numFmtId="0" fontId="8" fillId="0" borderId="0" xfId="467" applyAlignment="1">
      <alignment horizontal="centerContinuous"/>
    </xf>
    <xf numFmtId="164" fontId="8" fillId="0" borderId="0" xfId="381" applyNumberFormat="1" applyFont="1" applyBorder="1" applyAlignment="1"/>
    <xf numFmtId="164" fontId="8" fillId="0" borderId="0" xfId="381" applyNumberFormat="1" applyFont="1" applyFill="1" applyBorder="1" applyAlignment="1">
      <alignment horizontal="center" wrapText="1"/>
    </xf>
    <xf numFmtId="0" fontId="12" fillId="0" borderId="27" xfId="0" applyFont="1" applyBorder="1"/>
    <xf numFmtId="164" fontId="12" fillId="0" borderId="0" xfId="381" applyNumberFormat="1" applyFont="1" applyBorder="1"/>
    <xf numFmtId="164" fontId="12" fillId="0" borderId="0" xfId="381" applyNumberFormat="1" applyFont="1" applyFill="1" applyBorder="1"/>
    <xf numFmtId="49" fontId="29" fillId="0" borderId="0" xfId="0" applyNumberFormat="1" applyFont="1" applyAlignment="1">
      <alignment horizontal="left"/>
    </xf>
    <xf numFmtId="164" fontId="0" fillId="0" borderId="0" xfId="381" applyNumberFormat="1" applyFont="1"/>
    <xf numFmtId="0" fontId="0" fillId="0" borderId="20" xfId="0" applyBorder="1"/>
    <xf numFmtId="0" fontId="0" fillId="0" borderId="21" xfId="0" applyBorder="1"/>
    <xf numFmtId="164" fontId="18" fillId="0" borderId="28" xfId="390" applyNumberFormat="1" applyFont="1" applyFill="1" applyBorder="1" applyAlignment="1">
      <alignment horizontal="right"/>
    </xf>
    <xf numFmtId="3" fontId="35" fillId="0" borderId="0" xfId="465" applyNumberFormat="1" applyFont="1"/>
    <xf numFmtId="3" fontId="18" fillId="0" borderId="10" xfId="465" applyNumberFormat="1" applyBorder="1" applyAlignment="1">
      <alignment horizontal="left"/>
    </xf>
    <xf numFmtId="164" fontId="12" fillId="30" borderId="0" xfId="381" applyNumberFormat="1" applyFont="1" applyFill="1"/>
    <xf numFmtId="164" fontId="52" fillId="0" borderId="0" xfId="465" applyNumberFormat="1" applyFont="1" applyAlignment="1">
      <alignment horizontal="center"/>
    </xf>
    <xf numFmtId="0" fontId="14" fillId="0" borderId="14" xfId="0" applyFont="1" applyBorder="1" applyAlignment="1">
      <alignment horizontal="right"/>
    </xf>
    <xf numFmtId="3" fontId="59" fillId="0" borderId="13" xfId="0" applyNumberFormat="1" applyFont="1" applyBorder="1" applyAlignment="1">
      <alignment horizontal="right"/>
    </xf>
    <xf numFmtId="0" fontId="0" fillId="30" borderId="0" xfId="0" applyFill="1"/>
    <xf numFmtId="3" fontId="12" fillId="0" borderId="14" xfId="473" applyNumberFormat="1" applyFont="1" applyBorder="1"/>
    <xf numFmtId="164" fontId="18" fillId="0" borderId="12" xfId="381" applyNumberFormat="1" applyFont="1" applyFill="1" applyBorder="1" applyAlignment="1">
      <alignment wrapText="1"/>
    </xf>
    <xf numFmtId="167" fontId="0" fillId="0" borderId="0" xfId="0" applyNumberFormat="1"/>
    <xf numFmtId="164" fontId="8" fillId="0" borderId="0" xfId="381" applyNumberFormat="1" applyFill="1" applyAlignment="1"/>
    <xf numFmtId="164" fontId="8" fillId="0" borderId="0" xfId="381" applyNumberFormat="1" applyFill="1" applyAlignment="1">
      <alignment wrapText="1"/>
    </xf>
    <xf numFmtId="0" fontId="51" fillId="0" borderId="14" xfId="0" applyFont="1" applyBorder="1"/>
    <xf numFmtId="164" fontId="8" fillId="0" borderId="0" xfId="465" applyNumberFormat="1" applyFont="1" applyAlignment="1">
      <alignment horizontal="center" wrapText="1"/>
    </xf>
    <xf numFmtId="168" fontId="8" fillId="0" borderId="0" xfId="633" applyNumberFormat="1" applyFont="1" applyFill="1" applyBorder="1" applyAlignment="1">
      <alignment horizontal="center" wrapText="1"/>
    </xf>
    <xf numFmtId="164" fontId="18" fillId="0" borderId="0" xfId="465" applyNumberFormat="1" applyAlignment="1">
      <alignment horizontal="right"/>
    </xf>
    <xf numFmtId="164" fontId="18" fillId="0" borderId="10" xfId="390" applyNumberFormat="1" applyFont="1" applyFill="1" applyBorder="1" applyAlignment="1">
      <alignment horizontal="right"/>
    </xf>
    <xf numFmtId="164" fontId="52" fillId="0" borderId="10" xfId="390" applyNumberFormat="1" applyFont="1" applyFill="1" applyBorder="1" applyAlignment="1">
      <alignment horizontal="right"/>
    </xf>
    <xf numFmtId="0" fontId="51" fillId="0" borderId="25" xfId="0" applyFont="1" applyBorder="1"/>
    <xf numFmtId="0" fontId="51" fillId="0" borderId="24" xfId="0" applyFont="1" applyBorder="1"/>
    <xf numFmtId="0" fontId="51" fillId="0" borderId="29" xfId="0" applyFont="1" applyBorder="1"/>
    <xf numFmtId="41" fontId="51" fillId="0" borderId="0" xfId="381" applyNumberFormat="1" applyFont="1" applyFill="1" applyBorder="1"/>
    <xf numFmtId="9" fontId="51" fillId="0" borderId="21" xfId="633" applyFont="1" applyFill="1" applyBorder="1"/>
    <xf numFmtId="0" fontId="51" fillId="0" borderId="30" xfId="0" applyFont="1" applyBorder="1"/>
    <xf numFmtId="0" fontId="51" fillId="0" borderId="31" xfId="0" applyFont="1" applyBorder="1"/>
    <xf numFmtId="0" fontId="48" fillId="0" borderId="20" xfId="0" applyFont="1" applyBorder="1"/>
    <xf numFmtId="0" fontId="48" fillId="0" borderId="0" xfId="0" applyFont="1"/>
    <xf numFmtId="41" fontId="48" fillId="0" borderId="12" xfId="381" applyNumberFormat="1" applyFont="1" applyFill="1" applyBorder="1"/>
    <xf numFmtId="9" fontId="48" fillId="0" borderId="21" xfId="633" applyFont="1" applyFill="1" applyBorder="1"/>
    <xf numFmtId="10" fontId="51" fillId="0" borderId="21" xfId="633" applyNumberFormat="1" applyFont="1" applyFill="1" applyBorder="1"/>
    <xf numFmtId="10" fontId="48" fillId="0" borderId="32" xfId="633" applyNumberFormat="1" applyFont="1" applyFill="1" applyBorder="1"/>
    <xf numFmtId="9" fontId="51" fillId="0" borderId="0" xfId="633" applyFont="1" applyFill="1"/>
    <xf numFmtId="0" fontId="51" fillId="0" borderId="22" xfId="0" applyFont="1" applyBorder="1"/>
    <xf numFmtId="0" fontId="51" fillId="0" borderId="10" xfId="0" applyFont="1" applyBorder="1"/>
    <xf numFmtId="0" fontId="51" fillId="0" borderId="23" xfId="0" applyFont="1" applyBorder="1"/>
    <xf numFmtId="0" fontId="50" fillId="0" borderId="0" xfId="552" applyFont="1" applyAlignment="1">
      <alignment horizontal="center"/>
    </xf>
    <xf numFmtId="0" fontId="9" fillId="0" borderId="14" xfId="0" applyFont="1" applyBorder="1" applyAlignment="1">
      <alignment horizontal="center"/>
    </xf>
    <xf numFmtId="41" fontId="8" fillId="0" borderId="0" xfId="381" applyNumberFormat="1" applyFont="1"/>
    <xf numFmtId="41" fontId="0" fillId="0" borderId="0" xfId="0" applyNumberFormat="1"/>
    <xf numFmtId="41" fontId="8" fillId="0" borderId="0" xfId="381" applyNumberFormat="1" applyFont="1" applyFill="1"/>
    <xf numFmtId="43" fontId="0" fillId="0" borderId="0" xfId="381" applyFont="1"/>
    <xf numFmtId="0" fontId="9" fillId="0" borderId="26" xfId="0" applyFont="1" applyBorder="1" applyAlignment="1">
      <alignment horizontal="left"/>
    </xf>
    <xf numFmtId="0" fontId="9" fillId="0" borderId="26" xfId="0" applyFont="1" applyBorder="1" applyAlignment="1">
      <alignment horizontal="center"/>
    </xf>
    <xf numFmtId="0" fontId="0" fillId="0" borderId="26" xfId="0" applyBorder="1"/>
    <xf numFmtId="1" fontId="9" fillId="0" borderId="17" xfId="381" applyNumberFormat="1" applyFont="1" applyFill="1" applyBorder="1" applyAlignment="1">
      <alignment horizontal="center"/>
    </xf>
    <xf numFmtId="1" fontId="9" fillId="0" borderId="17" xfId="0" applyNumberFormat="1" applyFont="1" applyBorder="1" applyAlignment="1">
      <alignment horizontal="center"/>
    </xf>
    <xf numFmtId="1" fontId="9" fillId="0" borderId="0" xfId="0" applyNumberFormat="1" applyFont="1" applyAlignment="1">
      <alignment horizontal="center"/>
    </xf>
    <xf numFmtId="164" fontId="9" fillId="0" borderId="26" xfId="381" applyNumberFormat="1" applyFont="1" applyFill="1" applyBorder="1" applyAlignment="1">
      <alignment horizontal="center"/>
    </xf>
    <xf numFmtId="1" fontId="9" fillId="0" borderId="26" xfId="0" applyNumberFormat="1" applyFont="1" applyBorder="1" applyAlignment="1">
      <alignment horizontal="center"/>
    </xf>
    <xf numFmtId="0" fontId="8" fillId="0" borderId="0" xfId="477"/>
    <xf numFmtId="0" fontId="70" fillId="0" borderId="0" xfId="0" applyFont="1"/>
    <xf numFmtId="0" fontId="10" fillId="0" borderId="28" xfId="0" applyFont="1" applyBorder="1"/>
    <xf numFmtId="164" fontId="12" fillId="0" borderId="28" xfId="381" applyNumberFormat="1" applyFont="1" applyFill="1" applyBorder="1"/>
    <xf numFmtId="164" fontId="12" fillId="0" borderId="28" xfId="381" applyNumberFormat="1" applyFont="1" applyBorder="1"/>
    <xf numFmtId="173" fontId="10" fillId="0" borderId="33" xfId="633" applyNumberFormat="1" applyFont="1" applyFill="1" applyBorder="1" applyAlignment="1"/>
    <xf numFmtId="3" fontId="12" fillId="0" borderId="28" xfId="0" applyNumberFormat="1" applyFont="1" applyBorder="1"/>
    <xf numFmtId="164" fontId="12" fillId="30" borderId="28" xfId="381" applyNumberFormat="1" applyFont="1" applyFill="1" applyBorder="1"/>
    <xf numFmtId="3" fontId="10" fillId="0" borderId="34" xfId="0" applyNumberFormat="1" applyFont="1" applyBorder="1"/>
    <xf numFmtId="3" fontId="10" fillId="0" borderId="33" xfId="0" applyNumberFormat="1" applyFont="1" applyBorder="1"/>
    <xf numFmtId="164" fontId="12" fillId="0" borderId="35" xfId="381" applyNumberFormat="1" applyFont="1" applyBorder="1"/>
    <xf numFmtId="164" fontId="10" fillId="0" borderId="28" xfId="381" applyNumberFormat="1" applyFont="1" applyBorder="1"/>
    <xf numFmtId="164" fontId="10" fillId="0" borderId="28" xfId="381" applyNumberFormat="1" applyFont="1" applyFill="1" applyBorder="1"/>
    <xf numFmtId="3" fontId="10" fillId="0" borderId="33" xfId="0" applyNumberFormat="1" applyFont="1" applyBorder="1" applyAlignment="1">
      <alignment horizontal="right"/>
    </xf>
    <xf numFmtId="3" fontId="21" fillId="0" borderId="36" xfId="0" applyNumberFormat="1" applyFont="1" applyBorder="1"/>
    <xf numFmtId="3" fontId="12" fillId="0" borderId="35" xfId="0" applyNumberFormat="1" applyFont="1" applyBorder="1"/>
    <xf numFmtId="3" fontId="10" fillId="0" borderId="28" xfId="0" applyNumberFormat="1" applyFont="1" applyBorder="1"/>
    <xf numFmtId="164" fontId="10" fillId="0" borderId="28" xfId="381" applyNumberFormat="1" applyFont="1" applyBorder="1" applyAlignment="1"/>
    <xf numFmtId="173" fontId="10" fillId="0" borderId="28" xfId="633" applyNumberFormat="1" applyFont="1" applyBorder="1" applyAlignment="1"/>
    <xf numFmtId="164" fontId="10" fillId="0" borderId="28" xfId="381" applyNumberFormat="1" applyFont="1" applyFill="1" applyBorder="1" applyAlignment="1"/>
    <xf numFmtId="0" fontId="39" fillId="0" borderId="0" xfId="465" applyFont="1" applyAlignment="1">
      <alignment horizontal="center" wrapText="1"/>
    </xf>
    <xf numFmtId="0" fontId="35" fillId="0" borderId="0" xfId="465" applyFont="1" applyAlignment="1">
      <alignment horizontal="center" wrapText="1"/>
    </xf>
    <xf numFmtId="0" fontId="35" fillId="0" borderId="21" xfId="465" applyFont="1" applyBorder="1" applyAlignment="1">
      <alignment horizontal="center" wrapText="1"/>
    </xf>
    <xf numFmtId="0" fontId="39" fillId="0" borderId="21" xfId="465" applyFont="1" applyBorder="1" applyAlignment="1">
      <alignment horizontal="center" wrapText="1"/>
    </xf>
    <xf numFmtId="0" fontId="9" fillId="0" borderId="24" xfId="465" applyFont="1" applyBorder="1" applyAlignment="1">
      <alignment horizontal="center" wrapText="1"/>
    </xf>
    <xf numFmtId="164" fontId="12" fillId="0" borderId="35" xfId="381" applyNumberFormat="1" applyFont="1" applyFill="1" applyBorder="1"/>
    <xf numFmtId="0" fontId="8" fillId="0" borderId="0" xfId="465" applyFont="1" applyAlignment="1">
      <alignment horizontal="center"/>
    </xf>
    <xf numFmtId="0" fontId="8" fillId="0" borderId="24" xfId="465" applyFont="1" applyBorder="1" applyAlignment="1">
      <alignment horizontal="center"/>
    </xf>
    <xf numFmtId="0" fontId="51" fillId="0" borderId="0" xfId="0" applyFont="1" applyAlignment="1">
      <alignment wrapText="1"/>
    </xf>
    <xf numFmtId="0" fontId="49" fillId="0" borderId="20" xfId="0" applyFont="1" applyBorder="1"/>
    <xf numFmtId="164" fontId="51" fillId="0" borderId="21" xfId="381" applyNumberFormat="1" applyFont="1" applyFill="1" applyBorder="1"/>
    <xf numFmtId="164" fontId="51" fillId="0" borderId="32" xfId="0" applyNumberFormat="1" applyFont="1" applyBorder="1"/>
    <xf numFmtId="164" fontId="51" fillId="0" borderId="23" xfId="0" applyNumberFormat="1" applyFont="1" applyBorder="1"/>
    <xf numFmtId="0" fontId="71" fillId="0" borderId="0" xfId="0" applyFont="1"/>
    <xf numFmtId="164" fontId="51" fillId="0" borderId="32" xfId="381" applyNumberFormat="1" applyFont="1" applyFill="1" applyBorder="1"/>
    <xf numFmtId="164" fontId="51" fillId="0" borderId="23" xfId="381" applyNumberFormat="1" applyFont="1" applyFill="1" applyBorder="1"/>
    <xf numFmtId="167" fontId="0" fillId="0" borderId="13" xfId="420" applyNumberFormat="1" applyFont="1" applyFill="1" applyBorder="1" applyAlignment="1"/>
    <xf numFmtId="0" fontId="8" fillId="0" borderId="0" xfId="0" applyFont="1" applyAlignment="1">
      <alignment horizontal="center" wrapText="1"/>
    </xf>
    <xf numFmtId="164" fontId="72" fillId="0" borderId="28" xfId="381" applyNumberFormat="1" applyFont="1" applyFill="1" applyBorder="1"/>
    <xf numFmtId="0" fontId="18" fillId="0" borderId="0" xfId="390" applyNumberFormat="1" applyFont="1" applyFill="1" applyBorder="1" applyAlignment="1">
      <alignment horizontal="right"/>
    </xf>
    <xf numFmtId="165" fontId="8" fillId="31" borderId="0" xfId="498" applyNumberFormat="1" applyFont="1" applyFill="1" applyAlignment="1">
      <alignment horizontal="center"/>
    </xf>
    <xf numFmtId="0" fontId="74" fillId="31" borderId="10" xfId="0" applyFont="1" applyFill="1" applyBorder="1" applyAlignment="1">
      <alignment horizontal="center"/>
    </xf>
    <xf numFmtId="165" fontId="8" fillId="31" borderId="10" xfId="498" applyNumberFormat="1" applyFont="1" applyFill="1" applyBorder="1" applyAlignment="1">
      <alignment horizontal="center"/>
    </xf>
    <xf numFmtId="0" fontId="75" fillId="31" borderId="0" xfId="0" applyFont="1" applyFill="1" applyAlignment="1">
      <alignment horizontal="center"/>
    </xf>
    <xf numFmtId="0" fontId="75" fillId="31" borderId="0" xfId="0" applyFont="1" applyFill="1"/>
    <xf numFmtId="165" fontId="8" fillId="31" borderId="0" xfId="498" applyNumberFormat="1" applyFont="1" applyFill="1"/>
    <xf numFmtId="0" fontId="75" fillId="31" borderId="24" xfId="0" applyFont="1" applyFill="1" applyBorder="1"/>
    <xf numFmtId="164" fontId="8" fillId="31" borderId="0" xfId="381" applyNumberFormat="1" applyFont="1" applyFill="1"/>
    <xf numFmtId="0" fontId="8" fillId="31" borderId="0" xfId="0" applyFont="1" applyFill="1"/>
    <xf numFmtId="164" fontId="76" fillId="31" borderId="0" xfId="0" applyNumberFormat="1" applyFont="1" applyFill="1"/>
    <xf numFmtId="0" fontId="76" fillId="31" borderId="0" xfId="0" applyFont="1" applyFill="1"/>
    <xf numFmtId="175" fontId="8" fillId="31" borderId="0" xfId="381" applyNumberFormat="1" applyFont="1" applyFill="1"/>
    <xf numFmtId="44" fontId="8" fillId="31" borderId="0" xfId="421" applyFont="1" applyFill="1"/>
    <xf numFmtId="165" fontId="8" fillId="0" borderId="0" xfId="498" applyNumberFormat="1" applyFont="1"/>
    <xf numFmtId="44" fontId="8" fillId="0" borderId="0" xfId="421" applyFont="1" applyFill="1"/>
    <xf numFmtId="0" fontId="75" fillId="0" borderId="0" xfId="0" applyFont="1"/>
    <xf numFmtId="44" fontId="8" fillId="0" borderId="0" xfId="421" applyFont="1"/>
    <xf numFmtId="0" fontId="77" fillId="0" borderId="0" xfId="0" applyFont="1"/>
    <xf numFmtId="0" fontId="78" fillId="0" borderId="0" xfId="0" applyFont="1"/>
    <xf numFmtId="0" fontId="79" fillId="0" borderId="0" xfId="0" applyFont="1"/>
    <xf numFmtId="0" fontId="80" fillId="0" borderId="0" xfId="467" applyFont="1" applyAlignment="1">
      <alignment horizontal="centerContinuous"/>
    </xf>
    <xf numFmtId="0" fontId="81" fillId="0" borderId="0" xfId="467" applyFont="1" applyAlignment="1">
      <alignment horizontal="centerContinuous"/>
    </xf>
    <xf numFmtId="0" fontId="82" fillId="0" borderId="0" xfId="467" applyFont="1"/>
    <xf numFmtId="0" fontId="50" fillId="0" borderId="0" xfId="467" applyFont="1" applyAlignment="1">
      <alignment horizontal="center"/>
    </xf>
    <xf numFmtId="0" fontId="50" fillId="0" borderId="0" xfId="467" applyFont="1"/>
    <xf numFmtId="0" fontId="83" fillId="0" borderId="0" xfId="467" applyFont="1" applyAlignment="1">
      <alignment horizontal="left"/>
    </xf>
    <xf numFmtId="0" fontId="50" fillId="0" borderId="0" xfId="467" applyFont="1" applyAlignment="1">
      <alignment horizontal="left"/>
    </xf>
    <xf numFmtId="16" fontId="50" fillId="0" borderId="0" xfId="467" applyNumberFormat="1" applyFont="1" applyAlignment="1">
      <alignment horizontal="center"/>
    </xf>
    <xf numFmtId="164" fontId="50" fillId="0" borderId="0" xfId="391" applyNumberFormat="1" applyFont="1"/>
    <xf numFmtId="167" fontId="50" fillId="32" borderId="0" xfId="422" applyNumberFormat="1" applyFont="1" applyFill="1"/>
    <xf numFmtId="0" fontId="84" fillId="0" borderId="0" xfId="467" applyFont="1" applyAlignment="1">
      <alignment horizontal="left"/>
    </xf>
    <xf numFmtId="0" fontId="85" fillId="0" borderId="0" xfId="467" applyFont="1" applyAlignment="1">
      <alignment horizontal="center"/>
    </xf>
    <xf numFmtId="0" fontId="85" fillId="0" borderId="0" xfId="467" applyFont="1" applyAlignment="1">
      <alignment horizontal="left"/>
    </xf>
    <xf numFmtId="164" fontId="50" fillId="0" borderId="0" xfId="467" applyNumberFormat="1" applyFont="1"/>
    <xf numFmtId="164" fontId="50" fillId="33" borderId="0" xfId="391" applyNumberFormat="1" applyFont="1" applyFill="1"/>
    <xf numFmtId="164" fontId="50" fillId="0" borderId="0" xfId="391" applyNumberFormat="1" applyFont="1" applyFill="1"/>
    <xf numFmtId="43" fontId="50" fillId="0" borderId="0" xfId="467" applyNumberFormat="1" applyFont="1"/>
    <xf numFmtId="164" fontId="50" fillId="0" borderId="0" xfId="467" applyNumberFormat="1" applyFont="1" applyAlignment="1">
      <alignment horizontal="right"/>
    </xf>
    <xf numFmtId="167" fontId="50" fillId="32" borderId="0" xfId="467" applyNumberFormat="1" applyFont="1" applyFill="1"/>
    <xf numFmtId="167" fontId="50" fillId="0" borderId="0" xfId="467" applyNumberFormat="1" applyFont="1"/>
    <xf numFmtId="167" fontId="50" fillId="0" borderId="0" xfId="422" applyNumberFormat="1" applyFont="1"/>
    <xf numFmtId="0" fontId="86" fillId="0" borderId="0" xfId="467" applyFont="1"/>
    <xf numFmtId="167" fontId="50" fillId="32" borderId="0" xfId="422" applyNumberFormat="1" applyFont="1" applyFill="1" applyAlignment="1">
      <alignment horizontal="left"/>
    </xf>
    <xf numFmtId="167" fontId="85" fillId="0" borderId="0" xfId="422" applyNumberFormat="1" applyFont="1" applyFill="1" applyAlignment="1">
      <alignment horizontal="left"/>
    </xf>
    <xf numFmtId="167" fontId="50" fillId="0" borderId="0" xfId="422" applyNumberFormat="1" applyFont="1" applyAlignment="1">
      <alignment horizontal="left"/>
    </xf>
    <xf numFmtId="0" fontId="8" fillId="0" borderId="0" xfId="467" applyAlignment="1">
      <alignment wrapText="1"/>
    </xf>
    <xf numFmtId="167" fontId="50" fillId="0" borderId="0" xfId="422" applyNumberFormat="1" applyFont="1" applyFill="1" applyAlignment="1">
      <alignment horizontal="left"/>
    </xf>
    <xf numFmtId="164" fontId="50" fillId="0" borderId="0" xfId="467" applyNumberFormat="1" applyFont="1" applyAlignment="1">
      <alignment horizontal="center"/>
    </xf>
    <xf numFmtId="164" fontId="84" fillId="0" borderId="0" xfId="467" applyNumberFormat="1" applyFont="1"/>
    <xf numFmtId="0" fontId="84" fillId="0" borderId="0" xfId="467" applyFont="1"/>
    <xf numFmtId="44" fontId="8" fillId="34" borderId="0" xfId="420" applyFont="1" applyFill="1"/>
    <xf numFmtId="43" fontId="50" fillId="34" borderId="0" xfId="381" applyFont="1" applyFill="1"/>
    <xf numFmtId="43" fontId="50" fillId="0" borderId="0" xfId="381" applyFont="1"/>
    <xf numFmtId="164" fontId="50" fillId="0" borderId="0" xfId="467" applyNumberFormat="1" applyFont="1" applyAlignment="1">
      <alignment horizontal="left"/>
    </xf>
    <xf numFmtId="173" fontId="50" fillId="0" borderId="0" xfId="467" applyNumberFormat="1" applyFont="1"/>
    <xf numFmtId="168" fontId="50" fillId="0" borderId="0" xfId="635" applyNumberFormat="1" applyFont="1"/>
    <xf numFmtId="167" fontId="50" fillId="0" borderId="0" xfId="467" applyNumberFormat="1" applyFont="1" applyAlignment="1">
      <alignment horizontal="center"/>
    </xf>
    <xf numFmtId="0" fontId="29" fillId="0" borderId="0" xfId="467" applyFont="1" applyAlignment="1">
      <alignment horizontal="center"/>
    </xf>
    <xf numFmtId="0" fontId="29" fillId="0" borderId="0" xfId="467" applyFont="1"/>
    <xf numFmtId="164" fontId="50" fillId="0" borderId="0" xfId="381" applyNumberFormat="1" applyFont="1" applyFill="1" applyAlignment="1">
      <alignment horizontal="center"/>
    </xf>
    <xf numFmtId="0" fontId="50" fillId="34" borderId="0" xfId="467" applyFont="1" applyFill="1" applyAlignment="1">
      <alignment horizontal="center"/>
    </xf>
    <xf numFmtId="37" fontId="50" fillId="0" borderId="0" xfId="391" applyNumberFormat="1" applyFont="1" applyFill="1"/>
    <xf numFmtId="164" fontId="50" fillId="0" borderId="0" xfId="381" applyNumberFormat="1" applyFont="1" applyFill="1"/>
    <xf numFmtId="164" fontId="50" fillId="0" borderId="0" xfId="381" applyNumberFormat="1" applyFont="1"/>
    <xf numFmtId="170" fontId="9" fillId="0" borderId="0" xfId="0" applyNumberFormat="1" applyFont="1" applyAlignment="1">
      <alignment horizontal="center" wrapText="1"/>
    </xf>
    <xf numFmtId="170" fontId="0" fillId="0" borderId="0" xfId="0" applyNumberFormat="1"/>
    <xf numFmtId="43" fontId="87" fillId="0" borderId="0" xfId="381" applyFont="1" applyBorder="1"/>
    <xf numFmtId="43" fontId="87" fillId="0" borderId="0" xfId="381" applyFont="1" applyFill="1" applyBorder="1"/>
    <xf numFmtId="0" fontId="18" fillId="0" borderId="21" xfId="465" applyBorder="1" applyAlignment="1">
      <alignment horizontal="center"/>
    </xf>
    <xf numFmtId="164" fontId="9" fillId="0" borderId="0" xfId="381" applyNumberFormat="1" applyFont="1" applyFill="1" applyBorder="1"/>
    <xf numFmtId="0" fontId="12" fillId="0" borderId="20" xfId="0" applyFont="1" applyBorder="1" applyAlignment="1">
      <alignment horizontal="center"/>
    </xf>
    <xf numFmtId="173" fontId="10" fillId="0" borderId="0" xfId="633" applyNumberFormat="1" applyFont="1" applyBorder="1" applyAlignment="1"/>
    <xf numFmtId="164" fontId="10" fillId="0" borderId="0" xfId="381" applyNumberFormat="1" applyFont="1" applyBorder="1" applyAlignment="1"/>
    <xf numFmtId="0" fontId="15" fillId="0" borderId="0" xfId="0" applyFont="1"/>
    <xf numFmtId="170" fontId="10" fillId="0" borderId="0" xfId="0" applyNumberFormat="1" applyFont="1"/>
    <xf numFmtId="164" fontId="49" fillId="0" borderId="0" xfId="381" applyNumberFormat="1" applyFont="1" applyFill="1" applyBorder="1"/>
    <xf numFmtId="43" fontId="18" fillId="0" borderId="10" xfId="381" applyFont="1" applyFill="1" applyBorder="1" applyAlignment="1">
      <alignment horizontal="center"/>
    </xf>
    <xf numFmtId="37" fontId="51" fillId="0" borderId="0" xfId="0" applyNumberFormat="1" applyFont="1"/>
    <xf numFmtId="0" fontId="18" fillId="0" borderId="0" xfId="0" applyFont="1" applyAlignment="1">
      <alignment wrapText="1"/>
    </xf>
    <xf numFmtId="0" fontId="8" fillId="0" borderId="0" xfId="0" applyFont="1" applyAlignment="1">
      <alignment wrapText="1"/>
    </xf>
    <xf numFmtId="37" fontId="35" fillId="0" borderId="0" xfId="0" applyNumberFormat="1" applyFont="1"/>
    <xf numFmtId="164" fontId="35" fillId="0" borderId="0" xfId="381" applyNumberFormat="1" applyFont="1" applyFill="1" applyBorder="1"/>
    <xf numFmtId="3" fontId="12" fillId="0" borderId="0" xfId="0" applyNumberFormat="1" applyFont="1" applyAlignment="1">
      <alignment horizontal="center" wrapText="1"/>
    </xf>
    <xf numFmtId="0" fontId="12" fillId="0" borderId="0" xfId="0" applyFont="1" applyAlignment="1">
      <alignment horizontal="center" wrapText="1"/>
    </xf>
    <xf numFmtId="164" fontId="62" fillId="0" borderId="0" xfId="381" applyNumberFormat="1" applyFont="1" applyFill="1" applyBorder="1"/>
    <xf numFmtId="164" fontId="54" fillId="0" borderId="0" xfId="381" applyNumberFormat="1" applyFont="1" applyBorder="1"/>
    <xf numFmtId="0" fontId="8" fillId="0" borderId="17" xfId="0" applyFont="1" applyBorder="1"/>
    <xf numFmtId="0" fontId="66" fillId="0" borderId="0" xfId="0" applyFont="1"/>
    <xf numFmtId="0" fontId="21" fillId="0" borderId="0" xfId="467" applyFont="1" applyAlignment="1">
      <alignment horizontal="center"/>
    </xf>
    <xf numFmtId="0" fontId="21" fillId="0" borderId="0" xfId="467" applyFont="1"/>
    <xf numFmtId="0" fontId="9" fillId="0" borderId="0" xfId="467" applyFont="1" applyAlignment="1">
      <alignment horizontal="left"/>
    </xf>
    <xf numFmtId="0" fontId="8" fillId="0" borderId="0" xfId="467" applyAlignment="1">
      <alignment horizontal="left"/>
    </xf>
    <xf numFmtId="164" fontId="8" fillId="0" borderId="0" xfId="381" applyNumberFormat="1" applyFont="1" applyFill="1"/>
    <xf numFmtId="0" fontId="9" fillId="0" borderId="0" xfId="467" applyFont="1"/>
    <xf numFmtId="164" fontId="8" fillId="0" borderId="0" xfId="381" applyNumberFormat="1" applyFont="1" applyBorder="1"/>
    <xf numFmtId="0" fontId="8" fillId="0" borderId="10" xfId="467" applyBorder="1"/>
    <xf numFmtId="0" fontId="35" fillId="0" borderId="25" xfId="467" applyFont="1" applyBorder="1"/>
    <xf numFmtId="0" fontId="35" fillId="0" borderId="20" xfId="467" applyFont="1" applyBorder="1"/>
    <xf numFmtId="0" fontId="35" fillId="0" borderId="20" xfId="467" applyFont="1" applyBorder="1" applyAlignment="1">
      <alignment horizontal="center"/>
    </xf>
    <xf numFmtId="0" fontId="39" fillId="0" borderId="20" xfId="467" applyFont="1" applyBorder="1" applyAlignment="1">
      <alignment horizontal="center"/>
    </xf>
    <xf numFmtId="0" fontId="35" fillId="0" borderId="0" xfId="467" applyFont="1" applyAlignment="1">
      <alignment horizontal="center"/>
    </xf>
    <xf numFmtId="164" fontId="35" fillId="0" borderId="21" xfId="381" applyNumberFormat="1" applyFont="1" applyFill="1" applyBorder="1" applyAlignment="1">
      <alignment horizontal="center"/>
    </xf>
    <xf numFmtId="0" fontId="35" fillId="0" borderId="0" xfId="467" applyFont="1"/>
    <xf numFmtId="164" fontId="35" fillId="0" borderId="21" xfId="381" applyNumberFormat="1" applyFont="1" applyFill="1" applyBorder="1"/>
    <xf numFmtId="164" fontId="35" fillId="0" borderId="20" xfId="381" applyNumberFormat="1" applyFont="1" applyFill="1" applyBorder="1"/>
    <xf numFmtId="0" fontId="35" fillId="0" borderId="22" xfId="467" applyFont="1" applyBorder="1"/>
    <xf numFmtId="164" fontId="35" fillId="0" borderId="22" xfId="381" applyNumberFormat="1" applyFont="1" applyFill="1" applyBorder="1"/>
    <xf numFmtId="164" fontId="35" fillId="0" borderId="10" xfId="381" applyNumberFormat="1" applyFont="1" applyFill="1" applyBorder="1"/>
    <xf numFmtId="164" fontId="35" fillId="0" borderId="23" xfId="381" applyNumberFormat="1" applyFont="1" applyFill="1" applyBorder="1"/>
    <xf numFmtId="164" fontId="39" fillId="0" borderId="29" xfId="381" applyNumberFormat="1" applyFont="1" applyFill="1" applyBorder="1" applyAlignment="1">
      <alignment horizontal="center" wrapText="1"/>
    </xf>
    <xf numFmtId="0" fontId="39" fillId="0" borderId="39" xfId="467" applyFont="1" applyBorder="1" applyAlignment="1">
      <alignment horizontal="center"/>
    </xf>
    <xf numFmtId="0" fontId="35" fillId="0" borderId="40" xfId="467" applyFont="1" applyBorder="1" applyAlignment="1">
      <alignment horizontal="center"/>
    </xf>
    <xf numFmtId="164" fontId="35" fillId="0" borderId="0" xfId="467" applyNumberFormat="1" applyFont="1"/>
    <xf numFmtId="167" fontId="35" fillId="0" borderId="40" xfId="420" applyNumberFormat="1" applyFont="1" applyBorder="1"/>
    <xf numFmtId="0" fontId="35" fillId="0" borderId="40" xfId="467" applyFont="1" applyBorder="1"/>
    <xf numFmtId="164" fontId="39" fillId="0" borderId="0" xfId="467" applyNumberFormat="1" applyFont="1"/>
    <xf numFmtId="164" fontId="39" fillId="0" borderId="21" xfId="381" applyNumberFormat="1" applyFont="1" applyBorder="1"/>
    <xf numFmtId="0" fontId="35" fillId="0" borderId="41" xfId="467" applyFont="1" applyBorder="1"/>
    <xf numFmtId="164" fontId="39" fillId="0" borderId="10" xfId="467" applyNumberFormat="1" applyFont="1" applyBorder="1"/>
    <xf numFmtId="164" fontId="39" fillId="0" borderId="23" xfId="381" applyNumberFormat="1" applyFont="1" applyBorder="1"/>
    <xf numFmtId="167" fontId="35" fillId="0" borderId="41" xfId="420" applyNumberFormat="1" applyFont="1" applyBorder="1"/>
    <xf numFmtId="167" fontId="35" fillId="0" borderId="10" xfId="467" applyNumberFormat="1" applyFont="1" applyBorder="1"/>
    <xf numFmtId="164" fontId="35" fillId="0" borderId="0" xfId="381" applyNumberFormat="1" applyFont="1"/>
    <xf numFmtId="167" fontId="35" fillId="0" borderId="0" xfId="420" applyNumberFormat="1" applyFont="1"/>
    <xf numFmtId="164" fontId="8" fillId="0" borderId="0" xfId="381" applyNumberFormat="1" applyFont="1" applyFill="1" applyBorder="1"/>
    <xf numFmtId="0" fontId="46" fillId="0" borderId="0" xfId="0" applyFont="1" applyAlignment="1">
      <alignment horizontal="center"/>
    </xf>
    <xf numFmtId="0" fontId="8" fillId="0" borderId="0" xfId="0" applyFont="1" applyAlignment="1">
      <alignment horizontal="center"/>
    </xf>
    <xf numFmtId="164" fontId="35" fillId="34" borderId="0" xfId="381" applyNumberFormat="1" applyFont="1" applyFill="1" applyBorder="1"/>
    <xf numFmtId="173" fontId="12" fillId="0" borderId="35" xfId="633" applyNumberFormat="1" applyFont="1" applyFill="1" applyBorder="1" applyAlignment="1"/>
    <xf numFmtId="0" fontId="14" fillId="0" borderId="0" xfId="0" quotePrefix="1" applyFont="1" applyAlignment="1">
      <alignment horizontal="center" wrapText="1"/>
    </xf>
    <xf numFmtId="0" fontId="14" fillId="0" borderId="0" xfId="0" applyFont="1"/>
    <xf numFmtId="0" fontId="52" fillId="0" borderId="0" xfId="0" applyFont="1" applyAlignment="1">
      <alignment horizontal="left" wrapText="1"/>
    </xf>
    <xf numFmtId="0" fontId="8" fillId="0" borderId="0" xfId="465" applyFont="1" applyAlignment="1">
      <alignment horizontal="center" wrapText="1"/>
    </xf>
    <xf numFmtId="0" fontId="52" fillId="0" borderId="0" xfId="465" applyFont="1" applyAlignment="1">
      <alignment horizontal="center"/>
    </xf>
    <xf numFmtId="164" fontId="52" fillId="0" borderId="0" xfId="465" applyNumberFormat="1" applyFont="1"/>
    <xf numFmtId="3" fontId="18" fillId="0" borderId="0" xfId="465" applyNumberFormat="1" applyAlignment="1">
      <alignment horizontal="left"/>
    </xf>
    <xf numFmtId="0" fontId="8" fillId="0" borderId="0" xfId="465" applyFont="1" applyAlignment="1">
      <alignment horizontal="left"/>
    </xf>
    <xf numFmtId="43" fontId="56" fillId="0" borderId="0" xfId="381" applyFont="1" applyFill="1" applyBorder="1" applyAlignment="1"/>
    <xf numFmtId="164" fontId="18" fillId="0" borderId="20" xfId="465" applyNumberFormat="1" applyBorder="1"/>
    <xf numFmtId="164" fontId="9" fillId="0" borderId="15" xfId="381" applyNumberFormat="1" applyFont="1" applyFill="1" applyBorder="1" applyAlignment="1"/>
    <xf numFmtId="164" fontId="35" fillId="0" borderId="0" xfId="381" applyNumberFormat="1" applyFont="1" applyFill="1" applyBorder="1" applyAlignment="1">
      <alignment horizontal="center"/>
    </xf>
    <xf numFmtId="164" fontId="35" fillId="0" borderId="0" xfId="381" applyNumberFormat="1" applyFont="1" applyBorder="1"/>
    <xf numFmtId="0" fontId="8" fillId="0" borderId="21" xfId="465" applyFont="1" applyBorder="1" applyAlignment="1">
      <alignment horizontal="center" wrapText="1"/>
    </xf>
    <xf numFmtId="0" fontId="8" fillId="0" borderId="21" xfId="465" applyFont="1" applyBorder="1"/>
    <xf numFmtId="164" fontId="8" fillId="0" borderId="0" xfId="390" applyNumberFormat="1" applyFont="1" applyFill="1" applyBorder="1" applyAlignment="1">
      <alignment horizontal="right"/>
    </xf>
    <xf numFmtId="0" fontId="8" fillId="0" borderId="10" xfId="465" applyFont="1" applyBorder="1" applyAlignment="1">
      <alignment horizontal="center" wrapText="1"/>
    </xf>
    <xf numFmtId="0" fontId="8" fillId="0" borderId="23" xfId="465" applyFont="1" applyBorder="1" applyAlignment="1">
      <alignment horizontal="center" wrapText="1"/>
    </xf>
    <xf numFmtId="43" fontId="49" fillId="0" borderId="21" xfId="381" applyFont="1" applyFill="1" applyBorder="1" applyAlignment="1">
      <alignment horizontal="center" wrapText="1"/>
    </xf>
    <xf numFmtId="0" fontId="8" fillId="0" borderId="10" xfId="465" applyFont="1" applyBorder="1"/>
    <xf numFmtId="0" fontId="8" fillId="0" borderId="23" xfId="465" applyFont="1" applyBorder="1"/>
    <xf numFmtId="0" fontId="8" fillId="0" borderId="10" xfId="465" applyFont="1" applyBorder="1" applyAlignment="1">
      <alignment wrapText="1"/>
    </xf>
    <xf numFmtId="0" fontId="8" fillId="0" borderId="23" xfId="465" applyFont="1" applyBorder="1" applyAlignment="1">
      <alignment wrapText="1"/>
    </xf>
    <xf numFmtId="164" fontId="8" fillId="0" borderId="0" xfId="465" applyNumberFormat="1" applyFont="1" applyAlignment="1">
      <alignment horizontal="center"/>
    </xf>
    <xf numFmtId="164" fontId="8" fillId="0" borderId="0" xfId="390" applyNumberFormat="1" applyFont="1" applyFill="1" applyBorder="1" applyAlignment="1">
      <alignment horizontal="left"/>
    </xf>
    <xf numFmtId="0" fontId="8" fillId="0" borderId="21" xfId="465" applyFont="1" applyBorder="1" applyAlignment="1">
      <alignment horizontal="center"/>
    </xf>
    <xf numFmtId="164" fontId="8" fillId="0" borderId="0" xfId="390" applyNumberFormat="1" applyFont="1" applyFill="1" applyBorder="1" applyAlignment="1"/>
    <xf numFmtId="0" fontId="52" fillId="0" borderId="21" xfId="465" applyFont="1" applyBorder="1"/>
    <xf numFmtId="0" fontId="90" fillId="0" borderId="0" xfId="0" applyFont="1"/>
    <xf numFmtId="0" fontId="91" fillId="0" borderId="0" xfId="0" applyFont="1" applyAlignment="1">
      <alignment horizontal="center"/>
    </xf>
    <xf numFmtId="37" fontId="90" fillId="0" borderId="0" xfId="0" applyNumberFormat="1" applyFont="1" applyAlignment="1">
      <alignment horizontal="left"/>
    </xf>
    <xf numFmtId="37" fontId="92" fillId="0" borderId="0" xfId="0" applyNumberFormat="1" applyFont="1" applyAlignment="1">
      <alignment horizontal="right"/>
    </xf>
    <xf numFmtId="0" fontId="90" fillId="0" borderId="0" xfId="0" applyFont="1" applyAlignment="1">
      <alignment horizontal="left"/>
    </xf>
    <xf numFmtId="43" fontId="35" fillId="0" borderId="0" xfId="381" applyFont="1" applyFill="1" applyBorder="1" applyAlignment="1">
      <alignment horizontal="center"/>
    </xf>
    <xf numFmtId="43" fontId="35" fillId="0" borderId="21" xfId="381" applyFont="1" applyFill="1" applyBorder="1" applyAlignment="1">
      <alignment horizontal="center"/>
    </xf>
    <xf numFmtId="0" fontId="9" fillId="0" borderId="14" xfId="467" applyFont="1" applyBorder="1" applyAlignment="1">
      <alignment horizontal="center"/>
    </xf>
    <xf numFmtId="13" fontId="8" fillId="0" borderId="0" xfId="467" applyNumberFormat="1"/>
    <xf numFmtId="49" fontId="8" fillId="0" borderId="0" xfId="467" applyNumberFormat="1" applyAlignment="1">
      <alignment horizontal="left" indent="1"/>
    </xf>
    <xf numFmtId="17" fontId="8" fillId="0" borderId="0" xfId="467" applyNumberFormat="1"/>
    <xf numFmtId="43" fontId="12" fillId="0" borderId="12" xfId="0" applyNumberFormat="1" applyFont="1" applyBorder="1"/>
    <xf numFmtId="167" fontId="35" fillId="0" borderId="0" xfId="420" applyNumberFormat="1" applyFont="1" applyBorder="1"/>
    <xf numFmtId="164" fontId="29" fillId="0" borderId="0" xfId="0" applyNumberFormat="1" applyFont="1" applyAlignment="1">
      <alignment horizontal="center"/>
    </xf>
    <xf numFmtId="164" fontId="29" fillId="0" borderId="0" xfId="381" applyNumberFormat="1" applyFont="1" applyFill="1" applyBorder="1" applyAlignment="1">
      <alignment horizontal="center"/>
    </xf>
    <xf numFmtId="0" fontId="101" fillId="0" borderId="0" xfId="0" applyFont="1"/>
    <xf numFmtId="0" fontId="0" fillId="0" borderId="17" xfId="0" applyBorder="1" applyAlignment="1">
      <alignment horizontal="center" wrapText="1"/>
    </xf>
    <xf numFmtId="0" fontId="0" fillId="0" borderId="34" xfId="0" applyBorder="1"/>
    <xf numFmtId="0" fontId="81" fillId="0" borderId="17" xfId="0" applyFont="1" applyBorder="1"/>
    <xf numFmtId="0" fontId="81" fillId="30" borderId="17" xfId="381" applyNumberFormat="1" applyFont="1" applyFill="1" applyBorder="1"/>
    <xf numFmtId="164" fontId="81" fillId="30" borderId="17" xfId="381" applyNumberFormat="1" applyFont="1" applyFill="1" applyBorder="1"/>
    <xf numFmtId="0" fontId="45" fillId="0" borderId="17" xfId="0" applyFont="1" applyBorder="1"/>
    <xf numFmtId="164" fontId="45" fillId="0" borderId="17" xfId="381" applyNumberFormat="1" applyFont="1" applyBorder="1"/>
    <xf numFmtId="164" fontId="45" fillId="30" borderId="17" xfId="381" applyNumberFormat="1" applyFont="1" applyFill="1" applyBorder="1"/>
    <xf numFmtId="0" fontId="45" fillId="30" borderId="17" xfId="381" applyNumberFormat="1" applyFont="1" applyFill="1" applyBorder="1"/>
    <xf numFmtId="164" fontId="9" fillId="0" borderId="17" xfId="381" applyNumberFormat="1" applyFont="1" applyBorder="1"/>
    <xf numFmtId="0" fontId="0" fillId="0" borderId="35" xfId="0" applyBorder="1"/>
    <xf numFmtId="0" fontId="0" fillId="0" borderId="28" xfId="0" applyBorder="1"/>
    <xf numFmtId="0" fontId="0" fillId="0" borderId="0" xfId="0" applyAlignment="1">
      <alignment horizontal="center" wrapText="1"/>
    </xf>
    <xf numFmtId="0" fontId="102" fillId="0" borderId="0" xfId="0" applyFont="1"/>
    <xf numFmtId="173" fontId="0" fillId="0" borderId="0" xfId="0" applyNumberFormat="1" applyAlignment="1">
      <alignment horizontal="center" wrapText="1"/>
    </xf>
    <xf numFmtId="3" fontId="8" fillId="0" borderId="0" xfId="465" applyNumberFormat="1" applyFont="1" applyAlignment="1">
      <alignment horizontal="right"/>
    </xf>
    <xf numFmtId="0" fontId="0" fillId="0" borderId="0" xfId="0" quotePrefix="1"/>
    <xf numFmtId="176" fontId="0" fillId="0" borderId="0" xfId="381" applyNumberFormat="1" applyFont="1"/>
    <xf numFmtId="0" fontId="30" fillId="35" borderId="25" xfId="0" applyFont="1" applyFill="1" applyBorder="1" applyAlignment="1">
      <alignment horizontal="left"/>
    </xf>
    <xf numFmtId="0" fontId="12" fillId="35" borderId="24" xfId="0" applyFont="1" applyFill="1" applyBorder="1"/>
    <xf numFmtId="0" fontId="12" fillId="35" borderId="24" xfId="0" applyFont="1" applyFill="1" applyBorder="1" applyAlignment="1">
      <alignment horizontal="center"/>
    </xf>
    <xf numFmtId="0" fontId="10" fillId="35" borderId="29" xfId="0" applyFont="1" applyFill="1" applyBorder="1" applyAlignment="1">
      <alignment horizontal="center" wrapText="1"/>
    </xf>
    <xf numFmtId="0" fontId="30" fillId="35" borderId="22" xfId="0" applyFont="1" applyFill="1" applyBorder="1" applyAlignment="1">
      <alignment horizontal="left"/>
    </xf>
    <xf numFmtId="0" fontId="10" fillId="35" borderId="10" xfId="0" applyFont="1" applyFill="1" applyBorder="1"/>
    <xf numFmtId="0" fontId="10" fillId="35" borderId="10" xfId="0" applyFont="1" applyFill="1" applyBorder="1" applyAlignment="1">
      <alignment horizontal="center"/>
    </xf>
    <xf numFmtId="0" fontId="10" fillId="35" borderId="23" xfId="0" applyFont="1" applyFill="1" applyBorder="1"/>
    <xf numFmtId="0" fontId="10" fillId="35" borderId="42" xfId="0" applyFont="1" applyFill="1" applyBorder="1" applyAlignment="1">
      <alignment horizontal="center" wrapText="1"/>
    </xf>
    <xf numFmtId="0" fontId="10" fillId="35" borderId="43" xfId="0" applyFont="1" applyFill="1" applyBorder="1" applyAlignment="1">
      <alignment horizontal="center" wrapText="1"/>
    </xf>
    <xf numFmtId="0" fontId="10" fillId="35" borderId="44" xfId="0" applyFont="1" applyFill="1" applyBorder="1" applyAlignment="1">
      <alignment horizontal="center" wrapText="1"/>
    </xf>
    <xf numFmtId="0" fontId="10" fillId="35" borderId="45" xfId="0" applyFont="1" applyFill="1" applyBorder="1" applyAlignment="1">
      <alignment horizontal="center"/>
    </xf>
    <xf numFmtId="0" fontId="10" fillId="35" borderId="46" xfId="0" applyFont="1" applyFill="1" applyBorder="1" applyAlignment="1">
      <alignment horizontal="center"/>
    </xf>
    <xf numFmtId="43" fontId="87" fillId="0" borderId="0" xfId="381" applyFont="1"/>
    <xf numFmtId="0" fontId="44" fillId="0" borderId="0" xfId="0" applyFont="1"/>
    <xf numFmtId="17" fontId="9" fillId="0" borderId="26" xfId="0" applyNumberFormat="1" applyFont="1" applyBorder="1" applyAlignment="1">
      <alignment horizontal="center"/>
    </xf>
    <xf numFmtId="0" fontId="103" fillId="0" borderId="0" xfId="0" applyFont="1"/>
    <xf numFmtId="164" fontId="103" fillId="0" borderId="0" xfId="381" applyNumberFormat="1" applyFont="1" applyBorder="1"/>
    <xf numFmtId="43" fontId="12" fillId="0" borderId="0" xfId="381" applyFont="1" applyBorder="1"/>
    <xf numFmtId="0" fontId="115" fillId="0" borderId="0" xfId="0" applyFont="1"/>
    <xf numFmtId="2" fontId="8" fillId="0" borderId="0" xfId="467" applyNumberFormat="1"/>
    <xf numFmtId="43" fontId="8" fillId="0" borderId="0" xfId="381" applyFont="1" applyFill="1"/>
    <xf numFmtId="0" fontId="50" fillId="0" borderId="0" xfId="467" applyFont="1" applyAlignment="1">
      <alignment wrapText="1"/>
    </xf>
    <xf numFmtId="0" fontId="12" fillId="0" borderId="28" xfId="0" applyFont="1" applyBorder="1"/>
    <xf numFmtId="37" fontId="8" fillId="0" borderId="28" xfId="0" applyNumberFormat="1" applyFont="1" applyBorder="1"/>
    <xf numFmtId="37" fontId="8" fillId="0" borderId="0" xfId="0" applyNumberFormat="1" applyFont="1"/>
    <xf numFmtId="43" fontId="8" fillId="0" borderId="0" xfId="0" applyNumberFormat="1" applyFont="1" applyAlignment="1">
      <alignment horizontal="center"/>
    </xf>
    <xf numFmtId="164" fontId="35" fillId="34" borderId="0" xfId="381" applyNumberFormat="1" applyFont="1" applyFill="1" applyBorder="1" applyAlignment="1"/>
    <xf numFmtId="0" fontId="116" fillId="0" borderId="0" xfId="0" applyFont="1"/>
    <xf numFmtId="164" fontId="9" fillId="0" borderId="26" xfId="381" applyNumberFormat="1" applyFont="1" applyBorder="1"/>
    <xf numFmtId="4" fontId="0" fillId="0" borderId="0" xfId="0" applyNumberFormat="1"/>
    <xf numFmtId="43" fontId="9" fillId="0" borderId="0" xfId="381" applyFont="1" applyAlignment="1">
      <alignment horizontal="center"/>
    </xf>
    <xf numFmtId="1" fontId="9" fillId="0" borderId="47" xfId="0" applyNumberFormat="1" applyFont="1" applyBorder="1" applyAlignment="1">
      <alignment horizontal="center"/>
    </xf>
    <xf numFmtId="164" fontId="18" fillId="0" borderId="20" xfId="381" applyNumberFormat="1" applyFont="1" applyFill="1" applyBorder="1" applyAlignment="1">
      <alignment horizontal="center" wrapText="1"/>
    </xf>
    <xf numFmtId="164" fontId="18" fillId="0" borderId="0" xfId="381" applyNumberFormat="1" applyFont="1" applyFill="1" applyBorder="1" applyAlignment="1">
      <alignment horizontal="center" wrapText="1"/>
    </xf>
    <xf numFmtId="40" fontId="50" fillId="34" borderId="0" xfId="475" applyNumberFormat="1" applyFont="1" applyFill="1"/>
    <xf numFmtId="164" fontId="50" fillId="0" borderId="0" xfId="381" applyNumberFormat="1" applyFont="1" applyFill="1" applyBorder="1"/>
    <xf numFmtId="164" fontId="50" fillId="0" borderId="0" xfId="381" applyNumberFormat="1" applyFont="1" applyBorder="1"/>
    <xf numFmtId="40" fontId="50" fillId="34" borderId="0" xfId="476" applyNumberFormat="1" applyFont="1" applyFill="1"/>
    <xf numFmtId="0" fontId="8" fillId="0" borderId="0" xfId="473"/>
    <xf numFmtId="0" fontId="8" fillId="0" borderId="0" xfId="473" applyAlignment="1">
      <alignment horizontal="left"/>
    </xf>
    <xf numFmtId="0" fontId="8" fillId="0" borderId="10" xfId="473" applyBorder="1" applyAlignment="1">
      <alignment horizontal="right"/>
    </xf>
    <xf numFmtId="0" fontId="8" fillId="0" borderId="10" xfId="473" applyBorder="1" applyAlignment="1">
      <alignment horizontal="left"/>
    </xf>
    <xf numFmtId="0" fontId="8" fillId="0" borderId="10" xfId="473" applyBorder="1" applyAlignment="1">
      <alignment horizontal="center"/>
    </xf>
    <xf numFmtId="43" fontId="12" fillId="0" borderId="0" xfId="0" applyNumberFormat="1" applyFont="1"/>
    <xf numFmtId="164" fontId="9" fillId="0" borderId="0" xfId="390" applyNumberFormat="1" applyFont="1" applyFill="1" applyBorder="1" applyAlignment="1">
      <alignment horizontal="right"/>
    </xf>
    <xf numFmtId="0" fontId="52" fillId="0" borderId="0" xfId="465" applyFont="1" applyAlignment="1">
      <alignment horizontal="left"/>
    </xf>
    <xf numFmtId="0" fontId="18" fillId="0" borderId="28" xfId="465" applyBorder="1" applyAlignment="1">
      <alignment horizontal="left"/>
    </xf>
    <xf numFmtId="0" fontId="9" fillId="0" borderId="28" xfId="465" applyFont="1" applyBorder="1" applyAlignment="1">
      <alignment horizontal="center"/>
    </xf>
    <xf numFmtId="164" fontId="18" fillId="0" borderId="28" xfId="465" applyNumberFormat="1" applyBorder="1" applyAlignment="1">
      <alignment horizontal="left"/>
    </xf>
    <xf numFmtId="0" fontId="10" fillId="0" borderId="27" xfId="0" applyFont="1" applyBorder="1"/>
    <xf numFmtId="0" fontId="8" fillId="0" borderId="20" xfId="465" applyFont="1" applyBorder="1"/>
    <xf numFmtId="0" fontId="8" fillId="0" borderId="20" xfId="465" applyFont="1" applyBorder="1" applyAlignment="1">
      <alignment horizontal="left"/>
    </xf>
    <xf numFmtId="0" fontId="8" fillId="0" borderId="22" xfId="465" applyFont="1" applyBorder="1" applyAlignment="1">
      <alignment horizontal="center"/>
    </xf>
    <xf numFmtId="0" fontId="8" fillId="0" borderId="10" xfId="465" applyFont="1" applyBorder="1" applyAlignment="1">
      <alignment horizontal="center"/>
    </xf>
    <xf numFmtId="0" fontId="29" fillId="0" borderId="24" xfId="0" applyFont="1" applyBorder="1" applyAlignment="1">
      <alignment horizontal="center"/>
    </xf>
    <xf numFmtId="0" fontId="35" fillId="0" borderId="24" xfId="0" applyFont="1" applyBorder="1"/>
    <xf numFmtId="0" fontId="34" fillId="0" borderId="24" xfId="0" applyFont="1" applyBorder="1"/>
    <xf numFmtId="0" fontId="35" fillId="0" borderId="29" xfId="0" applyFont="1" applyBorder="1"/>
    <xf numFmtId="0" fontId="29" fillId="0" borderId="20" xfId="0" applyFont="1" applyBorder="1" applyAlignment="1">
      <alignment horizontal="center"/>
    </xf>
    <xf numFmtId="0" fontId="35" fillId="0" borderId="21" xfId="0" applyFont="1" applyBorder="1"/>
    <xf numFmtId="0" fontId="29" fillId="0" borderId="22" xfId="0" applyFont="1" applyBorder="1" applyAlignment="1">
      <alignment horizontal="center"/>
    </xf>
    <xf numFmtId="0" fontId="29" fillId="0" borderId="10" xfId="0" applyFont="1" applyBorder="1" applyAlignment="1">
      <alignment horizontal="center"/>
    </xf>
    <xf numFmtId="0" fontId="29" fillId="0" borderId="10" xfId="0" applyFont="1" applyBorder="1" applyAlignment="1">
      <alignment horizontal="left"/>
    </xf>
    <xf numFmtId="164" fontId="29" fillId="0" borderId="10" xfId="381" applyNumberFormat="1" applyFont="1" applyFill="1" applyBorder="1" applyAlignment="1">
      <alignment horizontal="center"/>
    </xf>
    <xf numFmtId="164" fontId="29" fillId="0" borderId="10" xfId="0" applyNumberFormat="1" applyFont="1" applyBorder="1" applyAlignment="1">
      <alignment horizontal="center"/>
    </xf>
    <xf numFmtId="0" fontId="29" fillId="0" borderId="42" xfId="0" applyFont="1" applyBorder="1" applyAlignment="1">
      <alignment horizontal="center" wrapText="1"/>
    </xf>
    <xf numFmtId="164" fontId="29" fillId="0" borderId="28" xfId="0" applyNumberFormat="1" applyFont="1" applyBorder="1" applyAlignment="1">
      <alignment horizontal="center"/>
    </xf>
    <xf numFmtId="0" fontId="29" fillId="0" borderId="42" xfId="0" applyFont="1" applyBorder="1" applyAlignment="1">
      <alignment horizontal="center"/>
    </xf>
    <xf numFmtId="164" fontId="29" fillId="0" borderId="49" xfId="0" applyNumberFormat="1" applyFont="1" applyBorder="1" applyAlignment="1">
      <alignment horizontal="center"/>
    </xf>
    <xf numFmtId="0" fontId="0" fillId="0" borderId="10" xfId="0" applyBorder="1"/>
    <xf numFmtId="0" fontId="8" fillId="0" borderId="24" xfId="465" applyFont="1" applyBorder="1"/>
    <xf numFmtId="0" fontId="18" fillId="0" borderId="29" xfId="465" applyBorder="1"/>
    <xf numFmtId="0" fontId="8" fillId="0" borderId="21" xfId="0" applyFont="1" applyBorder="1" applyAlignment="1">
      <alignment horizontal="right"/>
    </xf>
    <xf numFmtId="41" fontId="9" fillId="0" borderId="26" xfId="0" applyNumberFormat="1" applyFont="1" applyBorder="1"/>
    <xf numFmtId="0" fontId="44" fillId="0" borderId="0" xfId="0" applyFont="1" applyAlignment="1">
      <alignment horizontal="center"/>
    </xf>
    <xf numFmtId="173" fontId="35" fillId="0" borderId="0" xfId="0" applyNumberFormat="1" applyFont="1"/>
    <xf numFmtId="164" fontId="35" fillId="36" borderId="0" xfId="381" applyNumberFormat="1" applyFont="1" applyFill="1" applyBorder="1"/>
    <xf numFmtId="164" fontId="35" fillId="37" borderId="0" xfId="381" applyNumberFormat="1" applyFont="1" applyFill="1" applyBorder="1"/>
    <xf numFmtId="164" fontId="52" fillId="0" borderId="0" xfId="381" applyNumberFormat="1" applyFont="1" applyBorder="1"/>
    <xf numFmtId="173" fontId="10" fillId="0" borderId="28" xfId="633" applyNumberFormat="1" applyFont="1" applyFill="1" applyBorder="1" applyAlignment="1"/>
    <xf numFmtId="0" fontId="12" fillId="30" borderId="28" xfId="0" applyFont="1" applyFill="1" applyBorder="1" applyAlignment="1">
      <alignment horizontal="center" wrapText="1"/>
    </xf>
    <xf numFmtId="0" fontId="12" fillId="0" borderId="28" xfId="0" applyFont="1" applyBorder="1" applyAlignment="1">
      <alignment horizontal="center" wrapText="1"/>
    </xf>
    <xf numFmtId="3" fontId="63" fillId="0" borderId="28" xfId="0" applyNumberFormat="1" applyFont="1" applyBorder="1"/>
    <xf numFmtId="0" fontId="12" fillId="30" borderId="28" xfId="0" applyFont="1" applyFill="1" applyBorder="1"/>
    <xf numFmtId="3" fontId="12" fillId="0" borderId="28" xfId="0" applyNumberFormat="1" applyFont="1" applyBorder="1" applyAlignment="1">
      <alignment horizontal="right"/>
    </xf>
    <xf numFmtId="3" fontId="10" fillId="0" borderId="28" xfId="0" applyNumberFormat="1" applyFont="1" applyBorder="1" applyAlignment="1">
      <alignment horizontal="right"/>
    </xf>
    <xf numFmtId="173" fontId="12" fillId="0" borderId="28" xfId="0" applyNumberFormat="1" applyFont="1" applyBorder="1" applyAlignment="1">
      <alignment horizontal="right"/>
    </xf>
    <xf numFmtId="3" fontId="12" fillId="0" borderId="35" xfId="0" applyNumberFormat="1" applyFont="1" applyBorder="1" applyAlignment="1">
      <alignment horizontal="right"/>
    </xf>
    <xf numFmtId="3" fontId="14" fillId="0" borderId="28" xfId="0" applyNumberFormat="1" applyFont="1" applyBorder="1" applyAlignment="1">
      <alignment horizontal="right"/>
    </xf>
    <xf numFmtId="173" fontId="12" fillId="0" borderId="35" xfId="0" applyNumberFormat="1" applyFont="1" applyBorder="1" applyAlignment="1">
      <alignment horizontal="right"/>
    </xf>
    <xf numFmtId="10" fontId="12" fillId="0" borderId="28" xfId="633" applyNumberFormat="1" applyFont="1" applyFill="1" applyBorder="1" applyAlignment="1"/>
    <xf numFmtId="166" fontId="12" fillId="0" borderId="28" xfId="0" applyNumberFormat="1" applyFont="1" applyBorder="1"/>
    <xf numFmtId="0" fontId="9" fillId="0" borderId="24" xfId="465" applyFont="1" applyBorder="1" applyAlignment="1">
      <alignment horizontal="center"/>
    </xf>
    <xf numFmtId="0" fontId="18" fillId="0" borderId="24" xfId="465" applyBorder="1" applyAlignment="1">
      <alignment horizontal="center" wrapText="1"/>
    </xf>
    <xf numFmtId="166" fontId="12" fillId="0" borderId="35" xfId="0" applyNumberFormat="1" applyFont="1" applyBorder="1"/>
    <xf numFmtId="166" fontId="10" fillId="0" borderId="28" xfId="0" applyNumberFormat="1" applyFont="1" applyBorder="1"/>
    <xf numFmtId="10" fontId="12" fillId="0" borderId="28" xfId="0" applyNumberFormat="1" applyFont="1" applyBorder="1"/>
    <xf numFmtId="10" fontId="12" fillId="0" borderId="28" xfId="0" applyNumberFormat="1" applyFont="1" applyBorder="1" applyAlignment="1">
      <alignment horizontal="right"/>
    </xf>
    <xf numFmtId="10" fontId="12" fillId="0" borderId="28" xfId="633" applyNumberFormat="1" applyFont="1" applyBorder="1" applyAlignment="1"/>
    <xf numFmtId="3" fontId="10" fillId="0" borderId="34" xfId="0" applyNumberFormat="1" applyFont="1" applyBorder="1" applyAlignment="1">
      <alignment horizontal="right"/>
    </xf>
    <xf numFmtId="3" fontId="16" fillId="0" borderId="28" xfId="0" applyNumberFormat="1" applyFont="1" applyBorder="1" applyAlignment="1">
      <alignment horizontal="right"/>
    </xf>
    <xf numFmtId="164" fontId="10" fillId="0" borderId="33" xfId="381" applyNumberFormat="1" applyFont="1" applyFill="1" applyBorder="1" applyAlignment="1">
      <alignment horizontal="right"/>
    </xf>
    <xf numFmtId="174" fontId="12" fillId="0" borderId="28" xfId="633" applyNumberFormat="1" applyFont="1" applyFill="1" applyBorder="1" applyAlignment="1">
      <alignment horizontal="right"/>
    </xf>
    <xf numFmtId="3" fontId="21" fillId="0" borderId="28" xfId="0" applyNumberFormat="1" applyFont="1" applyBorder="1"/>
    <xf numFmtId="164" fontId="12" fillId="0" borderId="28" xfId="381" applyNumberFormat="1" applyFont="1" applyFill="1" applyBorder="1" applyAlignment="1"/>
    <xf numFmtId="164" fontId="12" fillId="0" borderId="14" xfId="381" applyNumberFormat="1" applyFont="1" applyFill="1" applyBorder="1"/>
    <xf numFmtId="3" fontId="10" fillId="0" borderId="12" xfId="0" applyNumberFormat="1" applyFont="1" applyBorder="1"/>
    <xf numFmtId="3" fontId="21" fillId="0" borderId="15" xfId="0" applyNumberFormat="1" applyFont="1" applyBorder="1"/>
    <xf numFmtId="3" fontId="12" fillId="0" borderId="14" xfId="0" applyNumberFormat="1" applyFont="1" applyBorder="1"/>
    <xf numFmtId="164" fontId="12" fillId="0" borderId="0" xfId="381" applyNumberFormat="1" applyFont="1" applyFill="1" applyBorder="1" applyAlignment="1"/>
    <xf numFmtId="0" fontId="12" fillId="0" borderId="25" xfId="0" applyFont="1" applyBorder="1" applyAlignment="1">
      <alignment horizontal="left"/>
    </xf>
    <xf numFmtId="0" fontId="12" fillId="0" borderId="24" xfId="0" applyFont="1" applyBorder="1"/>
    <xf numFmtId="0" fontId="10" fillId="0" borderId="24" xfId="0" applyFont="1" applyBorder="1" applyAlignment="1">
      <alignment horizontal="center"/>
    </xf>
    <xf numFmtId="0" fontId="12" fillId="0" borderId="50" xfId="0" applyFont="1" applyBorder="1" applyAlignment="1">
      <alignment horizontal="center" wrapText="1"/>
    </xf>
    <xf numFmtId="164" fontId="12" fillId="0" borderId="24" xfId="381" applyNumberFormat="1" applyFont="1" applyFill="1" applyBorder="1"/>
    <xf numFmtId="164" fontId="12" fillId="0" borderId="50" xfId="381" applyNumberFormat="1" applyFont="1" applyFill="1" applyBorder="1"/>
    <xf numFmtId="164" fontId="12" fillId="0" borderId="51" xfId="381" applyNumberFormat="1" applyFont="1" applyFill="1" applyBorder="1"/>
    <xf numFmtId="0" fontId="10" fillId="0" borderId="20" xfId="0" applyFont="1" applyBorder="1" applyAlignment="1">
      <alignment horizontal="center"/>
    </xf>
    <xf numFmtId="164" fontId="12" fillId="0" borderId="52" xfId="381" applyNumberFormat="1" applyFont="1" applyBorder="1"/>
    <xf numFmtId="0" fontId="14" fillId="0" borderId="0" xfId="0" applyFont="1" applyAlignment="1">
      <alignment horizontal="left"/>
    </xf>
    <xf numFmtId="3" fontId="12" fillId="0" borderId="53" xfId="0" applyNumberFormat="1" applyFont="1" applyBorder="1"/>
    <xf numFmtId="173" fontId="10" fillId="0" borderId="54" xfId="633" applyNumberFormat="1" applyFont="1" applyFill="1" applyBorder="1" applyAlignment="1"/>
    <xf numFmtId="3" fontId="10" fillId="0" borderId="52" xfId="0" applyNumberFormat="1" applyFont="1" applyBorder="1"/>
    <xf numFmtId="164" fontId="12" fillId="0" borderId="52" xfId="381" applyNumberFormat="1" applyFont="1" applyFill="1" applyBorder="1"/>
    <xf numFmtId="3" fontId="12" fillId="0" borderId="52" xfId="0" applyNumberFormat="1" applyFont="1" applyBorder="1"/>
    <xf numFmtId="0" fontId="12" fillId="0" borderId="20" xfId="0" applyFont="1" applyBorder="1" applyAlignment="1">
      <alignment horizontal="left"/>
    </xf>
    <xf numFmtId="0" fontId="26" fillId="30" borderId="20" xfId="0" applyFont="1" applyFill="1" applyBorder="1" applyAlignment="1">
      <alignment horizontal="left"/>
    </xf>
    <xf numFmtId="164" fontId="12" fillId="30" borderId="0" xfId="381" applyNumberFormat="1" applyFont="1" applyFill="1" applyBorder="1"/>
    <xf numFmtId="164" fontId="12" fillId="30" borderId="52" xfId="381" applyNumberFormat="1" applyFont="1" applyFill="1" applyBorder="1"/>
    <xf numFmtId="0" fontId="25" fillId="0" borderId="20" xfId="0" applyFont="1" applyBorder="1" applyAlignment="1">
      <alignment horizontal="center"/>
    </xf>
    <xf numFmtId="164" fontId="12" fillId="0" borderId="55" xfId="381" applyNumberFormat="1" applyFont="1" applyFill="1" applyBorder="1"/>
    <xf numFmtId="173" fontId="12" fillId="0" borderId="52" xfId="633" applyNumberFormat="1" applyFont="1" applyFill="1" applyBorder="1" applyAlignment="1"/>
    <xf numFmtId="3" fontId="10" fillId="0" borderId="53" xfId="0" applyNumberFormat="1" applyFont="1" applyBorder="1"/>
    <xf numFmtId="164" fontId="10" fillId="0" borderId="0" xfId="381" applyNumberFormat="1" applyFont="1" applyFill="1" applyBorder="1"/>
    <xf numFmtId="3" fontId="10" fillId="0" borderId="54" xfId="0" applyNumberFormat="1" applyFont="1" applyBorder="1"/>
    <xf numFmtId="164" fontId="12" fillId="0" borderId="55" xfId="381" applyNumberFormat="1" applyFont="1" applyBorder="1"/>
    <xf numFmtId="173" fontId="12" fillId="0" borderId="55" xfId="633" applyNumberFormat="1" applyFont="1" applyFill="1" applyBorder="1" applyAlignment="1"/>
    <xf numFmtId="0" fontId="12" fillId="0" borderId="52" xfId="0" applyFont="1" applyBorder="1"/>
    <xf numFmtId="0" fontId="33" fillId="0" borderId="20" xfId="0" applyFont="1" applyBorder="1" applyAlignment="1">
      <alignment horizontal="left"/>
    </xf>
    <xf numFmtId="0" fontId="33" fillId="0" borderId="0" xfId="0" applyFont="1"/>
    <xf numFmtId="0" fontId="12" fillId="0" borderId="0" xfId="0" applyFont="1" applyAlignment="1">
      <alignment horizontal="right"/>
    </xf>
    <xf numFmtId="0" fontId="58" fillId="0" borderId="0" xfId="0" applyFont="1" applyAlignment="1">
      <alignment horizontal="left"/>
    </xf>
    <xf numFmtId="0" fontId="10" fillId="0" borderId="0" xfId="0" applyFont="1" applyAlignment="1">
      <alignment horizontal="right"/>
    </xf>
    <xf numFmtId="0" fontId="10" fillId="0" borderId="20" xfId="0" applyFont="1" applyBorder="1"/>
    <xf numFmtId="0" fontId="10" fillId="30" borderId="0" xfId="0" applyFont="1" applyFill="1" applyAlignment="1">
      <alignment horizontal="left"/>
    </xf>
    <xf numFmtId="164" fontId="63" fillId="0" borderId="0" xfId="381" applyNumberFormat="1" applyFont="1" applyFill="1" applyBorder="1"/>
    <xf numFmtId="43" fontId="12" fillId="0" borderId="0" xfId="381" applyFont="1" applyFill="1" applyBorder="1" applyAlignment="1"/>
    <xf numFmtId="3" fontId="10" fillId="0" borderId="52" xfId="0" applyNumberFormat="1" applyFont="1" applyBorder="1" applyAlignment="1">
      <alignment horizontal="right"/>
    </xf>
    <xf numFmtId="0" fontId="16" fillId="0" borderId="20" xfId="0" applyFont="1" applyBorder="1" applyAlignment="1">
      <alignment horizontal="center"/>
    </xf>
    <xf numFmtId="0" fontId="16" fillId="0" borderId="0" xfId="0" applyFont="1"/>
    <xf numFmtId="3" fontId="10" fillId="0" borderId="54" xfId="0" applyNumberFormat="1" applyFont="1" applyBorder="1" applyAlignment="1">
      <alignment horizontal="right"/>
    </xf>
    <xf numFmtId="164" fontId="10" fillId="0" borderId="52" xfId="381" applyNumberFormat="1" applyFont="1" applyFill="1" applyBorder="1"/>
    <xf numFmtId="170" fontId="12" fillId="0" borderId="0" xfId="0" applyNumberFormat="1" applyFont="1"/>
    <xf numFmtId="168" fontId="12" fillId="0" borderId="0" xfId="0" applyNumberFormat="1" applyFont="1" applyAlignment="1">
      <alignment horizontal="center"/>
    </xf>
    <xf numFmtId="3" fontId="21" fillId="0" borderId="56" xfId="0" applyNumberFormat="1" applyFont="1" applyBorder="1"/>
    <xf numFmtId="0" fontId="21" fillId="0" borderId="20" xfId="0" applyFont="1" applyBorder="1" applyAlignment="1">
      <alignment horizontal="center"/>
    </xf>
    <xf numFmtId="3" fontId="12" fillId="0" borderId="55" xfId="0" applyNumberFormat="1" applyFont="1" applyBorder="1"/>
    <xf numFmtId="164" fontId="10" fillId="0" borderId="52" xfId="381" applyNumberFormat="1" applyFont="1" applyBorder="1" applyAlignment="1"/>
    <xf numFmtId="173" fontId="10" fillId="0" borderId="52" xfId="633" applyNumberFormat="1" applyFont="1" applyBorder="1" applyAlignment="1"/>
    <xf numFmtId="164" fontId="10" fillId="0" borderId="52" xfId="381" applyNumberFormat="1" applyFont="1" applyFill="1" applyBorder="1" applyAlignment="1"/>
    <xf numFmtId="3" fontId="10" fillId="0" borderId="35" xfId="0" applyNumberFormat="1" applyFont="1" applyBorder="1"/>
    <xf numFmtId="3" fontId="10" fillId="0" borderId="55" xfId="0" applyNumberFormat="1" applyFont="1" applyBorder="1"/>
    <xf numFmtId="3" fontId="12" fillId="0" borderId="17" xfId="0" applyNumberFormat="1" applyFont="1" applyBorder="1"/>
    <xf numFmtId="164" fontId="12" fillId="0" borderId="26" xfId="381" applyNumberFormat="1" applyFont="1" applyFill="1" applyBorder="1"/>
    <xf numFmtId="0" fontId="0" fillId="0" borderId="19" xfId="0" applyBorder="1"/>
    <xf numFmtId="3" fontId="12" fillId="0" borderId="13" xfId="0" applyNumberFormat="1" applyFont="1" applyBorder="1"/>
    <xf numFmtId="0" fontId="12" fillId="0" borderId="57" xfId="0" applyFont="1" applyBorder="1"/>
    <xf numFmtId="3" fontId="12" fillId="0" borderId="58" xfId="0" applyNumberFormat="1" applyFont="1" applyBorder="1"/>
    <xf numFmtId="0" fontId="12" fillId="0" borderId="58" xfId="0" applyFont="1" applyBorder="1"/>
    <xf numFmtId="3" fontId="12" fillId="0" borderId="59" xfId="0" applyNumberFormat="1" applyFont="1" applyBorder="1"/>
    <xf numFmtId="0" fontId="12" fillId="0" borderId="60" xfId="0" applyFont="1" applyBorder="1"/>
    <xf numFmtId="3" fontId="12" fillId="0" borderId="19" xfId="0" applyNumberFormat="1" applyFont="1" applyBorder="1"/>
    <xf numFmtId="3" fontId="12" fillId="0" borderId="60" xfId="0" applyNumberFormat="1" applyFont="1" applyBorder="1"/>
    <xf numFmtId="0" fontId="12" fillId="30" borderId="58" xfId="0" applyFont="1" applyFill="1" applyBorder="1"/>
    <xf numFmtId="0" fontId="12" fillId="0" borderId="58" xfId="0" applyFont="1" applyBorder="1" applyAlignment="1">
      <alignment horizontal="left"/>
    </xf>
    <xf numFmtId="0" fontId="12" fillId="0" borderId="60" xfId="0" applyFont="1" applyBorder="1" applyAlignment="1">
      <alignment horizontal="left"/>
    </xf>
    <xf numFmtId="3" fontId="10" fillId="0" borderId="59" xfId="0" applyNumberFormat="1" applyFont="1" applyBorder="1"/>
    <xf numFmtId="3" fontId="12" fillId="0" borderId="58" xfId="0" applyNumberFormat="1" applyFont="1" applyBorder="1" applyAlignment="1">
      <alignment horizontal="right"/>
    </xf>
    <xf numFmtId="4" fontId="14" fillId="0" borderId="58" xfId="0" applyNumberFormat="1" applyFont="1" applyBorder="1" applyAlignment="1">
      <alignment horizontal="right"/>
    </xf>
    <xf numFmtId="3" fontId="14" fillId="0" borderId="58" xfId="0" applyNumberFormat="1" applyFont="1" applyBorder="1" applyAlignment="1">
      <alignment horizontal="right"/>
    </xf>
    <xf numFmtId="3" fontId="12" fillId="0" borderId="59" xfId="0" applyNumberFormat="1" applyFont="1" applyBorder="1" applyAlignment="1">
      <alignment horizontal="right"/>
    </xf>
    <xf numFmtId="3" fontId="10" fillId="0" borderId="58" xfId="0" applyNumberFormat="1" applyFont="1" applyBorder="1"/>
    <xf numFmtId="168" fontId="12" fillId="0" borderId="58" xfId="0" applyNumberFormat="1" applyFont="1" applyBorder="1" applyAlignment="1">
      <alignment horizontal="left"/>
    </xf>
    <xf numFmtId="3" fontId="16" fillId="0" borderId="58" xfId="0" applyNumberFormat="1" applyFont="1" applyBorder="1"/>
    <xf numFmtId="3" fontId="21" fillId="0" borderId="61" xfId="0" applyNumberFormat="1" applyFont="1" applyBorder="1"/>
    <xf numFmtId="0" fontId="12" fillId="0" borderId="35" xfId="0" applyFont="1" applyBorder="1"/>
    <xf numFmtId="0" fontId="0" fillId="0" borderId="33" xfId="0" applyBorder="1"/>
    <xf numFmtId="164" fontId="63" fillId="0" borderId="14" xfId="381" applyNumberFormat="1" applyFont="1" applyFill="1" applyBorder="1"/>
    <xf numFmtId="0" fontId="10" fillId="35" borderId="37" xfId="0" applyFont="1" applyFill="1" applyBorder="1" applyAlignment="1">
      <alignment horizontal="center" wrapText="1"/>
    </xf>
    <xf numFmtId="0" fontId="10" fillId="35" borderId="45" xfId="0" applyFont="1" applyFill="1" applyBorder="1"/>
    <xf numFmtId="3" fontId="12" fillId="0" borderId="62" xfId="0" applyNumberFormat="1" applyFont="1" applyBorder="1"/>
    <xf numFmtId="3" fontId="12" fillId="0" borderId="63" xfId="0" applyNumberFormat="1" applyFont="1" applyBorder="1"/>
    <xf numFmtId="3" fontId="12" fillId="0" borderId="34" xfId="0" applyNumberFormat="1" applyFont="1" applyBorder="1"/>
    <xf numFmtId="164" fontId="12" fillId="0" borderId="12" xfId="381" applyNumberFormat="1" applyFont="1" applyFill="1" applyBorder="1"/>
    <xf numFmtId="177" fontId="12" fillId="0" borderId="28" xfId="381" applyNumberFormat="1" applyFont="1" applyBorder="1"/>
    <xf numFmtId="164" fontId="12" fillId="0" borderId="13" xfId="381" applyNumberFormat="1" applyFont="1" applyFill="1" applyBorder="1"/>
    <xf numFmtId="174" fontId="12" fillId="0" borderId="35" xfId="633" applyNumberFormat="1" applyFont="1" applyFill="1" applyBorder="1" applyAlignment="1"/>
    <xf numFmtId="164" fontId="10" fillId="0" borderId="13" xfId="381" applyNumberFormat="1" applyFont="1" applyFill="1" applyBorder="1"/>
    <xf numFmtId="0" fontId="0" fillId="0" borderId="13" xfId="0" applyBorder="1"/>
    <xf numFmtId="3" fontId="10" fillId="0" borderId="61" xfId="0" applyNumberFormat="1" applyFont="1" applyBorder="1"/>
    <xf numFmtId="0" fontId="10" fillId="0" borderId="15" xfId="0" applyFont="1" applyBorder="1"/>
    <xf numFmtId="0" fontId="21" fillId="0" borderId="15" xfId="0" applyFont="1" applyBorder="1" applyAlignment="1">
      <alignment horizontal="left"/>
    </xf>
    <xf numFmtId="0" fontId="21" fillId="0" borderId="15" xfId="0" applyFont="1" applyBorder="1" applyAlignment="1">
      <alignment horizontal="center"/>
    </xf>
    <xf numFmtId="0" fontId="60" fillId="0" borderId="0" xfId="0" applyFont="1"/>
    <xf numFmtId="0" fontId="12" fillId="0" borderId="22" xfId="0" applyFont="1" applyBorder="1" applyAlignment="1">
      <alignment horizontal="center"/>
    </xf>
    <xf numFmtId="0" fontId="12" fillId="0" borderId="10" xfId="0" applyFont="1" applyBorder="1" applyAlignment="1">
      <alignment horizontal="center"/>
    </xf>
    <xf numFmtId="0" fontId="12" fillId="0" borderId="10" xfId="0" applyFont="1" applyBorder="1" applyAlignment="1">
      <alignment horizontal="left"/>
    </xf>
    <xf numFmtId="0" fontId="12" fillId="0" borderId="10" xfId="0" applyFont="1" applyBorder="1"/>
    <xf numFmtId="0" fontId="15" fillId="0" borderId="10" xfId="0" applyFont="1" applyBorder="1" applyAlignment="1">
      <alignment horizontal="center"/>
    </xf>
    <xf numFmtId="3" fontId="12" fillId="0" borderId="10" xfId="0" applyNumberFormat="1" applyFont="1" applyBorder="1"/>
    <xf numFmtId="0" fontId="0" fillId="0" borderId="49" xfId="0" applyBorder="1"/>
    <xf numFmtId="43" fontId="10" fillId="0" borderId="10" xfId="381" applyFont="1" applyBorder="1"/>
    <xf numFmtId="164" fontId="10" fillId="0" borderId="49" xfId="381" applyNumberFormat="1" applyFont="1" applyBorder="1"/>
    <xf numFmtId="164" fontId="18" fillId="0" borderId="0" xfId="381" applyNumberFormat="1" applyFont="1" applyFill="1" applyBorder="1" applyAlignment="1">
      <alignment wrapText="1"/>
    </xf>
    <xf numFmtId="164" fontId="8" fillId="0" borderId="14" xfId="381" applyNumberFormat="1" applyFont="1" applyFill="1" applyBorder="1" applyAlignment="1"/>
    <xf numFmtId="164" fontId="0" fillId="0" borderId="14" xfId="0" applyNumberFormat="1" applyBorder="1"/>
    <xf numFmtId="0" fontId="9" fillId="0" borderId="14" xfId="465" applyFont="1" applyBorder="1" applyAlignment="1">
      <alignment horizontal="left"/>
    </xf>
    <xf numFmtId="3" fontId="18" fillId="0" borderId="14" xfId="465" applyNumberFormat="1" applyBorder="1" applyAlignment="1">
      <alignment horizontal="center"/>
    </xf>
    <xf numFmtId="0" fontId="9" fillId="0" borderId="13" xfId="465" applyFont="1" applyBorder="1" applyAlignment="1">
      <alignment horizontal="left"/>
    </xf>
    <xf numFmtId="3" fontId="18" fillId="0" borderId="13" xfId="465" applyNumberFormat="1" applyBorder="1"/>
    <xf numFmtId="164" fontId="9" fillId="0" borderId="33" xfId="390" applyNumberFormat="1" applyFont="1" applyFill="1" applyBorder="1" applyAlignment="1">
      <alignment horizontal="right"/>
    </xf>
    <xf numFmtId="168" fontId="8" fillId="0" borderId="0" xfId="465" applyNumberFormat="1" applyFont="1" applyAlignment="1">
      <alignment horizontal="center" wrapText="1"/>
    </xf>
    <xf numFmtId="164" fontId="9" fillId="0" borderId="0" xfId="465" applyNumberFormat="1" applyFont="1" applyAlignment="1">
      <alignment horizontal="center" wrapText="1"/>
    </xf>
    <xf numFmtId="164" fontId="8" fillId="0" borderId="0" xfId="381" applyNumberFormat="1" applyFont="1" applyFill="1" applyBorder="1" applyAlignment="1"/>
    <xf numFmtId="164" fontId="52" fillId="0" borderId="0" xfId="381" applyNumberFormat="1" applyFont="1" applyFill="1" applyBorder="1"/>
    <xf numFmtId="10" fontId="52" fillId="0" borderId="0" xfId="633" applyNumberFormat="1" applyFont="1" applyFill="1" applyBorder="1"/>
    <xf numFmtId="164" fontId="8" fillId="0" borderId="10" xfId="390" applyNumberFormat="1" applyFont="1" applyFill="1" applyBorder="1" applyAlignment="1">
      <alignment wrapText="1"/>
    </xf>
    <xf numFmtId="164" fontId="8" fillId="0" borderId="23" xfId="390" applyNumberFormat="1" applyFont="1" applyFill="1" applyBorder="1" applyAlignment="1">
      <alignment wrapText="1"/>
    </xf>
    <xf numFmtId="0" fontId="18" fillId="0" borderId="40" xfId="465" applyBorder="1" applyAlignment="1">
      <alignment horizontal="center"/>
    </xf>
    <xf numFmtId="0" fontId="18" fillId="0" borderId="40" xfId="465" applyBorder="1" applyAlignment="1">
      <alignment horizontal="left"/>
    </xf>
    <xf numFmtId="0" fontId="18" fillId="0" borderId="41" xfId="465" applyBorder="1" applyAlignment="1">
      <alignment horizontal="center"/>
    </xf>
    <xf numFmtId="0" fontId="9" fillId="0" borderId="25" xfId="465" applyFont="1" applyBorder="1" applyAlignment="1">
      <alignment horizontal="center"/>
    </xf>
    <xf numFmtId="173" fontId="49" fillId="0" borderId="0" xfId="633" applyNumberFormat="1" applyFont="1" applyFill="1" applyBorder="1"/>
    <xf numFmtId="0" fontId="89" fillId="0" borderId="24" xfId="0" applyFont="1" applyBorder="1" applyAlignment="1">
      <alignment horizontal="center"/>
    </xf>
    <xf numFmtId="0" fontId="49" fillId="0" borderId="22" xfId="0" applyFont="1" applyBorder="1"/>
    <xf numFmtId="173" fontId="49" fillId="0" borderId="40" xfId="633" applyNumberFormat="1" applyFont="1" applyFill="1" applyBorder="1"/>
    <xf numFmtId="0" fontId="51" fillId="0" borderId="40" xfId="0" applyFont="1" applyBorder="1"/>
    <xf numFmtId="0" fontId="49" fillId="0" borderId="40" xfId="0" applyFont="1" applyBorder="1"/>
    <xf numFmtId="0" fontId="89" fillId="0" borderId="39" xfId="0" applyFont="1" applyBorder="1" applyAlignment="1">
      <alignment horizontal="center"/>
    </xf>
    <xf numFmtId="0" fontId="89" fillId="0" borderId="20" xfId="0" applyFont="1" applyBorder="1"/>
    <xf numFmtId="164" fontId="81" fillId="0" borderId="0" xfId="381" applyNumberFormat="1" applyFont="1" applyBorder="1"/>
    <xf numFmtId="164" fontId="45" fillId="0" borderId="0" xfId="381" applyNumberFormat="1" applyFont="1" applyBorder="1"/>
    <xf numFmtId="164" fontId="9" fillId="0" borderId="0" xfId="0" applyNumberFormat="1" applyFont="1"/>
    <xf numFmtId="43" fontId="12" fillId="0" borderId="28" xfId="381" applyFont="1" applyFill="1" applyBorder="1" applyAlignment="1"/>
    <xf numFmtId="43" fontId="12" fillId="0" borderId="0" xfId="381" applyFont="1" applyFill="1" applyBorder="1"/>
    <xf numFmtId="43" fontId="12" fillId="0" borderId="28" xfId="381" applyFont="1" applyFill="1" applyBorder="1"/>
    <xf numFmtId="164" fontId="12" fillId="0" borderId="21" xfId="381" applyNumberFormat="1" applyFont="1" applyFill="1" applyBorder="1"/>
    <xf numFmtId="0" fontId="12" fillId="0" borderId="22" xfId="0" applyFont="1" applyBorder="1" applyAlignment="1">
      <alignment horizontal="left"/>
    </xf>
    <xf numFmtId="0" fontId="12" fillId="0" borderId="64" xfId="0" applyFont="1" applyBorder="1"/>
    <xf numFmtId="0" fontId="12" fillId="0" borderId="49" xfId="0" applyFont="1" applyBorder="1"/>
    <xf numFmtId="164" fontId="12" fillId="0" borderId="10" xfId="381" applyNumberFormat="1" applyFont="1" applyFill="1" applyBorder="1"/>
    <xf numFmtId="171" fontId="12" fillId="0" borderId="49" xfId="633" applyNumberFormat="1" applyFont="1" applyBorder="1"/>
    <xf numFmtId="171" fontId="12" fillId="0" borderId="65" xfId="633" applyNumberFormat="1" applyFont="1" applyBorder="1"/>
    <xf numFmtId="39" fontId="10" fillId="0" borderId="28" xfId="0" applyNumberFormat="1" applyFont="1" applyBorder="1" applyAlignment="1">
      <alignment horizontal="right"/>
    </xf>
    <xf numFmtId="10" fontId="12" fillId="0" borderId="28" xfId="633" applyNumberFormat="1" applyFont="1" applyFill="1" applyBorder="1"/>
    <xf numFmtId="10" fontId="12" fillId="0" borderId="52" xfId="633" applyNumberFormat="1" applyFont="1" applyFill="1" applyBorder="1"/>
    <xf numFmtId="37" fontId="10" fillId="0" borderId="0" xfId="0" applyNumberFormat="1" applyFont="1"/>
    <xf numFmtId="37" fontId="117" fillId="0" borderId="0" xfId="0" applyNumberFormat="1" applyFont="1"/>
    <xf numFmtId="37" fontId="118" fillId="0" borderId="0" xfId="0" applyNumberFormat="1" applyFont="1"/>
    <xf numFmtId="37" fontId="12" fillId="0" borderId="58" xfId="0" applyNumberFormat="1" applyFont="1" applyBorder="1"/>
    <xf numFmtId="37" fontId="12" fillId="0" borderId="0" xfId="0" applyNumberFormat="1" applyFont="1"/>
    <xf numFmtId="37" fontId="12" fillId="0" borderId="28" xfId="0" applyNumberFormat="1" applyFont="1" applyBorder="1"/>
    <xf numFmtId="37" fontId="12" fillId="0" borderId="14" xfId="0" applyNumberFormat="1" applyFont="1" applyBorder="1"/>
    <xf numFmtId="37" fontId="12" fillId="0" borderId="60" xfId="0" applyNumberFormat="1" applyFont="1" applyBorder="1"/>
    <xf numFmtId="37" fontId="12" fillId="0" borderId="35" xfId="0" applyNumberFormat="1" applyFont="1" applyBorder="1"/>
    <xf numFmtId="37" fontId="16" fillId="0" borderId="0" xfId="0" applyNumberFormat="1" applyFont="1"/>
    <xf numFmtId="37" fontId="16" fillId="0" borderId="35" xfId="0" applyNumberFormat="1" applyFont="1" applyBorder="1"/>
    <xf numFmtId="37" fontId="119" fillId="0" borderId="28" xfId="0" applyNumberFormat="1" applyFont="1" applyBorder="1" applyAlignment="1">
      <alignment horizontal="center"/>
    </xf>
    <xf numFmtId="3" fontId="12" fillId="0" borderId="0" xfId="0" applyNumberFormat="1" applyFont="1" applyAlignment="1">
      <alignment horizontal="left"/>
    </xf>
    <xf numFmtId="0" fontId="12" fillId="0" borderId="0" xfId="0" quotePrefix="1" applyFont="1" applyAlignment="1">
      <alignment wrapText="1"/>
    </xf>
    <xf numFmtId="0" fontId="12" fillId="0" borderId="58" xfId="0" applyFont="1" applyBorder="1" applyAlignment="1">
      <alignment horizontal="right"/>
    </xf>
    <xf numFmtId="173" fontId="14" fillId="0" borderId="28" xfId="0" applyNumberFormat="1" applyFont="1" applyBorder="1" applyAlignment="1">
      <alignment horizontal="right"/>
    </xf>
    <xf numFmtId="173" fontId="12" fillId="0" borderId="35" xfId="633" applyNumberFormat="1" applyFont="1" applyFill="1" applyBorder="1"/>
    <xf numFmtId="172" fontId="12" fillId="0" borderId="35" xfId="381" applyNumberFormat="1" applyFont="1" applyFill="1" applyBorder="1" applyAlignment="1">
      <alignment horizontal="right"/>
    </xf>
    <xf numFmtId="172" fontId="12" fillId="0" borderId="14" xfId="381" applyNumberFormat="1" applyFont="1" applyFill="1" applyBorder="1"/>
    <xf numFmtId="172" fontId="12" fillId="0" borderId="35" xfId="381" applyNumberFormat="1" applyFont="1" applyFill="1" applyBorder="1"/>
    <xf numFmtId="0" fontId="14" fillId="0" borderId="14" xfId="0" quotePrefix="1" applyFont="1" applyBorder="1" applyAlignment="1">
      <alignment horizontal="center" wrapText="1"/>
    </xf>
    <xf numFmtId="0" fontId="0" fillId="0" borderId="58" xfId="0" applyBorder="1"/>
    <xf numFmtId="43" fontId="12" fillId="0" borderId="58" xfId="381" applyFont="1" applyFill="1" applyBorder="1" applyAlignment="1"/>
    <xf numFmtId="43" fontId="12" fillId="0" borderId="58" xfId="381" applyFont="1" applyFill="1" applyBorder="1"/>
    <xf numFmtId="164" fontId="12" fillId="0" borderId="58" xfId="381" applyNumberFormat="1" applyFont="1" applyFill="1" applyBorder="1"/>
    <xf numFmtId="0" fontId="12" fillId="0" borderId="25" xfId="0" applyFont="1" applyBorder="1" applyAlignment="1">
      <alignment horizontal="center"/>
    </xf>
    <xf numFmtId="0" fontId="10" fillId="0" borderId="24" xfId="0" applyFont="1" applyBorder="1" applyAlignment="1">
      <alignment horizontal="left"/>
    </xf>
    <xf numFmtId="0" fontId="12" fillId="0" borderId="24" xfId="0" applyFont="1" applyBorder="1" applyAlignment="1">
      <alignment horizontal="right"/>
    </xf>
    <xf numFmtId="0" fontId="0" fillId="0" borderId="24" xfId="0" applyBorder="1"/>
    <xf numFmtId="3" fontId="12" fillId="0" borderId="50" xfId="0" applyNumberFormat="1" applyFont="1" applyBorder="1"/>
    <xf numFmtId="164" fontId="12" fillId="0" borderId="50" xfId="381" applyNumberFormat="1" applyFont="1" applyBorder="1"/>
    <xf numFmtId="164" fontId="12" fillId="0" borderId="51" xfId="381" applyNumberFormat="1" applyFont="1" applyBorder="1"/>
    <xf numFmtId="168" fontId="12" fillId="0" borderId="35" xfId="633" applyNumberFormat="1" applyFont="1" applyFill="1" applyBorder="1" applyAlignment="1"/>
    <xf numFmtId="168" fontId="12" fillId="0" borderId="55" xfId="633" applyNumberFormat="1" applyFont="1" applyFill="1" applyBorder="1" applyAlignment="1"/>
    <xf numFmtId="0" fontId="10" fillId="0" borderId="0" xfId="0" applyFont="1" applyAlignment="1">
      <alignment horizontal="centerContinuous"/>
    </xf>
    <xf numFmtId="0" fontId="87" fillId="0" borderId="0" xfId="0" applyFont="1" applyAlignment="1">
      <alignment horizontal="left"/>
    </xf>
    <xf numFmtId="0" fontId="87" fillId="0" borderId="0" xfId="0" applyFont="1"/>
    <xf numFmtId="0" fontId="11" fillId="0" borderId="0" xfId="0" applyFont="1" applyAlignment="1">
      <alignment horizontal="centerContinuous"/>
    </xf>
    <xf numFmtId="0" fontId="8" fillId="0" borderId="0" xfId="0" applyFont="1" applyAlignment="1">
      <alignment horizontal="left"/>
    </xf>
    <xf numFmtId="164" fontId="8" fillId="0" borderId="17" xfId="381" applyNumberFormat="1" applyFont="1" applyFill="1" applyBorder="1"/>
    <xf numFmtId="164" fontId="8" fillId="0" borderId="17" xfId="381" applyNumberFormat="1" applyFill="1" applyBorder="1"/>
    <xf numFmtId="0" fontId="0" fillId="0" borderId="0" xfId="0" applyAlignment="1">
      <alignment horizontal="right" wrapText="1"/>
    </xf>
    <xf numFmtId="37" fontId="31" fillId="0" borderId="0" xfId="0" applyNumberFormat="1" applyFont="1"/>
    <xf numFmtId="0" fontId="37" fillId="0" borderId="0" xfId="0" applyFont="1" applyAlignment="1">
      <alignment horizontal="right"/>
    </xf>
    <xf numFmtId="0" fontId="10" fillId="0" borderId="17" xfId="0" applyFont="1" applyBorder="1" applyAlignment="1">
      <alignment horizontal="center" wrapText="1"/>
    </xf>
    <xf numFmtId="0" fontId="10" fillId="0" borderId="26" xfId="0" applyFont="1" applyBorder="1" applyAlignment="1">
      <alignment horizontal="center" wrapText="1"/>
    </xf>
    <xf numFmtId="164" fontId="52" fillId="0" borderId="0" xfId="390" applyNumberFormat="1" applyFont="1" applyFill="1" applyBorder="1" applyAlignment="1"/>
    <xf numFmtId="3" fontId="52" fillId="0" borderId="0" xfId="465" applyNumberFormat="1" applyFont="1" applyAlignment="1">
      <alignment horizontal="center"/>
    </xf>
    <xf numFmtId="0" fontId="18" fillId="0" borderId="14" xfId="465" applyBorder="1"/>
    <xf numFmtId="0" fontId="52" fillId="0" borderId="35" xfId="465" applyFont="1" applyBorder="1"/>
    <xf numFmtId="3" fontId="18" fillId="0" borderId="13" xfId="465" applyNumberFormat="1" applyBorder="1" applyAlignment="1">
      <alignment horizontal="center"/>
    </xf>
    <xf numFmtId="3" fontId="18" fillId="0" borderId="17" xfId="465" applyNumberFormat="1" applyBorder="1" applyAlignment="1">
      <alignment horizontal="center" wrapText="1"/>
    </xf>
    <xf numFmtId="3" fontId="18" fillId="0" borderId="17" xfId="465" applyNumberFormat="1" applyBorder="1" applyAlignment="1">
      <alignment horizontal="right"/>
    </xf>
    <xf numFmtId="0" fontId="57" fillId="0" borderId="24" xfId="465" applyFont="1" applyBorder="1" applyAlignment="1">
      <alignment horizontal="center"/>
    </xf>
    <xf numFmtId="0" fontId="18" fillId="0" borderId="25" xfId="465" applyBorder="1" applyAlignment="1">
      <alignment horizontal="center" wrapText="1"/>
    </xf>
    <xf numFmtId="0" fontId="52" fillId="0" borderId="24" xfId="465" applyFont="1" applyBorder="1" applyAlignment="1">
      <alignment horizontal="center" wrapText="1"/>
    </xf>
    <xf numFmtId="0" fontId="8" fillId="0" borderId="24" xfId="465" applyFont="1" applyBorder="1" applyAlignment="1">
      <alignment horizontal="center" wrapText="1"/>
    </xf>
    <xf numFmtId="0" fontId="8" fillId="0" borderId="29" xfId="465" applyFont="1" applyBorder="1" applyAlignment="1">
      <alignment horizontal="center" wrapText="1"/>
    </xf>
    <xf numFmtId="43" fontId="49" fillId="0" borderId="0" xfId="381" applyFont="1" applyFill="1" applyBorder="1" applyAlignment="1"/>
    <xf numFmtId="0" fontId="18" fillId="0" borderId="13" xfId="465" applyBorder="1"/>
    <xf numFmtId="0" fontId="52" fillId="0" borderId="10" xfId="465" applyFont="1" applyBorder="1"/>
    <xf numFmtId="0" fontId="34" fillId="0" borderId="0" xfId="465" applyFont="1" applyAlignment="1">
      <alignment horizontal="center"/>
    </xf>
    <xf numFmtId="37" fontId="35" fillId="0" borderId="0" xfId="465" applyNumberFormat="1" applyFont="1" applyAlignment="1">
      <alignment horizontal="left"/>
    </xf>
    <xf numFmtId="0" fontId="39" fillId="0" borderId="25" xfId="465" applyFont="1" applyBorder="1" applyAlignment="1">
      <alignment horizontal="center" wrapText="1"/>
    </xf>
    <xf numFmtId="0" fontId="39" fillId="0" borderId="24" xfId="465" applyFont="1" applyBorder="1" applyAlignment="1">
      <alignment horizontal="center" wrapText="1"/>
    </xf>
    <xf numFmtId="0" fontId="35" fillId="0" borderId="24" xfId="465" applyFont="1" applyBorder="1" applyAlignment="1">
      <alignment horizontal="center" wrapText="1"/>
    </xf>
    <xf numFmtId="0" fontId="35" fillId="0" borderId="29" xfId="465" applyFont="1" applyBorder="1" applyAlignment="1">
      <alignment horizontal="center" wrapText="1"/>
    </xf>
    <xf numFmtId="0" fontId="35" fillId="0" borderId="20" xfId="465" applyFont="1" applyBorder="1"/>
    <xf numFmtId="3" fontId="35" fillId="0" borderId="0" xfId="465" applyNumberFormat="1" applyFont="1" applyAlignment="1">
      <alignment horizontal="left" wrapText="1"/>
    </xf>
    <xf numFmtId="0" fontId="8" fillId="0" borderId="0" xfId="465" applyFont="1" applyAlignment="1">
      <alignment wrapText="1"/>
    </xf>
    <xf numFmtId="0" fontId="8" fillId="0" borderId="21" xfId="465" applyFont="1" applyBorder="1" applyAlignment="1">
      <alignment wrapText="1"/>
    </xf>
    <xf numFmtId="0" fontId="35" fillId="0" borderId="0" xfId="465" applyFont="1" applyAlignment="1">
      <alignment wrapText="1"/>
    </xf>
    <xf numFmtId="0" fontId="35" fillId="0" borderId="21" xfId="465" applyFont="1" applyBorder="1" applyAlignment="1">
      <alignment wrapText="1"/>
    </xf>
    <xf numFmtId="3" fontId="35" fillId="0" borderId="0" xfId="465" quotePrefix="1" applyNumberFormat="1" applyFont="1" applyAlignment="1">
      <alignment horizontal="left" wrapText="1"/>
    </xf>
    <xf numFmtId="0" fontId="35" fillId="0" borderId="22" xfId="465" applyFont="1" applyBorder="1" applyAlignment="1">
      <alignment horizontal="center"/>
    </xf>
    <xf numFmtId="0" fontId="35" fillId="0" borderId="10" xfId="465" applyFont="1" applyBorder="1" applyAlignment="1">
      <alignment horizontal="right"/>
    </xf>
    <xf numFmtId="0" fontId="35" fillId="0" borderId="10" xfId="465" applyFont="1" applyBorder="1" applyAlignment="1">
      <alignment horizontal="left"/>
    </xf>
    <xf numFmtId="0" fontId="35" fillId="0" borderId="10" xfId="465" applyFont="1" applyBorder="1" applyAlignment="1">
      <alignment horizontal="center"/>
    </xf>
    <xf numFmtId="0" fontId="35" fillId="0" borderId="23" xfId="465" applyFont="1" applyBorder="1"/>
    <xf numFmtId="3" fontId="35" fillId="0" borderId="10" xfId="465" applyNumberFormat="1" applyFont="1" applyBorder="1" applyAlignment="1">
      <alignment horizontal="center"/>
    </xf>
    <xf numFmtId="3" fontId="35" fillId="0" borderId="10" xfId="465" applyNumberFormat="1" applyFont="1" applyBorder="1" applyAlignment="1">
      <alignment horizontal="left" wrapText="1"/>
    </xf>
    <xf numFmtId="0" fontId="9" fillId="0" borderId="16" xfId="465" applyFont="1" applyBorder="1" applyAlignment="1">
      <alignment horizontal="center"/>
    </xf>
    <xf numFmtId="0" fontId="9" fillId="0" borderId="16" xfId="465" applyFont="1" applyBorder="1" applyAlignment="1">
      <alignment horizontal="center" wrapText="1"/>
    </xf>
    <xf numFmtId="0" fontId="9" fillId="0" borderId="15" xfId="465" applyFont="1" applyBorder="1" applyAlignment="1">
      <alignment horizontal="center" wrapText="1"/>
    </xf>
    <xf numFmtId="164" fontId="18" fillId="0" borderId="0" xfId="381" applyNumberFormat="1" applyFont="1" applyFill="1" applyBorder="1" applyAlignment="1"/>
    <xf numFmtId="0" fontId="9" fillId="0" borderId="25" xfId="465" applyFont="1" applyBorder="1" applyAlignment="1">
      <alignment horizontal="center" wrapText="1"/>
    </xf>
    <xf numFmtId="3" fontId="9" fillId="0" borderId="0" xfId="465" applyNumberFormat="1" applyFont="1" applyAlignment="1">
      <alignment horizontal="center"/>
    </xf>
    <xf numFmtId="0" fontId="8" fillId="0" borderId="20" xfId="473" applyBorder="1" applyAlignment="1">
      <alignment horizontal="center"/>
    </xf>
    <xf numFmtId="3" fontId="8" fillId="0" borderId="0" xfId="473" applyNumberFormat="1" applyAlignment="1">
      <alignment horizontal="center"/>
    </xf>
    <xf numFmtId="164" fontId="8" fillId="0" borderId="21" xfId="381" applyNumberFormat="1" applyFont="1" applyFill="1" applyBorder="1"/>
    <xf numFmtId="43" fontId="8" fillId="0" borderId="21" xfId="381" applyFont="1" applyFill="1" applyBorder="1"/>
    <xf numFmtId="0" fontId="8" fillId="0" borderId="21" xfId="473" applyBorder="1"/>
    <xf numFmtId="0" fontId="8" fillId="0" borderId="22" xfId="473" applyBorder="1" applyAlignment="1">
      <alignment horizontal="center"/>
    </xf>
    <xf numFmtId="0" fontId="9" fillId="0" borderId="10" xfId="473" applyFont="1" applyBorder="1"/>
    <xf numFmtId="0" fontId="20" fillId="0" borderId="10" xfId="465" applyFont="1" applyBorder="1" applyAlignment="1">
      <alignment horizontal="center"/>
    </xf>
    <xf numFmtId="3" fontId="9" fillId="0" borderId="21" xfId="465" applyNumberFormat="1" applyFont="1" applyBorder="1"/>
    <xf numFmtId="3" fontId="9" fillId="0" borderId="0" xfId="465" applyNumberFormat="1" applyFont="1"/>
    <xf numFmtId="164" fontId="18" fillId="0" borderId="20" xfId="381" applyNumberFormat="1" applyFont="1" applyFill="1" applyBorder="1"/>
    <xf numFmtId="164" fontId="18" fillId="0" borderId="66" xfId="381" applyNumberFormat="1" applyFont="1" applyFill="1" applyBorder="1"/>
    <xf numFmtId="0" fontId="18" fillId="0" borderId="23" xfId="465" applyBorder="1"/>
    <xf numFmtId="0" fontId="9" fillId="0" borderId="10" xfId="465" applyFont="1" applyBorder="1"/>
    <xf numFmtId="9" fontId="8" fillId="0" borderId="0" xfId="634" applyFont="1" applyFill="1" applyBorder="1" applyAlignment="1">
      <alignment horizontal="center"/>
    </xf>
    <xf numFmtId="164" fontId="18" fillId="0" borderId="0" xfId="381" applyNumberFormat="1" applyFont="1" applyFill="1" applyBorder="1"/>
    <xf numFmtId="0" fontId="0" fillId="0" borderId="22" xfId="0" applyBorder="1"/>
    <xf numFmtId="0" fontId="0" fillId="0" borderId="23" xfId="0" applyBorder="1"/>
    <xf numFmtId="168" fontId="8" fillId="0" borderId="10" xfId="634" applyNumberFormat="1" applyFont="1" applyFill="1" applyBorder="1" applyAlignment="1">
      <alignment horizontal="center"/>
    </xf>
    <xf numFmtId="0" fontId="8" fillId="0" borderId="10" xfId="0" applyFont="1" applyBorder="1"/>
    <xf numFmtId="0" fontId="8" fillId="0" borderId="23" xfId="0" applyFont="1" applyBorder="1"/>
    <xf numFmtId="0" fontId="9" fillId="0" borderId="25" xfId="465" applyFont="1" applyBorder="1" applyAlignment="1">
      <alignment horizontal="left"/>
    </xf>
    <xf numFmtId="3" fontId="20" fillId="0" borderId="20" xfId="465" applyNumberFormat="1" applyFont="1" applyBorder="1" applyAlignment="1">
      <alignment horizontal="center"/>
    </xf>
    <xf numFmtId="37" fontId="9" fillId="0" borderId="0" xfId="467" applyNumberFormat="1" applyFont="1"/>
    <xf numFmtId="168" fontId="8" fillId="0" borderId="0" xfId="634" applyNumberFormat="1" applyFont="1" applyFill="1" applyBorder="1" applyAlignment="1"/>
    <xf numFmtId="164" fontId="18" fillId="0" borderId="0" xfId="390" applyNumberFormat="1" applyFont="1" applyFill="1" applyBorder="1"/>
    <xf numFmtId="164" fontId="8" fillId="0" borderId="0" xfId="390" applyNumberFormat="1" applyFont="1" applyFill="1" applyBorder="1"/>
    <xf numFmtId="164" fontId="18" fillId="0" borderId="22" xfId="390" applyNumberFormat="1" applyFont="1" applyFill="1" applyBorder="1"/>
    <xf numFmtId="164" fontId="18" fillId="0" borderId="10" xfId="390" applyNumberFormat="1" applyFont="1" applyFill="1" applyBorder="1"/>
    <xf numFmtId="164" fontId="9" fillId="0" borderId="10" xfId="390" applyNumberFormat="1" applyFont="1" applyFill="1" applyBorder="1" applyAlignment="1"/>
    <xf numFmtId="164" fontId="8" fillId="0" borderId="10" xfId="381" applyNumberFormat="1" applyFont="1" applyFill="1" applyBorder="1" applyAlignment="1"/>
    <xf numFmtId="183" fontId="115" fillId="0" borderId="0" xfId="0" applyNumberFormat="1" applyFont="1"/>
    <xf numFmtId="0" fontId="115" fillId="0" borderId="21" xfId="0" applyFont="1" applyBorder="1" applyAlignment="1">
      <alignment horizontal="right"/>
    </xf>
    <xf numFmtId="164" fontId="9" fillId="0" borderId="0" xfId="390" applyNumberFormat="1" applyFont="1" applyFill="1" applyBorder="1" applyAlignment="1"/>
    <xf numFmtId="3" fontId="18" fillId="0" borderId="21" xfId="465" applyNumberFormat="1" applyBorder="1"/>
    <xf numFmtId="0" fontId="9" fillId="0" borderId="20" xfId="465" applyFont="1" applyBorder="1" applyAlignment="1">
      <alignment horizontal="center" wrapText="1"/>
    </xf>
    <xf numFmtId="164" fontId="18" fillId="0" borderId="20" xfId="381" applyNumberFormat="1" applyFont="1" applyFill="1" applyBorder="1" applyAlignment="1">
      <alignment horizontal="right"/>
    </xf>
    <xf numFmtId="164" fontId="18" fillId="0" borderId="20" xfId="465" applyNumberFormat="1" applyBorder="1" applyAlignment="1">
      <alignment horizontal="right"/>
    </xf>
    <xf numFmtId="0" fontId="9" fillId="0" borderId="39" xfId="465" applyFont="1" applyBorder="1" applyAlignment="1">
      <alignment horizontal="center"/>
    </xf>
    <xf numFmtId="0" fontId="18" fillId="0" borderId="40" xfId="465" applyBorder="1"/>
    <xf numFmtId="0" fontId="34" fillId="0" borderId="10" xfId="0" applyFont="1" applyBorder="1"/>
    <xf numFmtId="0" fontId="35" fillId="0" borderId="10" xfId="0" applyFont="1" applyBorder="1"/>
    <xf numFmtId="0" fontId="35" fillId="0" borderId="23" xfId="0" applyFont="1" applyBorder="1"/>
    <xf numFmtId="167" fontId="35" fillId="0" borderId="0" xfId="420" applyNumberFormat="1" applyFont="1" applyFill="1" applyBorder="1"/>
    <xf numFmtId="164" fontId="8" fillId="0" borderId="10" xfId="381" applyNumberFormat="1" applyFont="1" applyFill="1" applyBorder="1"/>
    <xf numFmtId="0" fontId="35" fillId="0" borderId="24" xfId="467" applyFont="1" applyBorder="1" applyAlignment="1">
      <alignment horizontal="center"/>
    </xf>
    <xf numFmtId="0" fontId="8" fillId="0" borderId="21" xfId="467" applyBorder="1" applyAlignment="1">
      <alignment horizontal="center"/>
    </xf>
    <xf numFmtId="0" fontId="35" fillId="0" borderId="29" xfId="467" applyFont="1" applyBorder="1"/>
    <xf numFmtId="0" fontId="35" fillId="0" borderId="21" xfId="467" applyFont="1" applyBorder="1"/>
    <xf numFmtId="0" fontId="90" fillId="0" borderId="0" xfId="0" applyFont="1" applyAlignment="1">
      <alignment horizontal="left" wrapText="1"/>
    </xf>
    <xf numFmtId="0" fontId="35" fillId="0" borderId="10" xfId="467" applyFont="1" applyBorder="1" applyAlignment="1">
      <alignment horizontal="center"/>
    </xf>
    <xf numFmtId="0" fontId="35" fillId="0" borderId="23" xfId="467" applyFont="1" applyBorder="1"/>
    <xf numFmtId="0" fontId="39" fillId="0" borderId="24" xfId="467" applyFont="1" applyBorder="1" applyAlignment="1">
      <alignment horizontal="center" wrapText="1"/>
    </xf>
    <xf numFmtId="167" fontId="35" fillId="0" borderId="40" xfId="420" applyNumberFormat="1" applyFont="1" applyFill="1" applyBorder="1"/>
    <xf numFmtId="167" fontId="35" fillId="0" borderId="0" xfId="467" applyNumberFormat="1" applyFont="1"/>
    <xf numFmtId="0" fontId="9" fillId="0" borderId="26" xfId="0" applyFont="1" applyBorder="1"/>
    <xf numFmtId="164" fontId="103" fillId="0" borderId="0" xfId="381" applyNumberFormat="1" applyFont="1" applyFill="1" applyBorder="1"/>
    <xf numFmtId="0" fontId="12" fillId="0" borderId="0" xfId="0" applyFont="1" applyAlignment="1">
      <alignment horizontal="center" vertical="top"/>
    </xf>
    <xf numFmtId="0" fontId="18" fillId="0" borderId="22" xfId="465" applyBorder="1" applyAlignment="1">
      <alignment horizontal="left"/>
    </xf>
    <xf numFmtId="0" fontId="9" fillId="0" borderId="24" xfId="465" applyFont="1" applyBorder="1" applyAlignment="1">
      <alignment horizontal="left" wrapText="1"/>
    </xf>
    <xf numFmtId="0" fontId="8" fillId="0" borderId="0" xfId="467" applyAlignment="1">
      <alignment horizontal="center" vertical="top"/>
    </xf>
    <xf numFmtId="43" fontId="0" fillId="0" borderId="17" xfId="381" applyFont="1" applyFill="1" applyBorder="1"/>
    <xf numFmtId="0" fontId="18" fillId="34" borderId="0" xfId="0" applyFont="1" applyFill="1"/>
    <xf numFmtId="0" fontId="0" fillId="34" borderId="0" xfId="0" applyFill="1"/>
    <xf numFmtId="0" fontId="52" fillId="34" borderId="0" xfId="0" applyFont="1" applyFill="1"/>
    <xf numFmtId="0" fontId="65" fillId="34" borderId="0" xfId="0" applyFont="1" applyFill="1"/>
    <xf numFmtId="164" fontId="50" fillId="34" borderId="0" xfId="381" applyNumberFormat="1" applyFont="1" applyFill="1"/>
    <xf numFmtId="0" fontId="9" fillId="0" borderId="25" xfId="467" applyFont="1" applyBorder="1" applyAlignment="1">
      <alignment horizontal="left"/>
    </xf>
    <xf numFmtId="0" fontId="9" fillId="0" borderId="24" xfId="467" applyFont="1" applyBorder="1" applyAlignment="1">
      <alignment horizontal="left"/>
    </xf>
    <xf numFmtId="0" fontId="9" fillId="0" borderId="25" xfId="467" applyFont="1" applyBorder="1" applyAlignment="1">
      <alignment horizontal="center" wrapText="1"/>
    </xf>
    <xf numFmtId="0" fontId="9" fillId="0" borderId="24" xfId="467" applyFont="1" applyBorder="1" applyAlignment="1">
      <alignment horizontal="center" wrapText="1"/>
    </xf>
    <xf numFmtId="0" fontId="8" fillId="0" borderId="24" xfId="467" applyBorder="1"/>
    <xf numFmtId="0" fontId="8" fillId="0" borderId="24" xfId="467" applyBorder="1" applyAlignment="1">
      <alignment wrapText="1"/>
    </xf>
    <xf numFmtId="0" fontId="9" fillId="0" borderId="24" xfId="467" applyFont="1" applyBorder="1" applyAlignment="1">
      <alignment wrapText="1"/>
    </xf>
    <xf numFmtId="0" fontId="8" fillId="0" borderId="29" xfId="467" applyBorder="1" applyAlignment="1">
      <alignment wrapText="1"/>
    </xf>
    <xf numFmtId="0" fontId="9" fillId="0" borderId="20" xfId="467" applyFont="1" applyBorder="1" applyAlignment="1">
      <alignment horizontal="left"/>
    </xf>
    <xf numFmtId="0" fontId="9" fillId="0" borderId="20" xfId="467" applyFont="1" applyBorder="1" applyAlignment="1">
      <alignment horizontal="center" wrapText="1"/>
    </xf>
    <xf numFmtId="0" fontId="9" fillId="0" borderId="0" xfId="467" applyFont="1" applyAlignment="1">
      <alignment horizontal="center" wrapText="1"/>
    </xf>
    <xf numFmtId="0" fontId="9" fillId="0" borderId="0" xfId="467" applyFont="1" applyAlignment="1">
      <alignment wrapText="1"/>
    </xf>
    <xf numFmtId="0" fontId="8" fillId="0" borderId="21" xfId="467" applyBorder="1" applyAlignment="1">
      <alignment wrapText="1"/>
    </xf>
    <xf numFmtId="0" fontId="8" fillId="0" borderId="20" xfId="467" applyBorder="1" applyAlignment="1">
      <alignment horizontal="center"/>
    </xf>
    <xf numFmtId="3" fontId="8" fillId="0" borderId="0" xfId="467" applyNumberFormat="1" applyAlignment="1">
      <alignment horizontal="center"/>
    </xf>
    <xf numFmtId="0" fontId="9" fillId="0" borderId="20" xfId="467" applyFont="1" applyBorder="1" applyAlignment="1">
      <alignment horizontal="center"/>
    </xf>
    <xf numFmtId="3" fontId="9" fillId="0" borderId="0" xfId="467" applyNumberFormat="1" applyFont="1" applyAlignment="1">
      <alignment horizontal="center"/>
    </xf>
    <xf numFmtId="0" fontId="9" fillId="0" borderId="0" xfId="467" applyFont="1" applyAlignment="1">
      <alignment horizontal="center"/>
    </xf>
    <xf numFmtId="0" fontId="9" fillId="0" borderId="21" xfId="467" applyFont="1" applyBorder="1"/>
    <xf numFmtId="164" fontId="8" fillId="0" borderId="0" xfId="467" applyNumberFormat="1"/>
    <xf numFmtId="43" fontId="8" fillId="0" borderId="0" xfId="381" applyFont="1" applyFill="1" applyBorder="1" applyAlignment="1">
      <alignment horizontal="center"/>
    </xf>
    <xf numFmtId="164" fontId="8" fillId="0" borderId="0" xfId="381" applyNumberFormat="1" applyFont="1" applyFill="1" applyBorder="1" applyAlignment="1">
      <alignment horizontal="center"/>
    </xf>
    <xf numFmtId="164" fontId="8" fillId="0" borderId="22" xfId="391" applyNumberFormat="1" applyFont="1" applyFill="1" applyBorder="1" applyAlignment="1">
      <alignment horizontal="center"/>
    </xf>
    <xf numFmtId="164" fontId="9" fillId="0" borderId="10" xfId="381" applyNumberFormat="1" applyFont="1" applyFill="1" applyBorder="1" applyAlignment="1">
      <alignment wrapText="1"/>
    </xf>
    <xf numFmtId="164" fontId="9" fillId="0" borderId="23" xfId="381" applyNumberFormat="1" applyFont="1" applyFill="1" applyBorder="1" applyAlignment="1">
      <alignment wrapText="1"/>
    </xf>
    <xf numFmtId="0" fontId="8" fillId="0" borderId="0" xfId="473" applyAlignment="1">
      <alignment horizontal="center"/>
    </xf>
    <xf numFmtId="0" fontId="8" fillId="0" borderId="0" xfId="473" applyAlignment="1">
      <alignment horizontal="right"/>
    </xf>
    <xf numFmtId="164" fontId="8" fillId="0" borderId="0" xfId="391" applyNumberFormat="1" applyFont="1" applyFill="1" applyBorder="1" applyAlignment="1">
      <alignment horizontal="center"/>
    </xf>
    <xf numFmtId="0" fontId="9" fillId="0" borderId="0" xfId="473" applyFont="1"/>
    <xf numFmtId="164" fontId="9" fillId="0" borderId="0" xfId="381" applyNumberFormat="1" applyFont="1" applyFill="1" applyBorder="1" applyAlignment="1">
      <alignment wrapText="1"/>
    </xf>
    <xf numFmtId="37" fontId="50" fillId="0" borderId="0" xfId="391" applyNumberFormat="1" applyFont="1" applyFill="1" applyAlignment="1">
      <alignment horizontal="right"/>
    </xf>
    <xf numFmtId="43" fontId="21" fillId="0" borderId="28" xfId="381" applyFont="1" applyFill="1" applyBorder="1" applyAlignment="1">
      <alignment horizontal="center"/>
    </xf>
    <xf numFmtId="181" fontId="12" fillId="0" borderId="28" xfId="381" applyNumberFormat="1" applyFont="1" applyBorder="1"/>
    <xf numFmtId="43" fontId="35" fillId="0" borderId="20" xfId="381" applyFont="1" applyFill="1" applyBorder="1" applyAlignment="1">
      <alignment horizontal="center"/>
    </xf>
    <xf numFmtId="164" fontId="35" fillId="0" borderId="20" xfId="381" applyNumberFormat="1" applyFont="1" applyFill="1" applyBorder="1" applyAlignment="1">
      <alignment horizontal="center"/>
    </xf>
    <xf numFmtId="168" fontId="35" fillId="0" borderId="20" xfId="633" applyNumberFormat="1" applyFont="1" applyFill="1" applyBorder="1" applyAlignment="1">
      <alignment horizontal="right"/>
    </xf>
    <xf numFmtId="0" fontId="10" fillId="0" borderId="37" xfId="0" applyFont="1" applyBorder="1" applyAlignment="1">
      <alignment horizontal="center" wrapText="1"/>
    </xf>
    <xf numFmtId="0" fontId="10" fillId="0" borderId="42" xfId="0" applyFont="1" applyBorder="1" applyAlignment="1">
      <alignment horizontal="center" wrapText="1"/>
    </xf>
    <xf numFmtId="0" fontId="10" fillId="0" borderId="43" xfId="0" applyFont="1" applyBorder="1" applyAlignment="1">
      <alignment horizontal="center" wrapText="1"/>
    </xf>
    <xf numFmtId="173" fontId="8" fillId="0" borderId="0" xfId="633" applyNumberFormat="1" applyFont="1" applyFill="1"/>
    <xf numFmtId="43" fontId="12" fillId="0" borderId="34" xfId="381" applyFont="1" applyFill="1" applyBorder="1" applyAlignment="1">
      <alignment horizontal="right"/>
    </xf>
    <xf numFmtId="43" fontId="12" fillId="0" borderId="53" xfId="381" applyFont="1" applyFill="1" applyBorder="1" applyAlignment="1">
      <alignment horizontal="right"/>
    </xf>
    <xf numFmtId="43" fontId="12" fillId="0" borderId="35" xfId="381" applyFont="1" applyFill="1" applyBorder="1"/>
    <xf numFmtId="43" fontId="12" fillId="0" borderId="55" xfId="381" applyFont="1" applyFill="1" applyBorder="1"/>
    <xf numFmtId="43" fontId="10" fillId="0" borderId="28" xfId="381" applyFont="1" applyFill="1" applyBorder="1"/>
    <xf numFmtId="43" fontId="10" fillId="0" borderId="53" xfId="381" applyFont="1" applyFill="1" applyBorder="1"/>
    <xf numFmtId="43" fontId="12" fillId="0" borderId="28" xfId="381" applyFont="1" applyBorder="1"/>
    <xf numFmtId="43" fontId="12" fillId="0" borderId="52" xfId="381" applyFont="1" applyBorder="1"/>
    <xf numFmtId="43" fontId="12" fillId="0" borderId="52" xfId="381" applyFont="1" applyFill="1" applyBorder="1"/>
    <xf numFmtId="43" fontId="10" fillId="0" borderId="28" xfId="381" applyFont="1" applyFill="1" applyBorder="1" applyAlignment="1">
      <alignment horizontal="right"/>
    </xf>
    <xf numFmtId="43" fontId="10" fillId="0" borderId="53" xfId="381" applyFont="1" applyFill="1" applyBorder="1" applyAlignment="1">
      <alignment horizontal="right"/>
    </xf>
    <xf numFmtId="43" fontId="10" fillId="0" borderId="28" xfId="381" applyFont="1" applyBorder="1"/>
    <xf numFmtId="43" fontId="10" fillId="0" borderId="52" xfId="381" applyFont="1" applyBorder="1"/>
    <xf numFmtId="43" fontId="10" fillId="0" borderId="52" xfId="381" applyFont="1" applyFill="1" applyBorder="1"/>
    <xf numFmtId="43" fontId="10" fillId="0" borderId="33" xfId="381" applyFont="1" applyFill="1" applyBorder="1"/>
    <xf numFmtId="43" fontId="10" fillId="0" borderId="0" xfId="381" applyFont="1" applyFill="1" applyBorder="1"/>
    <xf numFmtId="43" fontId="10" fillId="0" borderId="34" xfId="381" applyFont="1" applyFill="1" applyBorder="1" applyAlignment="1"/>
    <xf numFmtId="43" fontId="10" fillId="0" borderId="53" xfId="381" applyFont="1" applyFill="1" applyBorder="1" applyAlignment="1"/>
    <xf numFmtId="43" fontId="10" fillId="0" borderId="34" xfId="381" applyFont="1" applyFill="1" applyBorder="1" applyAlignment="1">
      <alignment horizontal="right"/>
    </xf>
    <xf numFmtId="43" fontId="10" fillId="0" borderId="52" xfId="381" applyFont="1" applyFill="1" applyBorder="1" applyAlignment="1">
      <alignment horizontal="right"/>
    </xf>
    <xf numFmtId="0" fontId="35" fillId="0" borderId="24" xfId="467" applyFont="1" applyBorder="1"/>
    <xf numFmtId="0" fontId="35" fillId="0" borderId="10" xfId="467" applyFont="1" applyBorder="1"/>
    <xf numFmtId="0" fontId="0" fillId="0" borderId="29" xfId="0" applyBorder="1"/>
    <xf numFmtId="0" fontId="39" fillId="0" borderId="25" xfId="467" applyFont="1" applyBorder="1" applyAlignment="1">
      <alignment horizontal="center" wrapText="1"/>
    </xf>
    <xf numFmtId="167" fontId="35" fillId="0" borderId="20" xfId="467" applyNumberFormat="1" applyFont="1" applyBorder="1"/>
    <xf numFmtId="167" fontId="8" fillId="0" borderId="21" xfId="467" applyNumberFormat="1" applyBorder="1"/>
    <xf numFmtId="167" fontId="35" fillId="0" borderId="22" xfId="467" applyNumberFormat="1" applyFont="1" applyBorder="1"/>
    <xf numFmtId="0" fontId="9" fillId="0" borderId="21" xfId="0" applyFont="1" applyBorder="1"/>
    <xf numFmtId="43" fontId="12" fillId="0" borderId="28" xfId="381" applyFont="1" applyFill="1" applyBorder="1" applyAlignment="1">
      <alignment horizontal="right"/>
    </xf>
    <xf numFmtId="0" fontId="21" fillId="0" borderId="0" xfId="467" applyFont="1" applyAlignment="1">
      <alignment horizontal="centerContinuous"/>
    </xf>
    <xf numFmtId="17" fontId="45" fillId="0" borderId="12" xfId="0" applyNumberFormat="1" applyFont="1" applyBorder="1"/>
    <xf numFmtId="17" fontId="45" fillId="0" borderId="12" xfId="0" applyNumberFormat="1" applyFont="1" applyBorder="1" applyAlignment="1">
      <alignment horizontal="center"/>
    </xf>
    <xf numFmtId="17" fontId="45" fillId="0" borderId="26" xfId="0" applyNumberFormat="1" applyFont="1" applyBorder="1"/>
    <xf numFmtId="3" fontId="12" fillId="33" borderId="28" xfId="0" applyNumberFormat="1" applyFont="1" applyFill="1" applyBorder="1"/>
    <xf numFmtId="164" fontId="12" fillId="33" borderId="28" xfId="381" applyNumberFormat="1" applyFont="1" applyFill="1" applyBorder="1"/>
    <xf numFmtId="3" fontId="12" fillId="33" borderId="28" xfId="0" applyNumberFormat="1" applyFont="1" applyFill="1" applyBorder="1" applyAlignment="1">
      <alignment horizontal="right"/>
    </xf>
    <xf numFmtId="3" fontId="12" fillId="33" borderId="35" xfId="0" applyNumberFormat="1" applyFont="1" applyFill="1" applyBorder="1" applyAlignment="1">
      <alignment horizontal="right"/>
    </xf>
    <xf numFmtId="164" fontId="8" fillId="33" borderId="0" xfId="381" applyNumberFormat="1" applyFont="1" applyFill="1"/>
    <xf numFmtId="164" fontId="8" fillId="33" borderId="14" xfId="381" applyNumberFormat="1" applyFont="1" applyFill="1" applyBorder="1"/>
    <xf numFmtId="0" fontId="8" fillId="33" borderId="0" xfId="0" applyFont="1" applyFill="1"/>
    <xf numFmtId="0" fontId="18" fillId="33" borderId="0" xfId="0" applyFont="1" applyFill="1"/>
    <xf numFmtId="0" fontId="0" fillId="33" borderId="0" xfId="0" applyFill="1"/>
    <xf numFmtId="0" fontId="8" fillId="33" borderId="0" xfId="0" applyFont="1" applyFill="1" applyAlignment="1">
      <alignment horizontal="left" wrapText="1"/>
    </xf>
    <xf numFmtId="0" fontId="0" fillId="33" borderId="0" xfId="0" applyFill="1" applyAlignment="1">
      <alignment horizontal="left" wrapText="1"/>
    </xf>
    <xf numFmtId="164" fontId="18" fillId="33" borderId="21" xfId="390" applyNumberFormat="1" applyFont="1" applyFill="1" applyBorder="1" applyAlignment="1">
      <alignment horizontal="right"/>
    </xf>
    <xf numFmtId="164" fontId="18" fillId="33" borderId="31" xfId="390" applyNumberFormat="1" applyFont="1" applyFill="1" applyBorder="1" applyAlignment="1">
      <alignment horizontal="right"/>
    </xf>
    <xf numFmtId="164" fontId="9" fillId="33" borderId="20" xfId="381" applyNumberFormat="1" applyFont="1" applyFill="1" applyBorder="1"/>
    <xf numFmtId="164" fontId="18" fillId="33" borderId="22" xfId="390" applyNumberFormat="1" applyFont="1" applyFill="1" applyBorder="1" applyAlignment="1">
      <alignment horizontal="center"/>
    </xf>
    <xf numFmtId="0" fontId="18" fillId="33" borderId="10" xfId="465" applyFill="1" applyBorder="1" applyAlignment="1">
      <alignment horizontal="center"/>
    </xf>
    <xf numFmtId="164" fontId="9" fillId="0" borderId="10" xfId="465" applyNumberFormat="1" applyFont="1" applyBorder="1" applyAlignment="1">
      <alignment horizontal="center"/>
    </xf>
    <xf numFmtId="164" fontId="8" fillId="34" borderId="0" xfId="381" applyNumberFormat="1" applyFont="1" applyFill="1" applyBorder="1"/>
    <xf numFmtId="0" fontId="8" fillId="0" borderId="21" xfId="0" applyFont="1" applyBorder="1"/>
    <xf numFmtId="167" fontId="0" fillId="33" borderId="0" xfId="0" applyNumberFormat="1" applyFill="1"/>
    <xf numFmtId="164" fontId="0" fillId="33" borderId="0" xfId="0" applyNumberFormat="1" applyFill="1"/>
    <xf numFmtId="37" fontId="0" fillId="33" borderId="0" xfId="0" applyNumberFormat="1" applyFill="1"/>
    <xf numFmtId="164" fontId="0" fillId="33" borderId="14" xfId="0" applyNumberFormat="1" applyFill="1" applyBorder="1"/>
    <xf numFmtId="3" fontId="12" fillId="33" borderId="35" xfId="0" applyNumberFormat="1" applyFont="1" applyFill="1" applyBorder="1"/>
    <xf numFmtId="164" fontId="12" fillId="33" borderId="14" xfId="381" applyNumberFormat="1" applyFont="1" applyFill="1" applyBorder="1"/>
    <xf numFmtId="164" fontId="9" fillId="33" borderId="24" xfId="381" applyNumberFormat="1" applyFont="1" applyFill="1" applyBorder="1" applyAlignment="1"/>
    <xf numFmtId="164" fontId="9" fillId="33" borderId="0" xfId="381" applyNumberFormat="1" applyFont="1" applyFill="1" applyBorder="1" applyAlignment="1"/>
    <xf numFmtId="0" fontId="121" fillId="0" borderId="0" xfId="0" applyFont="1" applyAlignment="1">
      <alignment horizontal="center"/>
    </xf>
    <xf numFmtId="0" fontId="122" fillId="0" borderId="0" xfId="0" applyFont="1"/>
    <xf numFmtId="0" fontId="39" fillId="0" borderId="26" xfId="0" applyFont="1" applyBorder="1"/>
    <xf numFmtId="0" fontId="39" fillId="0" borderId="60" xfId="0" applyFont="1" applyBorder="1"/>
    <xf numFmtId="0" fontId="39" fillId="0" borderId="58" xfId="0" applyFont="1" applyBorder="1"/>
    <xf numFmtId="0" fontId="123" fillId="0" borderId="0" xfId="0" applyFont="1"/>
    <xf numFmtId="0" fontId="124" fillId="0" borderId="0" xfId="0" applyFont="1"/>
    <xf numFmtId="37" fontId="124" fillId="0" borderId="0" xfId="0" applyNumberFormat="1" applyFont="1"/>
    <xf numFmtId="0" fontId="18" fillId="0" borderId="47" xfId="0" applyFont="1" applyBorder="1" applyAlignment="1">
      <alignment horizontal="left"/>
    </xf>
    <xf numFmtId="0" fontId="18" fillId="0" borderId="26" xfId="0" applyFont="1" applyBorder="1" applyAlignment="1">
      <alignment horizontal="left"/>
    </xf>
    <xf numFmtId="0" fontId="9" fillId="0" borderId="19" xfId="0" applyFont="1" applyBorder="1"/>
    <xf numFmtId="0" fontId="9" fillId="0" borderId="18" xfId="0" applyFont="1" applyBorder="1"/>
    <xf numFmtId="0" fontId="39" fillId="0" borderId="0" xfId="0" applyFont="1"/>
    <xf numFmtId="0" fontId="9" fillId="0" borderId="14" xfId="0" applyFont="1" applyBorder="1"/>
    <xf numFmtId="37" fontId="87" fillId="0" borderId="0" xfId="0" applyNumberFormat="1" applyFont="1"/>
    <xf numFmtId="0" fontId="126" fillId="0" borderId="0" xfId="467" applyFont="1" applyAlignment="1">
      <alignment horizontal="center"/>
    </xf>
    <xf numFmtId="164" fontId="125" fillId="0" borderId="0" xfId="467" applyNumberFormat="1" applyFont="1"/>
    <xf numFmtId="0" fontId="125" fillId="0" borderId="0" xfId="467" applyFont="1"/>
    <xf numFmtId="0" fontId="125" fillId="0" borderId="0" xfId="467" applyFont="1" applyAlignment="1">
      <alignment horizontal="center"/>
    </xf>
    <xf numFmtId="0" fontId="127" fillId="0" borderId="0" xfId="467" applyFont="1"/>
    <xf numFmtId="167" fontId="125" fillId="0" borderId="0" xfId="467" applyNumberFormat="1" applyFont="1"/>
    <xf numFmtId="164" fontId="87" fillId="33" borderId="0" xfId="381" applyNumberFormat="1" applyFont="1" applyFill="1"/>
    <xf numFmtId="39" fontId="49" fillId="0" borderId="37" xfId="551" applyFont="1" applyBorder="1" applyAlignment="1">
      <alignment horizontal="left"/>
    </xf>
    <xf numFmtId="39" fontId="49" fillId="0" borderId="68" xfId="549" applyFont="1" applyBorder="1"/>
    <xf numFmtId="39" fontId="49" fillId="0" borderId="68" xfId="549" applyFont="1" applyBorder="1" applyAlignment="1">
      <alignment wrapText="1"/>
    </xf>
    <xf numFmtId="0" fontId="49" fillId="0" borderId="68" xfId="0" applyFont="1" applyBorder="1" applyAlignment="1">
      <alignment wrapText="1"/>
    </xf>
    <xf numFmtId="39" fontId="49" fillId="0" borderId="38" xfId="549" applyFont="1" applyBorder="1" applyAlignment="1">
      <alignment wrapText="1"/>
    </xf>
    <xf numFmtId="39" fontId="49" fillId="0" borderId="20" xfId="551" applyFont="1" applyBorder="1"/>
    <xf numFmtId="39" fontId="49" fillId="0" borderId="0" xfId="551" applyFont="1"/>
    <xf numFmtId="0" fontId="49" fillId="0" borderId="21" xfId="0" applyFont="1" applyBorder="1"/>
    <xf numFmtId="0" fontId="49" fillId="0" borderId="0" xfId="0" applyFont="1"/>
    <xf numFmtId="37" fontId="49" fillId="0" borderId="21" xfId="0" applyNumberFormat="1" applyFont="1" applyBorder="1"/>
    <xf numFmtId="37" fontId="49" fillId="0" borderId="0" xfId="551" applyNumberFormat="1" applyFont="1"/>
    <xf numFmtId="37" fontId="49" fillId="0" borderId="10" xfId="551" applyNumberFormat="1" applyFont="1" applyBorder="1"/>
    <xf numFmtId="39" fontId="49" fillId="0" borderId="10" xfId="551" applyFont="1" applyBorder="1" applyAlignment="1">
      <alignment horizontal="center"/>
    </xf>
    <xf numFmtId="39" fontId="49" fillId="0" borderId="25" xfId="551" applyFont="1" applyBorder="1"/>
    <xf numFmtId="39" fontId="49" fillId="0" borderId="24" xfId="551" applyFont="1" applyBorder="1"/>
    <xf numFmtId="164" fontId="49" fillId="0" borderId="21" xfId="381" applyNumberFormat="1" applyFont="1" applyFill="1" applyBorder="1"/>
    <xf numFmtId="39" fontId="49" fillId="0" borderId="22" xfId="551" applyFont="1" applyBorder="1"/>
    <xf numFmtId="164" fontId="49" fillId="0" borderId="23" xfId="0" applyNumberFormat="1" applyFont="1" applyBorder="1"/>
    <xf numFmtId="0" fontId="128" fillId="0" borderId="0" xfId="467" applyFont="1" applyAlignment="1">
      <alignment horizontal="center"/>
    </xf>
    <xf numFmtId="0" fontId="128" fillId="0" borderId="0" xfId="467" applyFont="1"/>
    <xf numFmtId="44" fontId="0" fillId="0" borderId="0" xfId="420" applyFont="1"/>
    <xf numFmtId="44" fontId="0" fillId="0" borderId="0" xfId="0" applyNumberFormat="1"/>
    <xf numFmtId="164" fontId="103" fillId="0" borderId="0" xfId="0" applyNumberFormat="1" applyFont="1"/>
    <xf numFmtId="164" fontId="50" fillId="0" borderId="0" xfId="381" applyNumberFormat="1" applyFont="1" applyFill="1" applyAlignment="1">
      <alignment horizontal="left"/>
    </xf>
    <xf numFmtId="164" fontId="18" fillId="33" borderId="0" xfId="465" applyNumberFormat="1" applyFill="1" applyAlignment="1">
      <alignment horizontal="center"/>
    </xf>
    <xf numFmtId="37" fontId="49" fillId="0" borderId="24" xfId="551" applyNumberFormat="1" applyFont="1" applyBorder="1" applyAlignment="1">
      <alignment horizontal="right"/>
    </xf>
    <xf numFmtId="37" fontId="49" fillId="0" borderId="29" xfId="551" applyNumberFormat="1" applyFont="1" applyBorder="1" applyAlignment="1">
      <alignment horizontal="right"/>
    </xf>
    <xf numFmtId="164" fontId="50" fillId="33" borderId="0" xfId="467" applyNumberFormat="1" applyFont="1" applyFill="1" applyAlignment="1">
      <alignment horizontal="center"/>
    </xf>
    <xf numFmtId="167" fontId="50" fillId="33" borderId="0" xfId="467" applyNumberFormat="1" applyFont="1" applyFill="1" applyAlignment="1">
      <alignment horizontal="center"/>
    </xf>
    <xf numFmtId="3" fontId="129" fillId="0" borderId="0" xfId="0" applyNumberFormat="1" applyFont="1" applyAlignment="1">
      <alignment horizontal="center"/>
    </xf>
    <xf numFmtId="3" fontId="129" fillId="0" borderId="14" xfId="0" applyNumberFormat="1" applyFont="1" applyBorder="1" applyAlignment="1">
      <alignment horizontal="center"/>
    </xf>
    <xf numFmtId="3" fontId="14" fillId="0" borderId="0" xfId="0" applyNumberFormat="1" applyFont="1" applyAlignment="1">
      <alignment horizontal="center"/>
    </xf>
    <xf numFmtId="3" fontId="59" fillId="0" borderId="0" xfId="0" applyNumberFormat="1" applyFont="1" applyAlignment="1">
      <alignment horizontal="center"/>
    </xf>
    <xf numFmtId="164" fontId="46" fillId="0" borderId="0" xfId="381" applyNumberFormat="1" applyFont="1" applyFill="1" applyAlignment="1"/>
    <xf numFmtId="172" fontId="12" fillId="0" borderId="0" xfId="381" applyNumberFormat="1" applyFont="1" applyFill="1" applyBorder="1"/>
    <xf numFmtId="0" fontId="8" fillId="0" borderId="0" xfId="473" quotePrefix="1"/>
    <xf numFmtId="164" fontId="51" fillId="0" borderId="0" xfId="381" applyNumberFormat="1" applyFont="1" applyFill="1"/>
    <xf numFmtId="0" fontId="49" fillId="0" borderId="10" xfId="0" applyFont="1" applyBorder="1"/>
    <xf numFmtId="164" fontId="10" fillId="0" borderId="0" xfId="381" applyNumberFormat="1" applyFont="1" applyFill="1" applyBorder="1" applyAlignment="1">
      <alignment horizontal="right"/>
    </xf>
    <xf numFmtId="0" fontId="12" fillId="0" borderId="25" xfId="0" applyFont="1" applyBorder="1"/>
    <xf numFmtId="0" fontId="10" fillId="0" borderId="10" xfId="0" applyFont="1" applyBorder="1"/>
    <xf numFmtId="3" fontId="12" fillId="0" borderId="10" xfId="0" applyNumberFormat="1" applyFont="1" applyBorder="1" applyAlignment="1">
      <alignment horizontal="center"/>
    </xf>
    <xf numFmtId="173" fontId="10" fillId="0" borderId="49" xfId="633" applyNumberFormat="1" applyFont="1" applyBorder="1" applyAlignment="1"/>
    <xf numFmtId="164" fontId="12" fillId="0" borderId="49" xfId="381" applyNumberFormat="1" applyFont="1" applyBorder="1"/>
    <xf numFmtId="164" fontId="12" fillId="0" borderId="65" xfId="381" applyNumberFormat="1" applyFont="1" applyBorder="1"/>
    <xf numFmtId="0" fontId="101" fillId="0" borderId="0" xfId="0" applyFont="1" applyAlignment="1">
      <alignment horizontal="left"/>
    </xf>
    <xf numFmtId="0" fontId="0" fillId="34" borderId="26" xfId="0" applyFill="1" applyBorder="1" applyAlignment="1">
      <alignment horizontal="left"/>
    </xf>
    <xf numFmtId="0" fontId="0" fillId="34" borderId="17" xfId="0" applyFill="1" applyBorder="1" applyAlignment="1">
      <alignment wrapText="1"/>
    </xf>
    <xf numFmtId="0" fontId="8" fillId="34" borderId="47" xfId="0" applyFont="1" applyFill="1" applyBorder="1" applyAlignment="1">
      <alignment horizontal="left"/>
    </xf>
    <xf numFmtId="0" fontId="8" fillId="34" borderId="26" xfId="0" applyFont="1" applyFill="1" applyBorder="1" applyAlignment="1">
      <alignment horizontal="left"/>
    </xf>
    <xf numFmtId="0" fontId="0" fillId="34" borderId="69" xfId="0" applyFill="1" applyBorder="1" applyAlignment="1">
      <alignment horizontal="left"/>
    </xf>
    <xf numFmtId="0" fontId="0" fillId="34" borderId="12" xfId="0" applyFill="1" applyBorder="1" applyAlignment="1">
      <alignment horizontal="left"/>
    </xf>
    <xf numFmtId="0" fontId="8" fillId="34" borderId="17" xfId="0" applyFont="1" applyFill="1" applyBorder="1" applyAlignment="1">
      <alignment wrapText="1"/>
    </xf>
    <xf numFmtId="0" fontId="34" fillId="0" borderId="47" xfId="0" applyFont="1" applyBorder="1"/>
    <xf numFmtId="0" fontId="34" fillId="0" borderId="35" xfId="0" applyFont="1" applyBorder="1"/>
    <xf numFmtId="0" fontId="34" fillId="0" borderId="28" xfId="0" applyFont="1" applyBorder="1"/>
    <xf numFmtId="0" fontId="34" fillId="0" borderId="69" xfId="0" applyFont="1" applyBorder="1"/>
    <xf numFmtId="0" fontId="101" fillId="0" borderId="12" xfId="0" applyFont="1" applyBorder="1"/>
    <xf numFmtId="37" fontId="101" fillId="0" borderId="12" xfId="0" applyNumberFormat="1" applyFont="1" applyBorder="1"/>
    <xf numFmtId="37" fontId="101" fillId="0" borderId="12" xfId="0" applyNumberFormat="1" applyFont="1" applyBorder="1" applyAlignment="1">
      <alignment horizontal="center"/>
    </xf>
    <xf numFmtId="0" fontId="101" fillId="0" borderId="18" xfId="0" applyFont="1" applyBorder="1" applyAlignment="1">
      <alignment horizontal="center"/>
    </xf>
    <xf numFmtId="0" fontId="34" fillId="0" borderId="27" xfId="0" applyFont="1" applyBorder="1" applyAlignment="1">
      <alignment horizontal="left"/>
    </xf>
    <xf numFmtId="0" fontId="101" fillId="0" borderId="0" xfId="0" applyFont="1" applyAlignment="1">
      <alignment horizontal="center"/>
    </xf>
    <xf numFmtId="0" fontId="101" fillId="0" borderId="58" xfId="0" applyFont="1" applyBorder="1" applyAlignment="1">
      <alignment horizontal="center"/>
    </xf>
    <xf numFmtId="0" fontId="34" fillId="0" borderId="70" xfId="0" applyFont="1" applyBorder="1" applyAlignment="1">
      <alignment horizontal="left"/>
    </xf>
    <xf numFmtId="0" fontId="101" fillId="0" borderId="14" xfId="0" applyFont="1" applyBorder="1" applyAlignment="1">
      <alignment wrapText="1"/>
    </xf>
    <xf numFmtId="0" fontId="101" fillId="0" borderId="60" xfId="0" applyFont="1" applyBorder="1" applyAlignment="1">
      <alignment wrapText="1"/>
    </xf>
    <xf numFmtId="0" fontId="8" fillId="34" borderId="47" xfId="0" applyFont="1" applyFill="1" applyBorder="1"/>
    <xf numFmtId="0" fontId="8" fillId="34" borderId="26" xfId="0" applyFont="1" applyFill="1" applyBorder="1"/>
    <xf numFmtId="0" fontId="17" fillId="0" borderId="17" xfId="0" applyFont="1" applyBorder="1"/>
    <xf numFmtId="0" fontId="17" fillId="0" borderId="34" xfId="0" applyFont="1" applyBorder="1"/>
    <xf numFmtId="0" fontId="17" fillId="0" borderId="47" xfId="0" applyFont="1" applyBorder="1"/>
    <xf numFmtId="0" fontId="101" fillId="0" borderId="12" xfId="0" applyFont="1" applyBorder="1" applyAlignment="1">
      <alignment horizontal="center"/>
    </xf>
    <xf numFmtId="0" fontId="101" fillId="0" borderId="14" xfId="0" applyFont="1" applyBorder="1"/>
    <xf numFmtId="0" fontId="101" fillId="0" borderId="14" xfId="0" applyFont="1" applyBorder="1" applyAlignment="1">
      <alignment horizontal="center"/>
    </xf>
    <xf numFmtId="0" fontId="101" fillId="0" borderId="60" xfId="0" applyFont="1" applyBorder="1" applyAlignment="1">
      <alignment horizontal="center"/>
    </xf>
    <xf numFmtId="0" fontId="8" fillId="34" borderId="12" xfId="0" applyFont="1" applyFill="1" applyBorder="1"/>
    <xf numFmtId="0" fontId="8" fillId="34" borderId="69" xfId="0" applyFont="1" applyFill="1" applyBorder="1" applyAlignment="1">
      <alignment horizontal="left"/>
    </xf>
    <xf numFmtId="0" fontId="8" fillId="34" borderId="12" xfId="0" applyFont="1" applyFill="1" applyBorder="1" applyAlignment="1">
      <alignment horizontal="left"/>
    </xf>
    <xf numFmtId="0" fontId="8" fillId="34" borderId="70" xfId="0" applyFont="1" applyFill="1" applyBorder="1" applyAlignment="1">
      <alignment horizontal="left"/>
    </xf>
    <xf numFmtId="0" fontId="8" fillId="34" borderId="0" xfId="0" applyFont="1" applyFill="1" applyAlignment="1">
      <alignment horizontal="left"/>
    </xf>
    <xf numFmtId="0" fontId="18" fillId="34" borderId="69" xfId="0" applyFont="1" applyFill="1" applyBorder="1" applyAlignment="1">
      <alignment horizontal="left"/>
    </xf>
    <xf numFmtId="0" fontId="18" fillId="34" borderId="12" xfId="0" applyFont="1" applyFill="1" applyBorder="1" applyAlignment="1">
      <alignment horizontal="left"/>
    </xf>
    <xf numFmtId="0" fontId="17" fillId="0" borderId="70" xfId="0" applyFont="1" applyBorder="1"/>
    <xf numFmtId="0" fontId="101" fillId="0" borderId="58" xfId="0" applyFont="1" applyBorder="1"/>
    <xf numFmtId="0" fontId="101" fillId="0" borderId="60" xfId="0" applyFont="1" applyBorder="1"/>
    <xf numFmtId="164" fontId="8" fillId="34" borderId="17" xfId="381" applyNumberFormat="1" applyFont="1" applyFill="1" applyBorder="1"/>
    <xf numFmtId="164" fontId="8" fillId="34" borderId="17" xfId="381" applyNumberFormat="1" applyFill="1" applyBorder="1"/>
    <xf numFmtId="164" fontId="0" fillId="34" borderId="0" xfId="0" applyNumberFormat="1" applyFill="1"/>
    <xf numFmtId="0" fontId="18" fillId="34" borderId="0" xfId="465" applyFill="1"/>
    <xf numFmtId="49" fontId="0" fillId="34" borderId="0" xfId="0" applyNumberFormat="1" applyFill="1" applyAlignment="1">
      <alignment horizontal="left"/>
    </xf>
    <xf numFmtId="164" fontId="87" fillId="34" borderId="0" xfId="381" applyNumberFormat="1" applyFont="1" applyFill="1"/>
    <xf numFmtId="9" fontId="8" fillId="34" borderId="0" xfId="634" applyFont="1" applyFill="1" applyBorder="1" applyAlignment="1">
      <alignment horizontal="center"/>
    </xf>
    <xf numFmtId="0" fontId="8" fillId="34" borderId="0" xfId="465" applyFont="1" applyFill="1"/>
    <xf numFmtId="0" fontId="18" fillId="34" borderId="14" xfId="465" applyFill="1" applyBorder="1"/>
    <xf numFmtId="164" fontId="18" fillId="34" borderId="0" xfId="465" applyNumberFormat="1" applyFill="1" applyAlignment="1">
      <alignment horizontal="center"/>
    </xf>
    <xf numFmtId="164" fontId="9" fillId="34" borderId="0" xfId="390" applyNumberFormat="1" applyFont="1" applyFill="1" applyBorder="1"/>
    <xf numFmtId="10" fontId="8" fillId="34" borderId="0" xfId="634" applyNumberFormat="1" applyFont="1" applyFill="1" applyBorder="1" applyAlignment="1">
      <alignment horizontal="center"/>
    </xf>
    <xf numFmtId="164" fontId="8" fillId="34" borderId="0" xfId="465" applyNumberFormat="1" applyFont="1" applyFill="1" applyAlignment="1">
      <alignment horizontal="center"/>
    </xf>
    <xf numFmtId="164" fontId="8" fillId="34" borderId="0" xfId="381" applyNumberFormat="1" applyFont="1" applyFill="1" applyBorder="1" applyAlignment="1">
      <alignment horizontal="center"/>
    </xf>
    <xf numFmtId="164" fontId="87" fillId="34" borderId="14" xfId="381" applyNumberFormat="1" applyFont="1" applyFill="1" applyBorder="1"/>
    <xf numFmtId="164" fontId="8" fillId="34" borderId="0" xfId="465" applyNumberFormat="1" applyFont="1" applyFill="1"/>
    <xf numFmtId="0" fontId="9" fillId="34" borderId="0" xfId="465" applyFont="1" applyFill="1"/>
    <xf numFmtId="164" fontId="18" fillId="34" borderId="26" xfId="465" applyNumberFormat="1" applyFill="1" applyBorder="1" applyAlignment="1">
      <alignment horizontal="center"/>
    </xf>
    <xf numFmtId="10" fontId="8" fillId="34" borderId="26" xfId="634" applyNumberFormat="1" applyFont="1" applyFill="1" applyBorder="1" applyAlignment="1">
      <alignment horizontal="center"/>
    </xf>
    <xf numFmtId="164" fontId="8" fillId="34" borderId="14" xfId="465" applyNumberFormat="1" applyFont="1" applyFill="1" applyBorder="1" applyAlignment="1">
      <alignment horizontal="center"/>
    </xf>
    <xf numFmtId="0" fontId="8" fillId="34" borderId="0" xfId="0" applyFont="1" applyFill="1"/>
    <xf numFmtId="173" fontId="49" fillId="0" borderId="41" xfId="633" applyNumberFormat="1" applyFont="1" applyFill="1" applyBorder="1"/>
    <xf numFmtId="173" fontId="49" fillId="0" borderId="10" xfId="633" applyNumberFormat="1" applyFont="1" applyFill="1" applyBorder="1"/>
    <xf numFmtId="0" fontId="51" fillId="0" borderId="16" xfId="0" applyFont="1" applyBorder="1"/>
    <xf numFmtId="164" fontId="51" fillId="0" borderId="71" xfId="381" applyNumberFormat="1" applyFont="1" applyFill="1" applyBorder="1"/>
    <xf numFmtId="0" fontId="51" fillId="0" borderId="15" xfId="0" applyFont="1" applyBorder="1"/>
    <xf numFmtId="43" fontId="49" fillId="0" borderId="15" xfId="381" applyFont="1" applyFill="1" applyBorder="1"/>
    <xf numFmtId="43" fontId="49" fillId="0" borderId="3" xfId="381" applyFont="1" applyFill="1" applyBorder="1"/>
    <xf numFmtId="164" fontId="49" fillId="0" borderId="3" xfId="0" applyNumberFormat="1" applyFont="1" applyBorder="1"/>
    <xf numFmtId="164" fontId="49" fillId="0" borderId="15" xfId="0" applyNumberFormat="1" applyFont="1" applyBorder="1"/>
    <xf numFmtId="164" fontId="51" fillId="0" borderId="0" xfId="0" applyNumberFormat="1" applyFont="1"/>
    <xf numFmtId="37" fontId="49" fillId="0" borderId="23" xfId="0" applyNumberFormat="1" applyFont="1" applyBorder="1"/>
    <xf numFmtId="164" fontId="8" fillId="0" borderId="0" xfId="381" applyNumberFormat="1"/>
    <xf numFmtId="164" fontId="84" fillId="0" borderId="0" xfId="381" applyNumberFormat="1" applyFont="1" applyFill="1"/>
    <xf numFmtId="41" fontId="8" fillId="0" borderId="0" xfId="0" applyNumberFormat="1" applyFont="1" applyAlignment="1">
      <alignment horizontal="left"/>
    </xf>
    <xf numFmtId="3" fontId="0" fillId="0" borderId="0" xfId="0" applyNumberFormat="1"/>
    <xf numFmtId="164" fontId="0" fillId="0" borderId="22" xfId="0" applyNumberFormat="1" applyBorder="1"/>
    <xf numFmtId="164" fontId="18" fillId="0" borderId="0" xfId="381" applyNumberFormat="1" applyFont="1"/>
    <xf numFmtId="164" fontId="8" fillId="0" borderId="17" xfId="381" applyNumberFormat="1" applyFont="1" applyBorder="1"/>
    <xf numFmtId="0" fontId="8" fillId="0" borderId="17" xfId="381" applyNumberFormat="1" applyFont="1" applyBorder="1"/>
    <xf numFmtId="0" fontId="8" fillId="0" borderId="17" xfId="381" applyNumberFormat="1" applyBorder="1"/>
    <xf numFmtId="0" fontId="8" fillId="0" borderId="17" xfId="381" applyNumberFormat="1" applyFill="1" applyBorder="1"/>
    <xf numFmtId="1" fontId="8" fillId="0" borderId="0" xfId="465" applyNumberFormat="1" applyFont="1" applyAlignment="1">
      <alignment horizontal="center"/>
    </xf>
    <xf numFmtId="1" fontId="8" fillId="0" borderId="14" xfId="465" applyNumberFormat="1" applyFont="1" applyBorder="1" applyAlignment="1">
      <alignment horizontal="center"/>
    </xf>
    <xf numFmtId="0" fontId="149" fillId="0" borderId="0" xfId="465" applyFont="1"/>
    <xf numFmtId="43" fontId="150" fillId="0" borderId="0" xfId="381" applyFont="1" applyFill="1" applyBorder="1" applyAlignment="1">
      <alignment horizontal="right" vertical="center" wrapText="1"/>
    </xf>
    <xf numFmtId="0" fontId="151" fillId="0" borderId="0" xfId="0" applyFont="1"/>
    <xf numFmtId="39" fontId="49" fillId="0" borderId="68" xfId="551" applyFont="1" applyBorder="1" applyAlignment="1">
      <alignment horizontal="left"/>
    </xf>
    <xf numFmtId="0" fontId="148" fillId="0" borderId="0" xfId="0" applyFont="1"/>
    <xf numFmtId="0" fontId="49" fillId="0" borderId="21" xfId="898" applyFont="1" applyBorder="1"/>
    <xf numFmtId="0" fontId="49" fillId="0" borderId="0" xfId="898" applyFont="1"/>
    <xf numFmtId="164" fontId="49" fillId="0" borderId="21" xfId="382" applyNumberFormat="1" applyFont="1" applyFill="1" applyBorder="1"/>
    <xf numFmtId="37" fontId="49" fillId="0" borderId="0" xfId="551" applyNumberFormat="1" applyFont="1" applyAlignment="1">
      <alignment horizontal="center"/>
    </xf>
    <xf numFmtId="37" fontId="49" fillId="0" borderId="21" xfId="898" applyNumberFormat="1" applyFont="1" applyBorder="1"/>
    <xf numFmtId="0" fontId="49" fillId="0" borderId="0" xfId="898" applyFont="1" applyAlignment="1">
      <alignment horizontal="center"/>
    </xf>
    <xf numFmtId="168" fontId="12" fillId="33" borderId="35" xfId="633" applyNumberFormat="1" applyFont="1" applyFill="1" applyBorder="1" applyAlignment="1"/>
    <xf numFmtId="0" fontId="149" fillId="0" borderId="0" xfId="0" applyFont="1"/>
    <xf numFmtId="0" fontId="152" fillId="0" borderId="0" xfId="0" applyFont="1"/>
    <xf numFmtId="43" fontId="52" fillId="0" borderId="0" xfId="381" applyFont="1" applyFill="1" applyBorder="1"/>
    <xf numFmtId="0" fontId="153" fillId="0" borderId="0" xfId="467" applyFont="1" applyAlignment="1">
      <alignment horizontal="left"/>
    </xf>
    <xf numFmtId="0" fontId="8" fillId="69" borderId="0" xfId="0" applyFont="1" applyFill="1"/>
    <xf numFmtId="173" fontId="50" fillId="0" borderId="0" xfId="635" applyNumberFormat="1" applyFont="1" applyFill="1"/>
    <xf numFmtId="0" fontId="50" fillId="0" borderId="0" xfId="467" applyFont="1" applyAlignment="1">
      <alignment horizontal="center" wrapText="1"/>
    </xf>
    <xf numFmtId="0" fontId="153" fillId="0" borderId="0" xfId="467" applyFont="1"/>
    <xf numFmtId="43" fontId="50" fillId="0" borderId="0" xfId="391" applyFont="1" applyFill="1"/>
    <xf numFmtId="164" fontId="50" fillId="0" borderId="0" xfId="467" applyNumberFormat="1" applyFont="1" applyAlignment="1">
      <alignment horizontal="center" wrapText="1"/>
    </xf>
    <xf numFmtId="0" fontId="153" fillId="0" borderId="0" xfId="467" applyFont="1" applyAlignment="1">
      <alignment horizontal="center"/>
    </xf>
    <xf numFmtId="0" fontId="154" fillId="0" borderId="0" xfId="467" applyFont="1"/>
    <xf numFmtId="164" fontId="18" fillId="0" borderId="10" xfId="381" applyNumberFormat="1" applyFont="1" applyFill="1" applyBorder="1" applyAlignment="1">
      <alignment horizontal="center"/>
    </xf>
    <xf numFmtId="185" fontId="0" fillId="0" borderId="0" xfId="0" applyNumberFormat="1"/>
    <xf numFmtId="164" fontId="155" fillId="0" borderId="0" xfId="381" applyNumberFormat="1" applyFont="1"/>
    <xf numFmtId="9" fontId="8" fillId="0" borderId="0" xfId="633" applyFont="1" applyFill="1" applyBorder="1" applyAlignment="1">
      <alignment horizontal="center" wrapText="1"/>
    </xf>
    <xf numFmtId="0" fontId="156" fillId="0" borderId="0" xfId="0" applyFont="1"/>
    <xf numFmtId="164" fontId="156" fillId="0" borderId="0" xfId="381" applyNumberFormat="1" applyFont="1" applyFill="1"/>
    <xf numFmtId="164" fontId="150" fillId="0" borderId="0" xfId="381" applyNumberFormat="1" applyFont="1" applyFill="1" applyBorder="1" applyAlignment="1">
      <alignment horizontal="right" vertical="center" wrapText="1"/>
    </xf>
    <xf numFmtId="0" fontId="157" fillId="0" borderId="0" xfId="467" applyFont="1"/>
    <xf numFmtId="164" fontId="158" fillId="0" borderId="12" xfId="467" applyNumberFormat="1" applyFont="1" applyBorder="1"/>
    <xf numFmtId="0" fontId="158" fillId="0" borderId="0" xfId="467" applyFont="1" applyAlignment="1">
      <alignment horizontal="left"/>
    </xf>
    <xf numFmtId="0" fontId="83" fillId="0" borderId="0" xfId="467" applyFont="1"/>
    <xf numFmtId="0" fontId="158" fillId="0" borderId="0" xfId="467" applyFont="1" applyAlignment="1">
      <alignment horizontal="center"/>
    </xf>
    <xf numFmtId="0" fontId="158" fillId="0" borderId="0" xfId="467" applyFont="1" applyAlignment="1">
      <alignment wrapText="1"/>
    </xf>
    <xf numFmtId="0" fontId="158" fillId="0" borderId="0" xfId="467" applyFont="1"/>
    <xf numFmtId="0" fontId="50" fillId="0" borderId="0" xfId="467" quotePrefix="1" applyFont="1"/>
    <xf numFmtId="0" fontId="8" fillId="0" borderId="0" xfId="467" applyAlignment="1">
      <alignment horizontal="right"/>
    </xf>
    <xf numFmtId="0" fontId="8" fillId="69" borderId="0" xfId="467" applyFill="1" applyAlignment="1">
      <alignment horizontal="center"/>
    </xf>
    <xf numFmtId="0" fontId="8" fillId="69" borderId="0" xfId="467" applyFill="1" applyAlignment="1">
      <alignment horizontal="centerContinuous"/>
    </xf>
    <xf numFmtId="164" fontId="158" fillId="0" borderId="0" xfId="467" applyNumberFormat="1" applyFont="1"/>
    <xf numFmtId="0" fontId="159" fillId="0" borderId="0" xfId="467" applyFont="1" applyAlignment="1">
      <alignment horizontal="left"/>
    </xf>
    <xf numFmtId="0" fontId="159" fillId="0" borderId="0" xfId="467" applyFont="1" applyAlignment="1">
      <alignment horizontal="center"/>
    </xf>
    <xf numFmtId="0" fontId="159" fillId="0" borderId="0" xfId="467" applyFont="1"/>
    <xf numFmtId="167" fontId="160" fillId="0" borderId="0" xfId="422" applyNumberFormat="1" applyFont="1" applyFill="1" applyAlignment="1">
      <alignment horizontal="left"/>
    </xf>
    <xf numFmtId="0" fontId="148" fillId="0" borderId="0" xfId="467" applyFont="1"/>
    <xf numFmtId="0" fontId="161" fillId="0" borderId="0" xfId="467" applyFont="1" applyAlignment="1">
      <alignment horizontal="left"/>
    </xf>
    <xf numFmtId="43" fontId="50" fillId="70" borderId="0" xfId="381" applyFont="1" applyFill="1"/>
    <xf numFmtId="0" fontId="8" fillId="0" borderId="17" xfId="381" applyNumberFormat="1" applyFont="1" applyFill="1" applyBorder="1"/>
    <xf numFmtId="49" fontId="8" fillId="34" borderId="0" xfId="0" applyNumberFormat="1" applyFont="1" applyFill="1" applyAlignment="1">
      <alignment horizontal="left"/>
    </xf>
    <xf numFmtId="37" fontId="49" fillId="0" borderId="0" xfId="898" applyNumberFormat="1" applyFont="1" applyAlignment="1">
      <alignment horizontal="right"/>
    </xf>
    <xf numFmtId="10" fontId="50" fillId="0" borderId="0" xfId="633" applyNumberFormat="1" applyFont="1"/>
    <xf numFmtId="164" fontId="12" fillId="0" borderId="0" xfId="0" applyNumberFormat="1" applyFont="1"/>
    <xf numFmtId="43" fontId="12" fillId="0" borderId="0" xfId="381" applyFont="1"/>
    <xf numFmtId="43" fontId="12" fillId="0" borderId="0" xfId="381" applyFont="1" applyFill="1"/>
    <xf numFmtId="164" fontId="10" fillId="0" borderId="0" xfId="0" applyNumberFormat="1" applyFont="1"/>
    <xf numFmtId="164" fontId="9" fillId="0" borderId="0" xfId="0" applyNumberFormat="1" applyFont="1" applyAlignment="1">
      <alignment horizontal="center"/>
    </xf>
    <xf numFmtId="164" fontId="9" fillId="0" borderId="0" xfId="381" applyNumberFormat="1" applyFont="1" applyFill="1" applyBorder="1" applyAlignment="1">
      <alignment horizontal="center"/>
    </xf>
    <xf numFmtId="0" fontId="49" fillId="0" borderId="0" xfId="477" applyFont="1"/>
    <xf numFmtId="164" fontId="29" fillId="0" borderId="28" xfId="381" applyNumberFormat="1" applyFont="1" applyBorder="1"/>
    <xf numFmtId="167" fontId="29" fillId="0" borderId="28" xfId="420" applyNumberFormat="1" applyFont="1" applyFill="1" applyBorder="1"/>
    <xf numFmtId="164" fontId="29" fillId="0" borderId="49" xfId="381" applyNumberFormat="1" applyFont="1" applyFill="1" applyBorder="1"/>
    <xf numFmtId="164" fontId="0" fillId="0" borderId="0" xfId="381" applyNumberFormat="1" applyFont="1" applyBorder="1"/>
    <xf numFmtId="164" fontId="9" fillId="0" borderId="26" xfId="0" applyNumberFormat="1" applyFont="1" applyBorder="1"/>
    <xf numFmtId="164" fontId="0" fillId="0" borderId="0" xfId="381" applyNumberFormat="1" applyFont="1" applyFill="1" applyBorder="1"/>
    <xf numFmtId="164" fontId="9" fillId="0" borderId="26" xfId="381" applyNumberFormat="1" applyFont="1" applyFill="1" applyBorder="1"/>
    <xf numFmtId="186" fontId="9" fillId="0" borderId="0" xfId="0" applyNumberFormat="1" applyFont="1"/>
    <xf numFmtId="186" fontId="0" fillId="0" borderId="0" xfId="0" applyNumberFormat="1"/>
    <xf numFmtId="3" fontId="0" fillId="0" borderId="0" xfId="381" applyNumberFormat="1" applyFont="1" applyBorder="1"/>
    <xf numFmtId="3" fontId="9" fillId="0" borderId="0" xfId="0" applyNumberFormat="1" applyFont="1"/>
    <xf numFmtId="164" fontId="0" fillId="0" borderId="0" xfId="0" applyNumberFormat="1" applyAlignment="1">
      <alignment horizontal="centerContinuous"/>
    </xf>
    <xf numFmtId="164" fontId="9" fillId="0" borderId="0" xfId="381" applyNumberFormat="1" applyFont="1" applyBorder="1" applyAlignment="1">
      <alignment horizontal="center"/>
    </xf>
    <xf numFmtId="43" fontId="9" fillId="0" borderId="26" xfId="381" applyFont="1" applyBorder="1" applyAlignment="1">
      <alignment horizontal="left"/>
    </xf>
    <xf numFmtId="1" fontId="51" fillId="0" borderId="21" xfId="381" applyNumberFormat="1" applyFont="1" applyFill="1" applyBorder="1"/>
    <xf numFmtId="37" fontId="39" fillId="0" borderId="0" xfId="0" applyNumberFormat="1" applyFont="1"/>
    <xf numFmtId="164" fontId="148" fillId="0" borderId="0" xfId="381" applyNumberFormat="1" applyFont="1" applyBorder="1"/>
    <xf numFmtId="164" fontId="52" fillId="0" borderId="0" xfId="381" applyNumberFormat="1" applyFont="1"/>
    <xf numFmtId="164" fontId="35" fillId="0" borderId="0" xfId="381" applyNumberFormat="1" applyFont="1" applyFill="1" applyBorder="1" applyAlignment="1">
      <alignment horizontal="left" wrapText="1"/>
    </xf>
    <xf numFmtId="41" fontId="0" fillId="0" borderId="0" xfId="0" applyNumberFormat="1" applyAlignment="1">
      <alignment horizontal="left"/>
    </xf>
    <xf numFmtId="3" fontId="50" fillId="34" borderId="0" xfId="474" applyNumberFormat="1" applyFont="1" applyFill="1"/>
    <xf numFmtId="164" fontId="10" fillId="0" borderId="0" xfId="381" applyNumberFormat="1" applyFont="1"/>
    <xf numFmtId="164" fontId="18" fillId="34" borderId="0" xfId="381" applyNumberFormat="1" applyFont="1" applyFill="1" applyBorder="1"/>
    <xf numFmtId="164" fontId="9" fillId="34" borderId="26" xfId="465" applyNumberFormat="1" applyFont="1" applyFill="1" applyBorder="1" applyAlignment="1">
      <alignment horizontal="center"/>
    </xf>
    <xf numFmtId="43" fontId="10" fillId="0" borderId="81" xfId="381" applyFont="1" applyBorder="1"/>
    <xf numFmtId="10" fontId="12" fillId="0" borderId="0" xfId="633" applyNumberFormat="1" applyFont="1"/>
    <xf numFmtId="10" fontId="12" fillId="0" borderId="0" xfId="0" applyNumberFormat="1" applyFont="1"/>
    <xf numFmtId="3" fontId="10" fillId="0" borderId="58" xfId="0" applyNumberFormat="1" applyFont="1" applyBorder="1" applyAlignment="1">
      <alignment horizontal="right"/>
    </xf>
    <xf numFmtId="3" fontId="10" fillId="0" borderId="0" xfId="0" applyNumberFormat="1" applyFont="1" applyAlignment="1">
      <alignment horizontal="right"/>
    </xf>
    <xf numFmtId="39" fontId="10" fillId="0" borderId="0" xfId="0" applyNumberFormat="1" applyFont="1" applyAlignment="1">
      <alignment horizontal="right"/>
    </xf>
    <xf numFmtId="39" fontId="10" fillId="0" borderId="27" xfId="0" applyNumberFormat="1" applyFont="1" applyBorder="1" applyAlignment="1">
      <alignment horizontal="right"/>
    </xf>
    <xf numFmtId="43" fontId="10" fillId="0" borderId="52" xfId="381" applyFont="1" applyBorder="1" applyAlignment="1"/>
    <xf numFmtId="43" fontId="10" fillId="0" borderId="65" xfId="381" applyFont="1" applyBorder="1" applyAlignment="1"/>
    <xf numFmtId="164" fontId="52" fillId="0" borderId="0" xfId="381" applyNumberFormat="1" applyFont="1" applyFill="1" applyBorder="1" applyAlignment="1">
      <alignment horizontal="center"/>
    </xf>
    <xf numFmtId="164" fontId="52" fillId="0" borderId="0" xfId="381" applyNumberFormat="1" applyFont="1" applyFill="1" applyBorder="1" applyAlignment="1"/>
    <xf numFmtId="0" fontId="162" fillId="0" borderId="0" xfId="0" applyFont="1"/>
    <xf numFmtId="0" fontId="44" fillId="0" borderId="10" xfId="467" applyFont="1" applyBorder="1" applyAlignment="1">
      <alignment horizontal="left"/>
    </xf>
    <xf numFmtId="0" fontId="44" fillId="0" borderId="0" xfId="467" applyFont="1"/>
    <xf numFmtId="0" fontId="18" fillId="0" borderId="39" xfId="465" applyBorder="1" applyAlignment="1">
      <alignment horizontal="left" wrapText="1"/>
    </xf>
    <xf numFmtId="0" fontId="18" fillId="0" borderId="40" xfId="465" applyBorder="1" applyAlignment="1">
      <alignment horizontal="left" wrapText="1"/>
    </xf>
    <xf numFmtId="0" fontId="18" fillId="0" borderId="41" xfId="465" applyBorder="1" applyAlignment="1">
      <alignment horizontal="left" wrapText="1"/>
    </xf>
    <xf numFmtId="14" fontId="8" fillId="0" borderId="14" xfId="0" applyNumberFormat="1" applyFont="1" applyBorder="1" applyAlignment="1">
      <alignment horizontal="center" wrapText="1"/>
    </xf>
    <xf numFmtId="43" fontId="8" fillId="0" borderId="20" xfId="381" applyFont="1" applyFill="1" applyBorder="1"/>
    <xf numFmtId="164" fontId="8" fillId="33" borderId="20" xfId="381" applyNumberFormat="1" applyFont="1" applyFill="1" applyBorder="1"/>
    <xf numFmtId="0" fontId="38" fillId="0" borderId="0" xfId="465" applyFont="1" applyAlignment="1">
      <alignment horizontal="left"/>
    </xf>
    <xf numFmtId="3" fontId="24" fillId="0" borderId="0" xfId="465" applyNumberFormat="1" applyFont="1" applyAlignment="1">
      <alignment horizontal="right"/>
    </xf>
    <xf numFmtId="0" fontId="119" fillId="0" borderId="20" xfId="0" applyFont="1" applyBorder="1" applyAlignment="1">
      <alignment horizontal="center"/>
    </xf>
    <xf numFmtId="3" fontId="24" fillId="0" borderId="0" xfId="467" applyNumberFormat="1" applyFont="1" applyAlignment="1">
      <alignment horizontal="right"/>
    </xf>
    <xf numFmtId="0" fontId="12" fillId="0" borderId="0" xfId="467" applyFont="1" applyAlignment="1">
      <alignment horizontal="center"/>
    </xf>
    <xf numFmtId="0" fontId="12" fillId="0" borderId="0" xfId="467" applyFont="1"/>
    <xf numFmtId="0" fontId="10" fillId="0" borderId="0" xfId="467" applyFont="1" applyAlignment="1">
      <alignment horizontal="left"/>
    </xf>
    <xf numFmtId="0" fontId="38" fillId="0" borderId="0" xfId="467" applyFont="1" applyAlignment="1">
      <alignment horizontal="left"/>
    </xf>
    <xf numFmtId="3" fontId="22" fillId="0" borderId="0" xfId="467" applyNumberFormat="1" applyFont="1" applyAlignment="1">
      <alignment horizontal="right"/>
    </xf>
    <xf numFmtId="164" fontId="12" fillId="0" borderId="0" xfId="467" applyNumberFormat="1" applyFont="1"/>
    <xf numFmtId="164" fontId="10" fillId="0" borderId="0" xfId="381" applyNumberFormat="1" applyFont="1" applyBorder="1" applyAlignment="1">
      <alignment horizontal="right"/>
    </xf>
    <xf numFmtId="3" fontId="10" fillId="0" borderId="13" xfId="467" applyNumberFormat="1" applyFont="1" applyBorder="1"/>
    <xf numFmtId="10" fontId="0" fillId="0" borderId="0" xfId="0" applyNumberFormat="1"/>
    <xf numFmtId="8" fontId="0" fillId="0" borderId="0" xfId="0" applyNumberFormat="1"/>
    <xf numFmtId="187" fontId="0" fillId="0" borderId="0" xfId="0" applyNumberFormat="1"/>
    <xf numFmtId="164" fontId="50" fillId="0" borderId="0" xfId="381" applyNumberFormat="1" applyFont="1" applyAlignment="1">
      <alignment horizontal="center"/>
    </xf>
    <xf numFmtId="43" fontId="51" fillId="0" borderId="0" xfId="0" applyNumberFormat="1" applyFont="1"/>
    <xf numFmtId="9" fontId="51" fillId="0" borderId="0" xfId="633" applyFont="1" applyFill="1" applyBorder="1"/>
    <xf numFmtId="0" fontId="166" fillId="0" borderId="0" xfId="0" applyFont="1" applyAlignment="1">
      <alignment wrapText="1"/>
    </xf>
    <xf numFmtId="164" fontId="156" fillId="0" borderId="0" xfId="381" applyNumberFormat="1" applyFont="1" applyFill="1" applyBorder="1"/>
    <xf numFmtId="189" fontId="166" fillId="0" borderId="0" xfId="0" applyNumberFormat="1" applyFont="1" applyAlignment="1">
      <alignment wrapText="1"/>
    </xf>
    <xf numFmtId="0" fontId="167" fillId="0" borderId="0" xfId="0" applyFont="1"/>
    <xf numFmtId="0" fontId="165" fillId="0" borderId="0" xfId="0" applyFont="1"/>
    <xf numFmtId="0" fontId="168" fillId="0" borderId="0" xfId="0" applyFont="1"/>
    <xf numFmtId="0" fontId="165" fillId="0" borderId="0" xfId="0" applyFont="1" applyAlignment="1">
      <alignment horizontal="left" vertical="top" wrapText="1"/>
    </xf>
    <xf numFmtId="0" fontId="169" fillId="0" borderId="0" xfId="0" applyFont="1" applyAlignment="1">
      <alignment horizontal="left" vertical="top"/>
    </xf>
    <xf numFmtId="0" fontId="165" fillId="0" borderId="0" xfId="0" applyFont="1" applyAlignment="1">
      <alignment horizontal="center" vertical="top" wrapText="1"/>
    </xf>
    <xf numFmtId="14" fontId="170" fillId="0" borderId="0" xfId="0" applyNumberFormat="1" applyFont="1" applyAlignment="1">
      <alignment horizontal="center" wrapText="1"/>
    </xf>
    <xf numFmtId="0" fontId="165" fillId="0" borderId="0" xfId="0" applyFont="1" applyAlignment="1">
      <alignment horizontal="center" wrapText="1"/>
    </xf>
    <xf numFmtId="0" fontId="165" fillId="0" borderId="14" xfId="0" applyFont="1" applyBorder="1" applyAlignment="1">
      <alignment wrapText="1"/>
    </xf>
    <xf numFmtId="0" fontId="165" fillId="0" borderId="14" xfId="0" applyFont="1" applyBorder="1" applyAlignment="1">
      <alignment horizontal="center" wrapText="1"/>
    </xf>
    <xf numFmtId="14" fontId="165" fillId="0" borderId="14" xfId="0" applyNumberFormat="1" applyFont="1" applyBorder="1" applyAlignment="1">
      <alignment horizontal="center" wrapText="1"/>
    </xf>
    <xf numFmtId="0" fontId="165" fillId="0" borderId="0" xfId="0" applyFont="1" applyAlignment="1">
      <alignment horizontal="center"/>
    </xf>
    <xf numFmtId="164" fontId="165" fillId="0" borderId="0" xfId="381" applyNumberFormat="1" applyFont="1" applyFill="1"/>
    <xf numFmtId="43" fontId="165" fillId="0" borderId="0" xfId="381" applyFont="1" applyFill="1" applyAlignment="1">
      <alignment horizontal="center"/>
    </xf>
    <xf numFmtId="164" fontId="165" fillId="0" borderId="0" xfId="381" applyNumberFormat="1" applyFont="1" applyFill="1" applyAlignment="1">
      <alignment horizontal="center"/>
    </xf>
    <xf numFmtId="41" fontId="165" fillId="0" borderId="0" xfId="1158" applyFont="1" applyFill="1" applyBorder="1"/>
    <xf numFmtId="164" fontId="0" fillId="0" borderId="0" xfId="1157" applyNumberFormat="1" applyFont="1" applyFill="1"/>
    <xf numFmtId="43" fontId="165" fillId="0" borderId="0" xfId="381" applyFont="1" applyFill="1" applyBorder="1" applyAlignment="1">
      <alignment horizontal="center"/>
    </xf>
    <xf numFmtId="164" fontId="165" fillId="0" borderId="0" xfId="381" applyNumberFormat="1" applyFont="1" applyFill="1" applyBorder="1" applyAlignment="1">
      <alignment horizontal="center"/>
    </xf>
    <xf numFmtId="0" fontId="165" fillId="0" borderId="12" xfId="0" applyFont="1" applyBorder="1"/>
    <xf numFmtId="41" fontId="165" fillId="0" borderId="13" xfId="1158" applyFont="1" applyFill="1" applyBorder="1"/>
    <xf numFmtId="43" fontId="165" fillId="0" borderId="0" xfId="0" applyNumberFormat="1" applyFont="1"/>
    <xf numFmtId="41" fontId="165" fillId="0" borderId="0" xfId="0" applyNumberFormat="1" applyFont="1"/>
    <xf numFmtId="0" fontId="165" fillId="0" borderId="0" xfId="0" applyFont="1" applyAlignment="1">
      <alignment horizontal="left" wrapText="1"/>
    </xf>
    <xf numFmtId="0" fontId="165" fillId="0" borderId="0" xfId="0" applyFont="1" applyAlignment="1">
      <alignment horizontal="center" vertical="top"/>
    </xf>
    <xf numFmtId="0" fontId="165" fillId="0" borderId="0" xfId="0" applyFont="1" applyAlignment="1">
      <alignment vertical="top"/>
    </xf>
    <xf numFmtId="0" fontId="170" fillId="0" borderId="0" xfId="0" applyFont="1" applyAlignment="1">
      <alignment vertical="top"/>
    </xf>
    <xf numFmtId="0" fontId="170" fillId="0" borderId="0" xfId="0" applyFont="1" applyAlignment="1">
      <alignment horizontal="center" vertical="top"/>
    </xf>
    <xf numFmtId="0" fontId="170" fillId="0" borderId="0" xfId="0" applyFont="1" applyAlignment="1">
      <alignment horizontal="left" vertical="top"/>
    </xf>
    <xf numFmtId="164" fontId="49" fillId="0" borderId="0" xfId="381" applyNumberFormat="1" applyFont="1" applyFill="1" applyBorder="1" applyAlignment="1"/>
    <xf numFmtId="167" fontId="29" fillId="33" borderId="0" xfId="422" applyNumberFormat="1" applyFont="1" applyFill="1" applyAlignment="1">
      <alignment horizontal="left"/>
    </xf>
    <xf numFmtId="167" fontId="29" fillId="0" borderId="0" xfId="422" applyNumberFormat="1" applyFont="1" applyFill="1" applyAlignment="1">
      <alignment horizontal="left"/>
    </xf>
    <xf numFmtId="43" fontId="18" fillId="0" borderId="0" xfId="381" applyFont="1" applyFill="1" applyBorder="1" applyAlignment="1"/>
    <xf numFmtId="43" fontId="18" fillId="0" borderId="0" xfId="381" applyFont="1" applyFill="1" applyBorder="1" applyAlignment="1">
      <alignment horizontal="right"/>
    </xf>
    <xf numFmtId="43" fontId="18" fillId="0" borderId="0" xfId="381" applyFont="1" applyFill="1" applyBorder="1" applyAlignment="1">
      <alignment horizontal="left"/>
    </xf>
    <xf numFmtId="3" fontId="35" fillId="33" borderId="20" xfId="465" applyNumberFormat="1" applyFont="1" applyFill="1" applyBorder="1" applyAlignment="1">
      <alignment horizontal="right"/>
    </xf>
    <xf numFmtId="3" fontId="35" fillId="33" borderId="0" xfId="465" applyNumberFormat="1" applyFont="1" applyFill="1" applyAlignment="1">
      <alignment horizontal="right"/>
    </xf>
    <xf numFmtId="10" fontId="12" fillId="33" borderId="35" xfId="633" applyNumberFormat="1" applyFont="1" applyFill="1" applyBorder="1" applyAlignment="1">
      <alignment horizontal="right"/>
    </xf>
    <xf numFmtId="168" fontId="12" fillId="33" borderId="35" xfId="633" applyNumberFormat="1" applyFont="1" applyFill="1" applyBorder="1"/>
    <xf numFmtId="164" fontId="56" fillId="0" borderId="0" xfId="381" applyNumberFormat="1" applyFont="1" applyFill="1" applyBorder="1" applyAlignment="1"/>
    <xf numFmtId="3" fontId="35" fillId="33" borderId="22" xfId="465" applyNumberFormat="1" applyFont="1" applyFill="1" applyBorder="1" applyAlignment="1">
      <alignment horizontal="right"/>
    </xf>
    <xf numFmtId="3" fontId="35" fillId="33" borderId="10" xfId="465" applyNumberFormat="1" applyFont="1" applyFill="1" applyBorder="1" applyAlignment="1">
      <alignment horizontal="right"/>
    </xf>
    <xf numFmtId="173" fontId="12" fillId="0" borderId="0" xfId="0" applyNumberFormat="1" applyFont="1"/>
    <xf numFmtId="10" fontId="29" fillId="0" borderId="0" xfId="633" applyNumberFormat="1" applyFont="1"/>
    <xf numFmtId="164" fontId="12" fillId="69" borderId="52" xfId="381" applyNumberFormat="1" applyFont="1" applyFill="1" applyBorder="1"/>
    <xf numFmtId="164" fontId="8" fillId="0" borderId="12" xfId="467" applyNumberFormat="1" applyBorder="1"/>
    <xf numFmtId="164" fontId="12" fillId="72" borderId="52" xfId="381" applyNumberFormat="1" applyFont="1" applyFill="1" applyBorder="1"/>
    <xf numFmtId="41" fontId="49" fillId="0" borderId="12" xfId="381" applyNumberFormat="1" applyFont="1" applyFill="1" applyBorder="1"/>
    <xf numFmtId="190" fontId="166" fillId="0" borderId="0" xfId="0" applyNumberFormat="1" applyFont="1" applyAlignment="1">
      <alignment wrapText="1"/>
    </xf>
    <xf numFmtId="190" fontId="166" fillId="73" borderId="0" xfId="0" applyNumberFormat="1" applyFont="1" applyFill="1" applyAlignment="1">
      <alignment wrapText="1"/>
    </xf>
    <xf numFmtId="0" fontId="171" fillId="0" borderId="0" xfId="0" applyFont="1"/>
    <xf numFmtId="175" fontId="172" fillId="34" borderId="0" xfId="381" applyNumberFormat="1" applyFont="1" applyFill="1"/>
    <xf numFmtId="164" fontId="172" fillId="34" borderId="0" xfId="381" applyNumberFormat="1" applyFont="1" applyFill="1"/>
    <xf numFmtId="164" fontId="172" fillId="0" borderId="0" xfId="381" applyNumberFormat="1" applyFont="1"/>
    <xf numFmtId="43" fontId="172" fillId="0" borderId="0" xfId="381" applyFont="1"/>
    <xf numFmtId="0" fontId="172" fillId="0" borderId="0" xfId="467" applyFont="1"/>
    <xf numFmtId="164" fontId="172" fillId="0" borderId="0" xfId="467" applyNumberFormat="1" applyFont="1"/>
    <xf numFmtId="0" fontId="172" fillId="0" borderId="0" xfId="467" applyFont="1" applyAlignment="1">
      <alignment horizontal="center"/>
    </xf>
    <xf numFmtId="164" fontId="173" fillId="0" borderId="0" xfId="467" quotePrefix="1" applyNumberFormat="1" applyFont="1" applyAlignment="1">
      <alignment horizontal="center"/>
    </xf>
    <xf numFmtId="164" fontId="172" fillId="0" borderId="0" xfId="467" applyNumberFormat="1" applyFont="1" applyAlignment="1">
      <alignment horizontal="left"/>
    </xf>
    <xf numFmtId="164" fontId="172" fillId="33" borderId="0" xfId="391" applyNumberFormat="1" applyFont="1" applyFill="1"/>
    <xf numFmtId="43" fontId="172" fillId="34" borderId="0" xfId="381" applyFont="1" applyFill="1"/>
    <xf numFmtId="164" fontId="172" fillId="0" borderId="0" xfId="381" applyNumberFormat="1" applyFont="1" applyBorder="1"/>
    <xf numFmtId="0" fontId="38" fillId="0" borderId="0" xfId="467" applyFont="1"/>
    <xf numFmtId="164" fontId="38" fillId="0" borderId="0" xfId="467" applyNumberFormat="1" applyFont="1"/>
    <xf numFmtId="0" fontId="38" fillId="0" borderId="0" xfId="0" applyFont="1" applyAlignment="1">
      <alignment horizontal="center"/>
    </xf>
    <xf numFmtId="164" fontId="12" fillId="33" borderId="35" xfId="390" applyNumberFormat="1" applyFont="1" applyFill="1" applyBorder="1" applyAlignment="1">
      <alignment horizontal="right"/>
    </xf>
    <xf numFmtId="0" fontId="12" fillId="0" borderId="28" xfId="465" applyFont="1" applyBorder="1" applyAlignment="1">
      <alignment horizontal="left"/>
    </xf>
    <xf numFmtId="0" fontId="10" fillId="0" borderId="28" xfId="465" applyFont="1" applyBorder="1" applyAlignment="1">
      <alignment horizontal="center"/>
    </xf>
    <xf numFmtId="164" fontId="12" fillId="0" borderId="28" xfId="390" applyNumberFormat="1" applyFont="1" applyFill="1" applyBorder="1" applyAlignment="1">
      <alignment horizontal="right"/>
    </xf>
    <xf numFmtId="0" fontId="12" fillId="0" borderId="28" xfId="465" applyFont="1" applyBorder="1"/>
    <xf numFmtId="3" fontId="12" fillId="0" borderId="28" xfId="465" applyNumberFormat="1" applyFont="1" applyBorder="1" applyAlignment="1">
      <alignment horizontal="left"/>
    </xf>
    <xf numFmtId="164" fontId="12" fillId="33" borderId="35" xfId="390" applyNumberFormat="1" applyFont="1" applyFill="1" applyBorder="1" applyAlignment="1"/>
    <xf numFmtId="164" fontId="12" fillId="33" borderId="28" xfId="390" applyNumberFormat="1" applyFont="1" applyFill="1" applyBorder="1" applyAlignment="1"/>
    <xf numFmtId="164" fontId="12" fillId="0" borderId="34" xfId="390" applyNumberFormat="1" applyFont="1" applyFill="1" applyBorder="1" applyAlignment="1">
      <alignment horizontal="right"/>
    </xf>
    <xf numFmtId="0" fontId="63" fillId="0" borderId="28" xfId="465" applyFont="1" applyBorder="1"/>
    <xf numFmtId="164" fontId="10" fillId="0" borderId="33" xfId="390" applyNumberFormat="1" applyFont="1" applyFill="1" applyBorder="1" applyAlignment="1">
      <alignment horizontal="right"/>
    </xf>
    <xf numFmtId="164" fontId="10" fillId="0" borderId="0" xfId="467" applyNumberFormat="1" applyFont="1" applyAlignment="1">
      <alignment horizontal="center" wrapText="1"/>
    </xf>
    <xf numFmtId="164" fontId="12" fillId="34" borderId="0" xfId="381" applyNumberFormat="1" applyFont="1" applyFill="1" applyBorder="1"/>
    <xf numFmtId="43" fontId="12" fillId="34" borderId="0" xfId="467" applyNumberFormat="1" applyFont="1" applyFill="1"/>
    <xf numFmtId="0" fontId="12" fillId="34" borderId="0" xfId="467" applyFont="1" applyFill="1"/>
    <xf numFmtId="164" fontId="12" fillId="33" borderId="20" xfId="381" applyNumberFormat="1" applyFont="1" applyFill="1" applyBorder="1" applyAlignment="1">
      <alignment horizontal="center"/>
    </xf>
    <xf numFmtId="164" fontId="29" fillId="33" borderId="20" xfId="381" applyNumberFormat="1" applyFont="1" applyFill="1" applyBorder="1" applyAlignment="1">
      <alignment vertical="center"/>
    </xf>
    <xf numFmtId="164" fontId="12" fillId="33" borderId="30" xfId="381" applyNumberFormat="1" applyFont="1" applyFill="1" applyBorder="1" applyAlignment="1">
      <alignment horizontal="center"/>
    </xf>
    <xf numFmtId="164" fontId="12" fillId="33" borderId="0" xfId="381" applyNumberFormat="1" applyFont="1" applyFill="1" applyBorder="1" applyAlignment="1">
      <alignment horizontal="center"/>
    </xf>
    <xf numFmtId="164" fontId="12" fillId="33" borderId="0" xfId="381" applyNumberFormat="1" applyFont="1" applyFill="1" applyBorder="1"/>
    <xf numFmtId="0" fontId="12" fillId="33" borderId="0" xfId="467" applyFont="1" applyFill="1"/>
    <xf numFmtId="0" fontId="12" fillId="33" borderId="0" xfId="473" applyFont="1" applyFill="1"/>
    <xf numFmtId="164" fontId="12" fillId="33" borderId="14" xfId="381" applyNumberFormat="1" applyFont="1" applyFill="1" applyBorder="1" applyAlignment="1">
      <alignment horizontal="center"/>
    </xf>
    <xf numFmtId="0" fontId="12" fillId="33" borderId="14" xfId="467" applyFont="1" applyFill="1" applyBorder="1"/>
    <xf numFmtId="0" fontId="12" fillId="33" borderId="14" xfId="473" applyFont="1" applyFill="1" applyBorder="1"/>
    <xf numFmtId="164" fontId="12" fillId="34" borderId="0" xfId="381" applyNumberFormat="1" applyFont="1" applyFill="1"/>
    <xf numFmtId="164" fontId="12" fillId="33" borderId="21" xfId="0" applyNumberFormat="1" applyFont="1" applyFill="1" applyBorder="1"/>
    <xf numFmtId="164" fontId="12" fillId="0" borderId="48" xfId="465" applyNumberFormat="1" applyFont="1" applyBorder="1"/>
    <xf numFmtId="164" fontId="10" fillId="0" borderId="67" xfId="465" applyNumberFormat="1" applyFont="1" applyBorder="1"/>
    <xf numFmtId="164" fontId="12" fillId="33" borderId="0" xfId="390" applyNumberFormat="1" applyFont="1" applyFill="1" applyBorder="1" applyAlignment="1">
      <alignment horizontal="right"/>
    </xf>
    <xf numFmtId="164" fontId="12" fillId="33" borderId="34" xfId="390" applyNumberFormat="1" applyFont="1" applyFill="1" applyBorder="1" applyAlignment="1">
      <alignment horizontal="right"/>
    </xf>
    <xf numFmtId="164" fontId="29" fillId="0" borderId="0" xfId="0" applyNumberFormat="1" applyFont="1"/>
    <xf numFmtId="164" fontId="12" fillId="33" borderId="28" xfId="390" applyNumberFormat="1" applyFont="1" applyFill="1" applyBorder="1" applyAlignment="1">
      <alignment horizontal="right"/>
    </xf>
    <xf numFmtId="164" fontId="29" fillId="0" borderId="10" xfId="0" applyNumberFormat="1" applyFont="1" applyBorder="1"/>
    <xf numFmtId="168" fontId="12" fillId="0" borderId="0" xfId="633" applyNumberFormat="1" applyFont="1"/>
    <xf numFmtId="168" fontId="12" fillId="0" borderId="0" xfId="467" applyNumberFormat="1" applyFont="1"/>
    <xf numFmtId="10" fontId="12" fillId="0" borderId="0" xfId="467" applyNumberFormat="1" applyFont="1"/>
    <xf numFmtId="37" fontId="12" fillId="0" borderId="0" xfId="445" applyNumberFormat="1" applyFont="1"/>
    <xf numFmtId="37" fontId="12" fillId="0" borderId="12" xfId="0" applyNumberFormat="1" applyFont="1" applyBorder="1"/>
    <xf numFmtId="184" fontId="58" fillId="0" borderId="0" xfId="0" applyNumberFormat="1" applyFont="1"/>
    <xf numFmtId="0" fontId="58" fillId="0" borderId="0" xfId="0" applyFont="1" applyAlignment="1">
      <alignment horizontal="center"/>
    </xf>
    <xf numFmtId="37" fontId="12" fillId="34" borderId="17" xfId="0" applyNumberFormat="1" applyFont="1" applyFill="1" applyBorder="1"/>
    <xf numFmtId="0" fontId="12" fillId="34" borderId="17" xfId="0" applyFont="1" applyFill="1" applyBorder="1"/>
    <xf numFmtId="0" fontId="29" fillId="34" borderId="19" xfId="0" applyFont="1" applyFill="1" applyBorder="1"/>
    <xf numFmtId="0" fontId="29" fillId="34" borderId="18" xfId="0" applyFont="1" applyFill="1" applyBorder="1"/>
    <xf numFmtId="0" fontId="158" fillId="0" borderId="26" xfId="0" applyFont="1" applyBorder="1"/>
    <xf numFmtId="0" fontId="12" fillId="0" borderId="19" xfId="0" applyFont="1" applyBorder="1"/>
    <xf numFmtId="37" fontId="12" fillId="0" borderId="17" xfId="0" applyNumberFormat="1" applyFont="1" applyBorder="1"/>
    <xf numFmtId="0" fontId="158" fillId="0" borderId="60" xfId="0" applyFont="1" applyBorder="1"/>
    <xf numFmtId="37" fontId="12" fillId="0" borderId="17" xfId="0" applyNumberFormat="1" applyFont="1" applyBorder="1" applyAlignment="1">
      <alignment horizontal="right"/>
    </xf>
    <xf numFmtId="0" fontId="158" fillId="0" borderId="58" xfId="0" applyFont="1" applyBorder="1"/>
    <xf numFmtId="37" fontId="12" fillId="0" borderId="19" xfId="0" applyNumberFormat="1" applyFont="1" applyBorder="1"/>
    <xf numFmtId="37" fontId="12" fillId="34" borderId="19" xfId="0" applyNumberFormat="1" applyFont="1" applyFill="1" applyBorder="1"/>
    <xf numFmtId="0" fontId="12" fillId="0" borderId="26" xfId="0" applyFont="1" applyBorder="1" applyAlignment="1">
      <alignment horizontal="left"/>
    </xf>
    <xf numFmtId="0" fontId="10" fillId="0" borderId="19" xfId="0" applyFont="1" applyBorder="1"/>
    <xf numFmtId="164" fontId="12" fillId="0" borderId="19" xfId="381" applyNumberFormat="1" applyFont="1" applyFill="1" applyBorder="1"/>
    <xf numFmtId="0" fontId="12" fillId="0" borderId="18" xfId="0" applyFont="1" applyBorder="1"/>
    <xf numFmtId="37" fontId="12" fillId="0" borderId="26" xfId="0" applyNumberFormat="1" applyFont="1" applyBorder="1"/>
    <xf numFmtId="0" fontId="12" fillId="34" borderId="12" xfId="0" applyFont="1" applyFill="1" applyBorder="1"/>
    <xf numFmtId="0" fontId="12" fillId="34" borderId="18" xfId="0" applyFont="1" applyFill="1" applyBorder="1"/>
    <xf numFmtId="0" fontId="12" fillId="34" borderId="26" xfId="0" applyFont="1" applyFill="1" applyBorder="1"/>
    <xf numFmtId="0" fontId="12" fillId="34" borderId="19" xfId="0" applyFont="1" applyFill="1" applyBorder="1"/>
    <xf numFmtId="0" fontId="12" fillId="34" borderId="12" xfId="0" applyFont="1" applyFill="1" applyBorder="1" applyAlignment="1">
      <alignment horizontal="left"/>
    </xf>
    <xf numFmtId="0" fontId="12" fillId="34" borderId="26" xfId="0" applyFont="1" applyFill="1" applyBorder="1" applyAlignment="1">
      <alignment horizontal="left"/>
    </xf>
    <xf numFmtId="0" fontId="12" fillId="34" borderId="0" xfId="0" applyFont="1" applyFill="1" applyAlignment="1">
      <alignment horizontal="left"/>
    </xf>
    <xf numFmtId="0" fontId="10" fillId="0" borderId="26" xfId="0" applyFont="1" applyBorder="1"/>
    <xf numFmtId="164" fontId="12" fillId="0" borderId="17" xfId="381" applyNumberFormat="1" applyFont="1" applyFill="1" applyBorder="1" applyAlignment="1">
      <alignment horizontal="right"/>
    </xf>
    <xf numFmtId="42" fontId="12" fillId="0" borderId="0" xfId="0" applyNumberFormat="1" applyFont="1"/>
    <xf numFmtId="37" fontId="12" fillId="0" borderId="0" xfId="0" applyNumberFormat="1" applyFont="1" applyAlignment="1">
      <alignment horizontal="right" wrapText="1"/>
    </xf>
    <xf numFmtId="0" fontId="32" fillId="0" borderId="0" xfId="0" applyFont="1" applyAlignment="1">
      <alignment horizontal="right"/>
    </xf>
    <xf numFmtId="37" fontId="12" fillId="33" borderId="0" xfId="0" applyNumberFormat="1" applyFont="1" applyFill="1" applyAlignment="1">
      <alignment horizontal="right" wrapText="1"/>
    </xf>
    <xf numFmtId="0" fontId="12" fillId="33" borderId="0" xfId="0" applyFont="1" applyFill="1" applyAlignment="1">
      <alignment horizontal="right" wrapText="1"/>
    </xf>
    <xf numFmtId="0" fontId="12" fillId="0" borderId="0" xfId="0" applyFont="1" applyAlignment="1">
      <alignment horizontal="right" wrapText="1"/>
    </xf>
    <xf numFmtId="0" fontId="12" fillId="33" borderId="0" xfId="0" applyFont="1" applyFill="1" applyAlignment="1">
      <alignment horizontal="right"/>
    </xf>
    <xf numFmtId="37" fontId="12" fillId="0" borderId="0" xfId="0" applyNumberFormat="1" applyFont="1" applyAlignment="1">
      <alignment horizontal="right"/>
    </xf>
    <xf numFmtId="164" fontId="12" fillId="0" borderId="0" xfId="0" applyNumberFormat="1" applyFont="1" applyAlignment="1">
      <alignment horizontal="right"/>
    </xf>
    <xf numFmtId="41" fontId="12" fillId="0" borderId="14" xfId="0" applyNumberFormat="1" applyFont="1" applyBorder="1" applyAlignment="1">
      <alignment horizontal="right"/>
    </xf>
    <xf numFmtId="41" fontId="12" fillId="0" borderId="0" xfId="0" applyNumberFormat="1" applyFont="1" applyAlignment="1">
      <alignment horizontal="right"/>
    </xf>
    <xf numFmtId="164" fontId="12" fillId="0" borderId="0" xfId="381" applyNumberFormat="1" applyFont="1" applyFill="1" applyAlignment="1">
      <alignment horizontal="right"/>
    </xf>
    <xf numFmtId="37" fontId="10" fillId="0" borderId="0" xfId="0" applyNumberFormat="1" applyFont="1" applyAlignment="1">
      <alignment horizontal="right" wrapText="1"/>
    </xf>
    <xf numFmtId="164" fontId="10" fillId="33" borderId="0" xfId="381" applyNumberFormat="1" applyFont="1" applyFill="1" applyBorder="1"/>
    <xf numFmtId="164" fontId="10" fillId="33" borderId="14" xfId="381" applyNumberFormat="1" applyFont="1" applyFill="1" applyBorder="1"/>
    <xf numFmtId="164" fontId="10" fillId="0" borderId="0" xfId="381" applyNumberFormat="1" applyFont="1" applyFill="1"/>
    <xf numFmtId="175" fontId="50" fillId="0" borderId="0" xfId="381" applyNumberFormat="1" applyFont="1"/>
    <xf numFmtId="190" fontId="0" fillId="0" borderId="21" xfId="0" applyNumberFormat="1" applyBorder="1"/>
    <xf numFmtId="164" fontId="49" fillId="0" borderId="3" xfId="381" applyNumberFormat="1" applyFont="1" applyFill="1" applyBorder="1"/>
    <xf numFmtId="167" fontId="29" fillId="32" borderId="0" xfId="422" applyNumberFormat="1" applyFont="1" applyFill="1" applyAlignment="1">
      <alignment horizontal="left"/>
    </xf>
    <xf numFmtId="170" fontId="90" fillId="0" borderId="0" xfId="550" applyFont="1" applyAlignment="1" applyProtection="1">
      <alignment horizontal="left" wrapText="1"/>
      <protection locked="0"/>
    </xf>
    <xf numFmtId="0" fontId="90" fillId="0" borderId="0" xfId="0" applyFont="1" applyAlignment="1">
      <alignment horizontal="left" wrapText="1"/>
    </xf>
    <xf numFmtId="0" fontId="90" fillId="0" borderId="0" xfId="0" applyFont="1" applyAlignment="1">
      <alignment horizontal="left"/>
    </xf>
    <xf numFmtId="0" fontId="79" fillId="0" borderId="0" xfId="0" applyFont="1"/>
    <xf numFmtId="0" fontId="8" fillId="0" borderId="0" xfId="0" applyFont="1" applyAlignment="1">
      <alignment horizontal="center"/>
    </xf>
    <xf numFmtId="0" fontId="0" fillId="0" borderId="0" xfId="0" applyAlignment="1">
      <alignment horizontal="center"/>
    </xf>
    <xf numFmtId="165" fontId="8" fillId="31" borderId="0" xfId="498" applyNumberFormat="1" applyFont="1" applyFill="1" applyAlignment="1">
      <alignment horizontal="center"/>
    </xf>
    <xf numFmtId="0" fontId="78" fillId="0" borderId="0" xfId="0" applyFont="1"/>
    <xf numFmtId="0" fontId="34" fillId="0" borderId="27" xfId="0" applyFont="1" applyBorder="1" applyAlignment="1">
      <alignment horizontal="left" wrapText="1"/>
    </xf>
    <xf numFmtId="0" fontId="34" fillId="0" borderId="0" xfId="0" applyFont="1" applyAlignment="1">
      <alignment horizontal="left" wrapText="1"/>
    </xf>
    <xf numFmtId="0" fontId="34" fillId="0" borderId="58" xfId="0" applyFont="1" applyBorder="1" applyAlignment="1">
      <alignment horizontal="left" wrapText="1"/>
    </xf>
    <xf numFmtId="0" fontId="21" fillId="0" borderId="0" xfId="0" applyFont="1" applyAlignment="1">
      <alignment horizontal="center"/>
    </xf>
    <xf numFmtId="0" fontId="41" fillId="0" borderId="0" xfId="0" applyFont="1"/>
    <xf numFmtId="0" fontId="0" fillId="0" borderId="0" xfId="0"/>
    <xf numFmtId="164" fontId="0" fillId="0" borderId="0" xfId="381" applyNumberFormat="1" applyFont="1" applyBorder="1" applyAlignment="1">
      <alignment horizontal="center"/>
    </xf>
    <xf numFmtId="0" fontId="10" fillId="0" borderId="0" xfId="0" applyFont="1" applyAlignment="1">
      <alignment horizontal="center"/>
    </xf>
    <xf numFmtId="0" fontId="12" fillId="0" borderId="0" xfId="0" applyFont="1" applyAlignment="1">
      <alignment horizontal="center"/>
    </xf>
    <xf numFmtId="0" fontId="18" fillId="0" borderId="0" xfId="0" applyFont="1"/>
    <xf numFmtId="0" fontId="55" fillId="0" borderId="0" xfId="0" applyFont="1" applyAlignment="1">
      <alignment horizontal="center" wrapText="1"/>
    </xf>
    <xf numFmtId="0" fontId="0" fillId="0" borderId="0" xfId="0" applyAlignment="1">
      <alignment horizontal="left" wrapText="1"/>
    </xf>
    <xf numFmtId="0" fontId="8" fillId="0" borderId="0" xfId="465" applyFont="1" applyAlignment="1">
      <alignment horizontal="center" wrapText="1"/>
    </xf>
    <xf numFmtId="0" fontId="9" fillId="0" borderId="25" xfId="465" applyFont="1" applyBorder="1" applyAlignment="1">
      <alignment horizontal="center"/>
    </xf>
    <xf numFmtId="0" fontId="9" fillId="0" borderId="24" xfId="465" applyFont="1" applyBorder="1" applyAlignment="1">
      <alignment horizontal="center"/>
    </xf>
    <xf numFmtId="0" fontId="9" fillId="0" borderId="29" xfId="465" applyFont="1" applyBorder="1" applyAlignment="1">
      <alignment horizontal="center"/>
    </xf>
    <xf numFmtId="0" fontId="8" fillId="0" borderId="24" xfId="465" applyFont="1" applyBorder="1" applyAlignment="1">
      <alignment horizontal="center" wrapText="1"/>
    </xf>
    <xf numFmtId="0" fontId="8" fillId="0" borderId="29" xfId="465" applyFont="1" applyBorder="1" applyAlignment="1">
      <alignment horizontal="center" wrapText="1"/>
    </xf>
    <xf numFmtId="0" fontId="104" fillId="0" borderId="0" xfId="465" applyFont="1" applyAlignment="1">
      <alignment horizontal="center"/>
    </xf>
    <xf numFmtId="0" fontId="88" fillId="0" borderId="25" xfId="465" applyFont="1" applyBorder="1" applyAlignment="1">
      <alignment horizontal="center"/>
    </xf>
    <xf numFmtId="0" fontId="88" fillId="0" borderId="24" xfId="465" applyFont="1" applyBorder="1" applyAlignment="1">
      <alignment horizontal="center"/>
    </xf>
    <xf numFmtId="0" fontId="88" fillId="0" borderId="29" xfId="465" applyFont="1" applyBorder="1" applyAlignment="1">
      <alignment horizontal="center"/>
    </xf>
    <xf numFmtId="0" fontId="9" fillId="0" borderId="24" xfId="465" applyFont="1" applyBorder="1" applyAlignment="1">
      <alignment horizontal="center" wrapText="1"/>
    </xf>
    <xf numFmtId="0" fontId="18" fillId="0" borderId="24" xfId="465" applyBorder="1" applyAlignment="1">
      <alignment horizontal="center" wrapText="1"/>
    </xf>
    <xf numFmtId="0" fontId="18" fillId="0" borderId="29" xfId="465" applyBorder="1" applyAlignment="1">
      <alignment horizontal="center" wrapText="1"/>
    </xf>
    <xf numFmtId="0" fontId="9" fillId="0" borderId="0" xfId="465" applyFont="1" applyAlignment="1">
      <alignment horizontal="center" wrapText="1"/>
    </xf>
    <xf numFmtId="0" fontId="9" fillId="0" borderId="16" xfId="465" applyFont="1" applyBorder="1" applyAlignment="1">
      <alignment horizontal="center"/>
    </xf>
    <xf numFmtId="0" fontId="9" fillId="0" borderId="15" xfId="465" applyFont="1" applyBorder="1" applyAlignment="1">
      <alignment horizontal="center"/>
    </xf>
    <xf numFmtId="0" fontId="9" fillId="0" borderId="71" xfId="465" applyFont="1" applyBorder="1" applyAlignment="1">
      <alignment horizontal="center"/>
    </xf>
    <xf numFmtId="0" fontId="9" fillId="0" borderId="15" xfId="465" applyFont="1" applyBorder="1" applyAlignment="1">
      <alignment horizontal="center" wrapText="1"/>
    </xf>
    <xf numFmtId="0" fontId="8" fillId="0" borderId="15" xfId="465" applyFont="1" applyBorder="1" applyAlignment="1">
      <alignment horizontal="center" wrapText="1"/>
    </xf>
    <xf numFmtId="0" fontId="8" fillId="0" borderId="71" xfId="465" applyFont="1" applyBorder="1" applyAlignment="1">
      <alignment horizontal="center" wrapText="1"/>
    </xf>
    <xf numFmtId="0" fontId="9" fillId="0" borderId="29" xfId="465" applyFont="1" applyBorder="1" applyAlignment="1">
      <alignment horizontal="center" wrapText="1"/>
    </xf>
    <xf numFmtId="0" fontId="8" fillId="0" borderId="10" xfId="465" applyFont="1" applyBorder="1" applyAlignment="1">
      <alignment horizontal="center" wrapText="1"/>
    </xf>
    <xf numFmtId="0" fontId="8" fillId="0" borderId="23" xfId="465" applyFont="1" applyBorder="1" applyAlignment="1">
      <alignment horizontal="center" wrapText="1"/>
    </xf>
    <xf numFmtId="0" fontId="8" fillId="0" borderId="21" xfId="465" applyFont="1" applyBorder="1" applyAlignment="1">
      <alignment horizontal="center" wrapText="1"/>
    </xf>
    <xf numFmtId="0" fontId="18" fillId="0" borderId="0" xfId="465" applyAlignment="1">
      <alignment horizontal="center" wrapText="1"/>
    </xf>
    <xf numFmtId="0" fontId="18" fillId="0" borderId="21" xfId="465" applyBorder="1" applyAlignment="1">
      <alignment horizontal="center" wrapText="1"/>
    </xf>
    <xf numFmtId="0" fontId="78" fillId="0" borderId="0" xfId="0" applyFont="1" applyAlignment="1">
      <alignment horizontal="left" wrapText="1"/>
    </xf>
    <xf numFmtId="0" fontId="50" fillId="0" borderId="0" xfId="467" applyFont="1" applyAlignment="1">
      <alignment horizontal="left"/>
    </xf>
    <xf numFmtId="0" fontId="153" fillId="0" borderId="0" xfId="467" applyFont="1" applyAlignment="1">
      <alignment horizontal="center" wrapText="1"/>
    </xf>
    <xf numFmtId="43" fontId="50" fillId="34" borderId="0" xfId="381" applyFont="1" applyFill="1" applyAlignment="1">
      <alignment horizontal="left" wrapText="1"/>
    </xf>
    <xf numFmtId="0" fontId="21" fillId="0" borderId="0" xfId="467" applyFont="1" applyAlignment="1">
      <alignment horizontal="center"/>
    </xf>
    <xf numFmtId="0" fontId="0" fillId="0" borderId="0" xfId="0" applyAlignment="1">
      <alignment horizontal="left"/>
    </xf>
    <xf numFmtId="0" fontId="10" fillId="0" borderId="0" xfId="467" applyFont="1" applyAlignment="1">
      <alignment horizontal="center"/>
    </xf>
    <xf numFmtId="0" fontId="120" fillId="0" borderId="0" xfId="0" applyFont="1" applyAlignment="1">
      <alignment horizontal="left" wrapText="1"/>
    </xf>
    <xf numFmtId="0" fontId="39" fillId="0" borderId="20" xfId="467" applyFont="1" applyBorder="1" applyAlignment="1">
      <alignment horizontal="center"/>
    </xf>
    <xf numFmtId="0" fontId="8" fillId="0" borderId="0" xfId="467" applyAlignment="1">
      <alignment horizontal="center"/>
    </xf>
    <xf numFmtId="0" fontId="8" fillId="0" borderId="21" xfId="467" applyBorder="1" applyAlignment="1">
      <alignment horizontal="center"/>
    </xf>
    <xf numFmtId="0" fontId="39" fillId="0" borderId="25" xfId="467" applyFont="1" applyBorder="1" applyAlignment="1">
      <alignment horizontal="center"/>
    </xf>
    <xf numFmtId="0" fontId="8" fillId="0" borderId="24" xfId="467" applyBorder="1" applyAlignment="1">
      <alignment horizontal="center"/>
    </xf>
    <xf numFmtId="0" fontId="8" fillId="0" borderId="29" xfId="467" applyBorder="1" applyAlignment="1">
      <alignment horizontal="center"/>
    </xf>
    <xf numFmtId="0" fontId="165" fillId="0" borderId="0" xfId="0" applyFont="1" applyAlignment="1">
      <alignment horizontal="left" vertical="top" wrapText="1"/>
    </xf>
  </cellXfs>
  <cellStyles count="1159">
    <cellStyle name=" 1" xfId="1" xr:uid="{00000000-0005-0000-0000-000000000000}"/>
    <cellStyle name=" 1 2" xfId="2" xr:uid="{00000000-0005-0000-0000-000001000000}"/>
    <cellStyle name=" 1 2 2" xfId="3" xr:uid="{00000000-0005-0000-0000-000002000000}"/>
    <cellStyle name=" 1 3" xfId="4" xr:uid="{00000000-0005-0000-0000-000003000000}"/>
    <cellStyle name="20% - Accent1" xfId="722" builtinId="30" customBuiltin="1"/>
    <cellStyle name="20% - Accent1 10" xfId="5" xr:uid="{00000000-0005-0000-0000-000005000000}"/>
    <cellStyle name="20% - Accent1 11" xfId="6" xr:uid="{00000000-0005-0000-0000-000006000000}"/>
    <cellStyle name="20% - Accent1 12" xfId="7" xr:uid="{00000000-0005-0000-0000-000007000000}"/>
    <cellStyle name="20% - Accent1 13" xfId="8" xr:uid="{00000000-0005-0000-0000-000008000000}"/>
    <cellStyle name="20% - Accent1 14" xfId="788" xr:uid="{00000000-0005-0000-0000-000009000000}"/>
    <cellStyle name="20% - Accent1 14 2" xfId="940" xr:uid="{00000000-0005-0000-0000-00000A000000}"/>
    <cellStyle name="20% - Accent1 14 3" xfId="1068" xr:uid="{00000000-0005-0000-0000-00000B000000}"/>
    <cellStyle name="20% - Accent1 15" xfId="901" xr:uid="{00000000-0005-0000-0000-00000C000000}"/>
    <cellStyle name="20% - Accent1 16" xfId="1029" xr:uid="{00000000-0005-0000-0000-00000D000000}"/>
    <cellStyle name="20% - Accent1 2" xfId="9" xr:uid="{00000000-0005-0000-0000-00000E000000}"/>
    <cellStyle name="20% - Accent1 2 2" xfId="10" xr:uid="{00000000-0005-0000-0000-00000F000000}"/>
    <cellStyle name="20% - Accent1 2 3" xfId="11" xr:uid="{00000000-0005-0000-0000-000010000000}"/>
    <cellStyle name="20% - Accent1 2_10-15-10-Stmt AU - Period I - Working 1 0" xfId="12" xr:uid="{00000000-0005-0000-0000-000011000000}"/>
    <cellStyle name="20% - Accent1 3" xfId="13" xr:uid="{00000000-0005-0000-0000-000012000000}"/>
    <cellStyle name="20% - Accent1 3 2" xfId="14" xr:uid="{00000000-0005-0000-0000-000013000000}"/>
    <cellStyle name="20% - Accent1 3 3" xfId="15" xr:uid="{00000000-0005-0000-0000-000014000000}"/>
    <cellStyle name="20% - Accent1 3_10-15-10-Stmt AU - Period I - Working 1 0" xfId="16" xr:uid="{00000000-0005-0000-0000-000015000000}"/>
    <cellStyle name="20% - Accent1 4" xfId="17" xr:uid="{00000000-0005-0000-0000-000016000000}"/>
    <cellStyle name="20% - Accent1 4 2" xfId="18" xr:uid="{00000000-0005-0000-0000-000017000000}"/>
    <cellStyle name="20% - Accent1 4 3" xfId="19" xr:uid="{00000000-0005-0000-0000-000018000000}"/>
    <cellStyle name="20% - Accent1 4_10-15-10-Stmt AU - Period I - Working 1 0" xfId="20" xr:uid="{00000000-0005-0000-0000-000019000000}"/>
    <cellStyle name="20% - Accent1 5" xfId="21" xr:uid="{00000000-0005-0000-0000-00001A000000}"/>
    <cellStyle name="20% - Accent1 5 2" xfId="22" xr:uid="{00000000-0005-0000-0000-00001B000000}"/>
    <cellStyle name="20% - Accent1 5 3" xfId="23" xr:uid="{00000000-0005-0000-0000-00001C000000}"/>
    <cellStyle name="20% - Accent1 5_10-15-10-Stmt AU - Period I - Working 1 0" xfId="24" xr:uid="{00000000-0005-0000-0000-00001D000000}"/>
    <cellStyle name="20% - Accent1 6" xfId="25" xr:uid="{00000000-0005-0000-0000-00001E000000}"/>
    <cellStyle name="20% - Accent1 6 2" xfId="26" xr:uid="{00000000-0005-0000-0000-00001F000000}"/>
    <cellStyle name="20% - Accent1 6 3" xfId="27" xr:uid="{00000000-0005-0000-0000-000020000000}"/>
    <cellStyle name="20% - Accent1 6_10-15-10-Stmt AU - Period I - Working 1 0" xfId="28" xr:uid="{00000000-0005-0000-0000-000021000000}"/>
    <cellStyle name="20% - Accent1 7" xfId="29" xr:uid="{00000000-0005-0000-0000-000022000000}"/>
    <cellStyle name="20% - Accent1 7 2" xfId="30" xr:uid="{00000000-0005-0000-0000-000023000000}"/>
    <cellStyle name="20% - Accent1 7 3" xfId="31" xr:uid="{00000000-0005-0000-0000-000024000000}"/>
    <cellStyle name="20% - Accent1 7_10-15-10-Stmt AU - Period I - Working 1 0" xfId="32" xr:uid="{00000000-0005-0000-0000-000025000000}"/>
    <cellStyle name="20% - Accent1 8" xfId="33" xr:uid="{00000000-0005-0000-0000-000026000000}"/>
    <cellStyle name="20% - Accent1 9" xfId="34" xr:uid="{00000000-0005-0000-0000-000027000000}"/>
    <cellStyle name="20% - Accent2" xfId="726" builtinId="34" customBuiltin="1"/>
    <cellStyle name="20% - Accent2 10" xfId="35" xr:uid="{00000000-0005-0000-0000-000029000000}"/>
    <cellStyle name="20% - Accent2 11" xfId="36" xr:uid="{00000000-0005-0000-0000-00002A000000}"/>
    <cellStyle name="20% - Accent2 12" xfId="37" xr:uid="{00000000-0005-0000-0000-00002B000000}"/>
    <cellStyle name="20% - Accent2 13" xfId="38" xr:uid="{00000000-0005-0000-0000-00002C000000}"/>
    <cellStyle name="20% - Accent2 14" xfId="789" xr:uid="{00000000-0005-0000-0000-00002D000000}"/>
    <cellStyle name="20% - Accent2 14 2" xfId="941" xr:uid="{00000000-0005-0000-0000-00002E000000}"/>
    <cellStyle name="20% - Accent2 14 3" xfId="1069" xr:uid="{00000000-0005-0000-0000-00002F000000}"/>
    <cellStyle name="20% - Accent2 15" xfId="903" xr:uid="{00000000-0005-0000-0000-000030000000}"/>
    <cellStyle name="20% - Accent2 16" xfId="1031" xr:uid="{00000000-0005-0000-0000-000031000000}"/>
    <cellStyle name="20% - Accent2 2" xfId="39" xr:uid="{00000000-0005-0000-0000-000032000000}"/>
    <cellStyle name="20% - Accent2 2 2" xfId="40" xr:uid="{00000000-0005-0000-0000-000033000000}"/>
    <cellStyle name="20% - Accent2 2 3" xfId="41" xr:uid="{00000000-0005-0000-0000-000034000000}"/>
    <cellStyle name="20% - Accent2 2_10-15-10-Stmt AU - Period I - Working 1 0" xfId="42" xr:uid="{00000000-0005-0000-0000-000035000000}"/>
    <cellStyle name="20% - Accent2 3" xfId="43" xr:uid="{00000000-0005-0000-0000-000036000000}"/>
    <cellStyle name="20% - Accent2 3 2" xfId="44" xr:uid="{00000000-0005-0000-0000-000037000000}"/>
    <cellStyle name="20% - Accent2 3 3" xfId="45" xr:uid="{00000000-0005-0000-0000-000038000000}"/>
    <cellStyle name="20% - Accent2 3_10-15-10-Stmt AU - Period I - Working 1 0" xfId="46" xr:uid="{00000000-0005-0000-0000-000039000000}"/>
    <cellStyle name="20% - Accent2 4" xfId="47" xr:uid="{00000000-0005-0000-0000-00003A000000}"/>
    <cellStyle name="20% - Accent2 4 2" xfId="48" xr:uid="{00000000-0005-0000-0000-00003B000000}"/>
    <cellStyle name="20% - Accent2 4 3" xfId="49" xr:uid="{00000000-0005-0000-0000-00003C000000}"/>
    <cellStyle name="20% - Accent2 4_10-15-10-Stmt AU - Period I - Working 1 0" xfId="50" xr:uid="{00000000-0005-0000-0000-00003D000000}"/>
    <cellStyle name="20% - Accent2 5" xfId="51" xr:uid="{00000000-0005-0000-0000-00003E000000}"/>
    <cellStyle name="20% - Accent2 5 2" xfId="52" xr:uid="{00000000-0005-0000-0000-00003F000000}"/>
    <cellStyle name="20% - Accent2 5 3" xfId="53" xr:uid="{00000000-0005-0000-0000-000040000000}"/>
    <cellStyle name="20% - Accent2 5_10-15-10-Stmt AU - Period I - Working 1 0" xfId="54" xr:uid="{00000000-0005-0000-0000-000041000000}"/>
    <cellStyle name="20% - Accent2 6" xfId="55" xr:uid="{00000000-0005-0000-0000-000042000000}"/>
    <cellStyle name="20% - Accent2 6 2" xfId="56" xr:uid="{00000000-0005-0000-0000-000043000000}"/>
    <cellStyle name="20% - Accent2 6 3" xfId="57" xr:uid="{00000000-0005-0000-0000-000044000000}"/>
    <cellStyle name="20% - Accent2 6_10-15-10-Stmt AU - Period I - Working 1 0" xfId="58" xr:uid="{00000000-0005-0000-0000-000045000000}"/>
    <cellStyle name="20% - Accent2 7" xfId="59" xr:uid="{00000000-0005-0000-0000-000046000000}"/>
    <cellStyle name="20% - Accent2 7 2" xfId="60" xr:uid="{00000000-0005-0000-0000-000047000000}"/>
    <cellStyle name="20% - Accent2 7 3" xfId="61" xr:uid="{00000000-0005-0000-0000-000048000000}"/>
    <cellStyle name="20% - Accent2 7_10-15-10-Stmt AU - Period I - Working 1 0" xfId="62" xr:uid="{00000000-0005-0000-0000-000049000000}"/>
    <cellStyle name="20% - Accent2 8" xfId="63" xr:uid="{00000000-0005-0000-0000-00004A000000}"/>
    <cellStyle name="20% - Accent2 9" xfId="64" xr:uid="{00000000-0005-0000-0000-00004B000000}"/>
    <cellStyle name="20% - Accent3" xfId="730" builtinId="38" customBuiltin="1"/>
    <cellStyle name="20% - Accent3 10" xfId="65" xr:uid="{00000000-0005-0000-0000-00004D000000}"/>
    <cellStyle name="20% - Accent3 11" xfId="66" xr:uid="{00000000-0005-0000-0000-00004E000000}"/>
    <cellStyle name="20% - Accent3 12" xfId="67" xr:uid="{00000000-0005-0000-0000-00004F000000}"/>
    <cellStyle name="20% - Accent3 13" xfId="68" xr:uid="{00000000-0005-0000-0000-000050000000}"/>
    <cellStyle name="20% - Accent3 14" xfId="790" xr:uid="{00000000-0005-0000-0000-000051000000}"/>
    <cellStyle name="20% - Accent3 14 2" xfId="942" xr:uid="{00000000-0005-0000-0000-000052000000}"/>
    <cellStyle name="20% - Accent3 14 3" xfId="1070" xr:uid="{00000000-0005-0000-0000-000053000000}"/>
    <cellStyle name="20% - Accent3 15" xfId="905" xr:uid="{00000000-0005-0000-0000-000054000000}"/>
    <cellStyle name="20% - Accent3 16" xfId="1033" xr:uid="{00000000-0005-0000-0000-000055000000}"/>
    <cellStyle name="20% - Accent3 2" xfId="69" xr:uid="{00000000-0005-0000-0000-000056000000}"/>
    <cellStyle name="20% - Accent3 2 2" xfId="70" xr:uid="{00000000-0005-0000-0000-000057000000}"/>
    <cellStyle name="20% - Accent3 2 3" xfId="71" xr:uid="{00000000-0005-0000-0000-000058000000}"/>
    <cellStyle name="20% - Accent3 2_10-15-10-Stmt AU - Period I - Working 1 0" xfId="72" xr:uid="{00000000-0005-0000-0000-000059000000}"/>
    <cellStyle name="20% - Accent3 3" xfId="73" xr:uid="{00000000-0005-0000-0000-00005A000000}"/>
    <cellStyle name="20% - Accent3 3 2" xfId="74" xr:uid="{00000000-0005-0000-0000-00005B000000}"/>
    <cellStyle name="20% - Accent3 3 3" xfId="75" xr:uid="{00000000-0005-0000-0000-00005C000000}"/>
    <cellStyle name="20% - Accent3 3_10-15-10-Stmt AU - Period I - Working 1 0" xfId="76" xr:uid="{00000000-0005-0000-0000-00005D000000}"/>
    <cellStyle name="20% - Accent3 4" xfId="77" xr:uid="{00000000-0005-0000-0000-00005E000000}"/>
    <cellStyle name="20% - Accent3 4 2" xfId="78" xr:uid="{00000000-0005-0000-0000-00005F000000}"/>
    <cellStyle name="20% - Accent3 4 3" xfId="79" xr:uid="{00000000-0005-0000-0000-000060000000}"/>
    <cellStyle name="20% - Accent3 4_10-15-10-Stmt AU - Period I - Working 1 0" xfId="80" xr:uid="{00000000-0005-0000-0000-000061000000}"/>
    <cellStyle name="20% - Accent3 5" xfId="81" xr:uid="{00000000-0005-0000-0000-000062000000}"/>
    <cellStyle name="20% - Accent3 5 2" xfId="82" xr:uid="{00000000-0005-0000-0000-000063000000}"/>
    <cellStyle name="20% - Accent3 5 3" xfId="83" xr:uid="{00000000-0005-0000-0000-000064000000}"/>
    <cellStyle name="20% - Accent3 5_10-15-10-Stmt AU - Period I - Working 1 0" xfId="84" xr:uid="{00000000-0005-0000-0000-000065000000}"/>
    <cellStyle name="20% - Accent3 6" xfId="85" xr:uid="{00000000-0005-0000-0000-000066000000}"/>
    <cellStyle name="20% - Accent3 6 2" xfId="86" xr:uid="{00000000-0005-0000-0000-000067000000}"/>
    <cellStyle name="20% - Accent3 6 3" xfId="87" xr:uid="{00000000-0005-0000-0000-000068000000}"/>
    <cellStyle name="20% - Accent3 6_10-15-10-Stmt AU - Period I - Working 1 0" xfId="88" xr:uid="{00000000-0005-0000-0000-000069000000}"/>
    <cellStyle name="20% - Accent3 7" xfId="89" xr:uid="{00000000-0005-0000-0000-00006A000000}"/>
    <cellStyle name="20% - Accent3 7 2" xfId="90" xr:uid="{00000000-0005-0000-0000-00006B000000}"/>
    <cellStyle name="20% - Accent3 7 3" xfId="91" xr:uid="{00000000-0005-0000-0000-00006C000000}"/>
    <cellStyle name="20% - Accent3 7_10-15-10-Stmt AU - Period I - Working 1 0" xfId="92" xr:uid="{00000000-0005-0000-0000-00006D000000}"/>
    <cellStyle name="20% - Accent3 8" xfId="93" xr:uid="{00000000-0005-0000-0000-00006E000000}"/>
    <cellStyle name="20% - Accent3 9" xfId="94" xr:uid="{00000000-0005-0000-0000-00006F000000}"/>
    <cellStyle name="20% - Accent4" xfId="734" builtinId="42" customBuiltin="1"/>
    <cellStyle name="20% - Accent4 10" xfId="95" xr:uid="{00000000-0005-0000-0000-000071000000}"/>
    <cellStyle name="20% - Accent4 11" xfId="96" xr:uid="{00000000-0005-0000-0000-000072000000}"/>
    <cellStyle name="20% - Accent4 12" xfId="97" xr:uid="{00000000-0005-0000-0000-000073000000}"/>
    <cellStyle name="20% - Accent4 13" xfId="98" xr:uid="{00000000-0005-0000-0000-000074000000}"/>
    <cellStyle name="20% - Accent4 14" xfId="791" xr:uid="{00000000-0005-0000-0000-000075000000}"/>
    <cellStyle name="20% - Accent4 14 2" xfId="943" xr:uid="{00000000-0005-0000-0000-000076000000}"/>
    <cellStyle name="20% - Accent4 14 3" xfId="1071" xr:uid="{00000000-0005-0000-0000-000077000000}"/>
    <cellStyle name="20% - Accent4 15" xfId="907" xr:uid="{00000000-0005-0000-0000-000078000000}"/>
    <cellStyle name="20% - Accent4 16" xfId="1035" xr:uid="{00000000-0005-0000-0000-000079000000}"/>
    <cellStyle name="20% - Accent4 2" xfId="99" xr:uid="{00000000-0005-0000-0000-00007A000000}"/>
    <cellStyle name="20% - Accent4 2 2" xfId="100" xr:uid="{00000000-0005-0000-0000-00007B000000}"/>
    <cellStyle name="20% - Accent4 2 3" xfId="101" xr:uid="{00000000-0005-0000-0000-00007C000000}"/>
    <cellStyle name="20% - Accent4 2_10-15-10-Stmt AU - Period I - Working 1 0" xfId="102" xr:uid="{00000000-0005-0000-0000-00007D000000}"/>
    <cellStyle name="20% - Accent4 3" xfId="103" xr:uid="{00000000-0005-0000-0000-00007E000000}"/>
    <cellStyle name="20% - Accent4 3 2" xfId="104" xr:uid="{00000000-0005-0000-0000-00007F000000}"/>
    <cellStyle name="20% - Accent4 3 3" xfId="105" xr:uid="{00000000-0005-0000-0000-000080000000}"/>
    <cellStyle name="20% - Accent4 3_10-15-10-Stmt AU - Period I - Working 1 0" xfId="106" xr:uid="{00000000-0005-0000-0000-000081000000}"/>
    <cellStyle name="20% - Accent4 4" xfId="107" xr:uid="{00000000-0005-0000-0000-000082000000}"/>
    <cellStyle name="20% - Accent4 4 2" xfId="108" xr:uid="{00000000-0005-0000-0000-000083000000}"/>
    <cellStyle name="20% - Accent4 4 3" xfId="109" xr:uid="{00000000-0005-0000-0000-000084000000}"/>
    <cellStyle name="20% - Accent4 4_10-15-10-Stmt AU - Period I - Working 1 0" xfId="110" xr:uid="{00000000-0005-0000-0000-000085000000}"/>
    <cellStyle name="20% - Accent4 5" xfId="111" xr:uid="{00000000-0005-0000-0000-000086000000}"/>
    <cellStyle name="20% - Accent4 5 2" xfId="112" xr:uid="{00000000-0005-0000-0000-000087000000}"/>
    <cellStyle name="20% - Accent4 5 3" xfId="113" xr:uid="{00000000-0005-0000-0000-000088000000}"/>
    <cellStyle name="20% - Accent4 5_10-15-10-Stmt AU - Period I - Working 1 0" xfId="114" xr:uid="{00000000-0005-0000-0000-000089000000}"/>
    <cellStyle name="20% - Accent4 6" xfId="115" xr:uid="{00000000-0005-0000-0000-00008A000000}"/>
    <cellStyle name="20% - Accent4 6 2" xfId="116" xr:uid="{00000000-0005-0000-0000-00008B000000}"/>
    <cellStyle name="20% - Accent4 6 3" xfId="117" xr:uid="{00000000-0005-0000-0000-00008C000000}"/>
    <cellStyle name="20% - Accent4 6_10-15-10-Stmt AU - Period I - Working 1 0" xfId="118" xr:uid="{00000000-0005-0000-0000-00008D000000}"/>
    <cellStyle name="20% - Accent4 7" xfId="119" xr:uid="{00000000-0005-0000-0000-00008E000000}"/>
    <cellStyle name="20% - Accent4 7 2" xfId="120" xr:uid="{00000000-0005-0000-0000-00008F000000}"/>
    <cellStyle name="20% - Accent4 7 3" xfId="121" xr:uid="{00000000-0005-0000-0000-000090000000}"/>
    <cellStyle name="20% - Accent4 7_10-15-10-Stmt AU - Period I - Working 1 0" xfId="122" xr:uid="{00000000-0005-0000-0000-000091000000}"/>
    <cellStyle name="20% - Accent4 8" xfId="123" xr:uid="{00000000-0005-0000-0000-000092000000}"/>
    <cellStyle name="20% - Accent4 9" xfId="124" xr:uid="{00000000-0005-0000-0000-000093000000}"/>
    <cellStyle name="20% - Accent5" xfId="738" builtinId="46" customBuiltin="1"/>
    <cellStyle name="20% - Accent5 10" xfId="125" xr:uid="{00000000-0005-0000-0000-000095000000}"/>
    <cellStyle name="20% - Accent5 11" xfId="126" xr:uid="{00000000-0005-0000-0000-000096000000}"/>
    <cellStyle name="20% - Accent5 12" xfId="127" xr:uid="{00000000-0005-0000-0000-000097000000}"/>
    <cellStyle name="20% - Accent5 13" xfId="128" xr:uid="{00000000-0005-0000-0000-000098000000}"/>
    <cellStyle name="20% - Accent5 14" xfId="792" xr:uid="{00000000-0005-0000-0000-000099000000}"/>
    <cellStyle name="20% - Accent5 14 2" xfId="944" xr:uid="{00000000-0005-0000-0000-00009A000000}"/>
    <cellStyle name="20% - Accent5 14 3" xfId="1072" xr:uid="{00000000-0005-0000-0000-00009B000000}"/>
    <cellStyle name="20% - Accent5 15" xfId="909" xr:uid="{00000000-0005-0000-0000-00009C000000}"/>
    <cellStyle name="20% - Accent5 16" xfId="1037" xr:uid="{00000000-0005-0000-0000-00009D000000}"/>
    <cellStyle name="20% - Accent5 2" xfId="129" xr:uid="{00000000-0005-0000-0000-00009E000000}"/>
    <cellStyle name="20% - Accent5 2 2" xfId="130" xr:uid="{00000000-0005-0000-0000-00009F000000}"/>
    <cellStyle name="20% - Accent5 2 3" xfId="131" xr:uid="{00000000-0005-0000-0000-0000A0000000}"/>
    <cellStyle name="20% - Accent5 2_10-15-10-Stmt AU - Period I - Working 1 0" xfId="132" xr:uid="{00000000-0005-0000-0000-0000A1000000}"/>
    <cellStyle name="20% - Accent5 3" xfId="133" xr:uid="{00000000-0005-0000-0000-0000A2000000}"/>
    <cellStyle name="20% - Accent5 3 2" xfId="134" xr:uid="{00000000-0005-0000-0000-0000A3000000}"/>
    <cellStyle name="20% - Accent5 3 3" xfId="135" xr:uid="{00000000-0005-0000-0000-0000A4000000}"/>
    <cellStyle name="20% - Accent5 3_10-15-10-Stmt AU - Period I - Working 1 0" xfId="136" xr:uid="{00000000-0005-0000-0000-0000A5000000}"/>
    <cellStyle name="20% - Accent5 4" xfId="137" xr:uid="{00000000-0005-0000-0000-0000A6000000}"/>
    <cellStyle name="20% - Accent5 4 2" xfId="138" xr:uid="{00000000-0005-0000-0000-0000A7000000}"/>
    <cellStyle name="20% - Accent5 4 3" xfId="139" xr:uid="{00000000-0005-0000-0000-0000A8000000}"/>
    <cellStyle name="20% - Accent5 4_10-15-10-Stmt AU - Period I - Working 1 0" xfId="140" xr:uid="{00000000-0005-0000-0000-0000A9000000}"/>
    <cellStyle name="20% - Accent5 5" xfId="141" xr:uid="{00000000-0005-0000-0000-0000AA000000}"/>
    <cellStyle name="20% - Accent5 5 2" xfId="142" xr:uid="{00000000-0005-0000-0000-0000AB000000}"/>
    <cellStyle name="20% - Accent5 5 3" xfId="143" xr:uid="{00000000-0005-0000-0000-0000AC000000}"/>
    <cellStyle name="20% - Accent5 5_10-15-10-Stmt AU - Period I - Working 1 0" xfId="144" xr:uid="{00000000-0005-0000-0000-0000AD000000}"/>
    <cellStyle name="20% - Accent5 6" xfId="145" xr:uid="{00000000-0005-0000-0000-0000AE000000}"/>
    <cellStyle name="20% - Accent5 6 2" xfId="146" xr:uid="{00000000-0005-0000-0000-0000AF000000}"/>
    <cellStyle name="20% - Accent5 6 3" xfId="147" xr:uid="{00000000-0005-0000-0000-0000B0000000}"/>
    <cellStyle name="20% - Accent5 6_10-15-10-Stmt AU - Period I - Working 1 0" xfId="148" xr:uid="{00000000-0005-0000-0000-0000B1000000}"/>
    <cellStyle name="20% - Accent5 7" xfId="149" xr:uid="{00000000-0005-0000-0000-0000B2000000}"/>
    <cellStyle name="20% - Accent5 7 2" xfId="150" xr:uid="{00000000-0005-0000-0000-0000B3000000}"/>
    <cellStyle name="20% - Accent5 7 3" xfId="151" xr:uid="{00000000-0005-0000-0000-0000B4000000}"/>
    <cellStyle name="20% - Accent5 7_10-15-10-Stmt AU - Period I - Working 1 0" xfId="152" xr:uid="{00000000-0005-0000-0000-0000B5000000}"/>
    <cellStyle name="20% - Accent5 8" xfId="153" xr:uid="{00000000-0005-0000-0000-0000B6000000}"/>
    <cellStyle name="20% - Accent5 9" xfId="154" xr:uid="{00000000-0005-0000-0000-0000B7000000}"/>
    <cellStyle name="20% - Accent6" xfId="742" builtinId="50" customBuiltin="1"/>
    <cellStyle name="20% - Accent6 10" xfId="155" xr:uid="{00000000-0005-0000-0000-0000B9000000}"/>
    <cellStyle name="20% - Accent6 11" xfId="156" xr:uid="{00000000-0005-0000-0000-0000BA000000}"/>
    <cellStyle name="20% - Accent6 12" xfId="157" xr:uid="{00000000-0005-0000-0000-0000BB000000}"/>
    <cellStyle name="20% - Accent6 13" xfId="158" xr:uid="{00000000-0005-0000-0000-0000BC000000}"/>
    <cellStyle name="20% - Accent6 14" xfId="793" xr:uid="{00000000-0005-0000-0000-0000BD000000}"/>
    <cellStyle name="20% - Accent6 14 2" xfId="945" xr:uid="{00000000-0005-0000-0000-0000BE000000}"/>
    <cellStyle name="20% - Accent6 14 3" xfId="1073" xr:uid="{00000000-0005-0000-0000-0000BF000000}"/>
    <cellStyle name="20% - Accent6 15" xfId="911" xr:uid="{00000000-0005-0000-0000-0000C0000000}"/>
    <cellStyle name="20% - Accent6 16" xfId="1039" xr:uid="{00000000-0005-0000-0000-0000C1000000}"/>
    <cellStyle name="20% - Accent6 2" xfId="159" xr:uid="{00000000-0005-0000-0000-0000C2000000}"/>
    <cellStyle name="20% - Accent6 2 2" xfId="160" xr:uid="{00000000-0005-0000-0000-0000C3000000}"/>
    <cellStyle name="20% - Accent6 2 3" xfId="161" xr:uid="{00000000-0005-0000-0000-0000C4000000}"/>
    <cellStyle name="20% - Accent6 2_10-15-10-Stmt AU - Period I - Working 1 0" xfId="162" xr:uid="{00000000-0005-0000-0000-0000C5000000}"/>
    <cellStyle name="20% - Accent6 3" xfId="163" xr:uid="{00000000-0005-0000-0000-0000C6000000}"/>
    <cellStyle name="20% - Accent6 3 2" xfId="164" xr:uid="{00000000-0005-0000-0000-0000C7000000}"/>
    <cellStyle name="20% - Accent6 3 3" xfId="165" xr:uid="{00000000-0005-0000-0000-0000C8000000}"/>
    <cellStyle name="20% - Accent6 3_10-15-10-Stmt AU - Period I - Working 1 0" xfId="166" xr:uid="{00000000-0005-0000-0000-0000C9000000}"/>
    <cellStyle name="20% - Accent6 4" xfId="167" xr:uid="{00000000-0005-0000-0000-0000CA000000}"/>
    <cellStyle name="20% - Accent6 4 2" xfId="168" xr:uid="{00000000-0005-0000-0000-0000CB000000}"/>
    <cellStyle name="20% - Accent6 4 3" xfId="169" xr:uid="{00000000-0005-0000-0000-0000CC000000}"/>
    <cellStyle name="20% - Accent6 4_10-15-10-Stmt AU - Period I - Working 1 0" xfId="170" xr:uid="{00000000-0005-0000-0000-0000CD000000}"/>
    <cellStyle name="20% - Accent6 5" xfId="171" xr:uid="{00000000-0005-0000-0000-0000CE000000}"/>
    <cellStyle name="20% - Accent6 5 2" xfId="172" xr:uid="{00000000-0005-0000-0000-0000CF000000}"/>
    <cellStyle name="20% - Accent6 5 3" xfId="173" xr:uid="{00000000-0005-0000-0000-0000D0000000}"/>
    <cellStyle name="20% - Accent6 5_10-15-10-Stmt AU - Period I - Working 1 0" xfId="174" xr:uid="{00000000-0005-0000-0000-0000D1000000}"/>
    <cellStyle name="20% - Accent6 6" xfId="175" xr:uid="{00000000-0005-0000-0000-0000D2000000}"/>
    <cellStyle name="20% - Accent6 6 2" xfId="176" xr:uid="{00000000-0005-0000-0000-0000D3000000}"/>
    <cellStyle name="20% - Accent6 6 3" xfId="177" xr:uid="{00000000-0005-0000-0000-0000D4000000}"/>
    <cellStyle name="20% - Accent6 6_10-15-10-Stmt AU - Period I - Working 1 0" xfId="178" xr:uid="{00000000-0005-0000-0000-0000D5000000}"/>
    <cellStyle name="20% - Accent6 7" xfId="179" xr:uid="{00000000-0005-0000-0000-0000D6000000}"/>
    <cellStyle name="20% - Accent6 7 2" xfId="180" xr:uid="{00000000-0005-0000-0000-0000D7000000}"/>
    <cellStyle name="20% - Accent6 7 3" xfId="181" xr:uid="{00000000-0005-0000-0000-0000D8000000}"/>
    <cellStyle name="20% - Accent6 7_10-15-10-Stmt AU - Period I - Working 1 0" xfId="182" xr:uid="{00000000-0005-0000-0000-0000D9000000}"/>
    <cellStyle name="20% - Accent6 8" xfId="183" xr:uid="{00000000-0005-0000-0000-0000DA000000}"/>
    <cellStyle name="20% - Accent6 9" xfId="184" xr:uid="{00000000-0005-0000-0000-0000DB000000}"/>
    <cellStyle name="40% - Accent1" xfId="723" builtinId="31" customBuiltin="1"/>
    <cellStyle name="40% - Accent1 10" xfId="185" xr:uid="{00000000-0005-0000-0000-0000DD000000}"/>
    <cellStyle name="40% - Accent1 11" xfId="186" xr:uid="{00000000-0005-0000-0000-0000DE000000}"/>
    <cellStyle name="40% - Accent1 12" xfId="187" xr:uid="{00000000-0005-0000-0000-0000DF000000}"/>
    <cellStyle name="40% - Accent1 13" xfId="188" xr:uid="{00000000-0005-0000-0000-0000E0000000}"/>
    <cellStyle name="40% - Accent1 14" xfId="794" xr:uid="{00000000-0005-0000-0000-0000E1000000}"/>
    <cellStyle name="40% - Accent1 14 2" xfId="946" xr:uid="{00000000-0005-0000-0000-0000E2000000}"/>
    <cellStyle name="40% - Accent1 14 3" xfId="1074" xr:uid="{00000000-0005-0000-0000-0000E3000000}"/>
    <cellStyle name="40% - Accent1 15" xfId="902" xr:uid="{00000000-0005-0000-0000-0000E4000000}"/>
    <cellStyle name="40% - Accent1 16" xfId="1030" xr:uid="{00000000-0005-0000-0000-0000E5000000}"/>
    <cellStyle name="40% - Accent1 2" xfId="189" xr:uid="{00000000-0005-0000-0000-0000E6000000}"/>
    <cellStyle name="40% - Accent1 2 2" xfId="190" xr:uid="{00000000-0005-0000-0000-0000E7000000}"/>
    <cellStyle name="40% - Accent1 2 3" xfId="191" xr:uid="{00000000-0005-0000-0000-0000E8000000}"/>
    <cellStyle name="40% - Accent1 2_10-15-10-Stmt AU - Period I - Working 1 0" xfId="192" xr:uid="{00000000-0005-0000-0000-0000E9000000}"/>
    <cellStyle name="40% - Accent1 3" xfId="193" xr:uid="{00000000-0005-0000-0000-0000EA000000}"/>
    <cellStyle name="40% - Accent1 3 2" xfId="194" xr:uid="{00000000-0005-0000-0000-0000EB000000}"/>
    <cellStyle name="40% - Accent1 3 3" xfId="195" xr:uid="{00000000-0005-0000-0000-0000EC000000}"/>
    <cellStyle name="40% - Accent1 3_10-15-10-Stmt AU - Period I - Working 1 0" xfId="196" xr:uid="{00000000-0005-0000-0000-0000ED000000}"/>
    <cellStyle name="40% - Accent1 4" xfId="197" xr:uid="{00000000-0005-0000-0000-0000EE000000}"/>
    <cellStyle name="40% - Accent1 4 2" xfId="198" xr:uid="{00000000-0005-0000-0000-0000EF000000}"/>
    <cellStyle name="40% - Accent1 4 3" xfId="199" xr:uid="{00000000-0005-0000-0000-0000F0000000}"/>
    <cellStyle name="40% - Accent1 4_10-15-10-Stmt AU - Period I - Working 1 0" xfId="200" xr:uid="{00000000-0005-0000-0000-0000F1000000}"/>
    <cellStyle name="40% - Accent1 5" xfId="201" xr:uid="{00000000-0005-0000-0000-0000F2000000}"/>
    <cellStyle name="40% - Accent1 5 2" xfId="202" xr:uid="{00000000-0005-0000-0000-0000F3000000}"/>
    <cellStyle name="40% - Accent1 5 3" xfId="203" xr:uid="{00000000-0005-0000-0000-0000F4000000}"/>
    <cellStyle name="40% - Accent1 5_10-15-10-Stmt AU - Period I - Working 1 0" xfId="204" xr:uid="{00000000-0005-0000-0000-0000F5000000}"/>
    <cellStyle name="40% - Accent1 6" xfId="205" xr:uid="{00000000-0005-0000-0000-0000F6000000}"/>
    <cellStyle name="40% - Accent1 6 2" xfId="206" xr:uid="{00000000-0005-0000-0000-0000F7000000}"/>
    <cellStyle name="40% - Accent1 6 3" xfId="207" xr:uid="{00000000-0005-0000-0000-0000F8000000}"/>
    <cellStyle name="40% - Accent1 6_10-15-10-Stmt AU - Period I - Working 1 0" xfId="208" xr:uid="{00000000-0005-0000-0000-0000F9000000}"/>
    <cellStyle name="40% - Accent1 7" xfId="209" xr:uid="{00000000-0005-0000-0000-0000FA000000}"/>
    <cellStyle name="40% - Accent1 7 2" xfId="210" xr:uid="{00000000-0005-0000-0000-0000FB000000}"/>
    <cellStyle name="40% - Accent1 7 3" xfId="211" xr:uid="{00000000-0005-0000-0000-0000FC000000}"/>
    <cellStyle name="40% - Accent1 7_10-15-10-Stmt AU - Period I - Working 1 0" xfId="212" xr:uid="{00000000-0005-0000-0000-0000FD000000}"/>
    <cellStyle name="40% - Accent1 8" xfId="213" xr:uid="{00000000-0005-0000-0000-0000FE000000}"/>
    <cellStyle name="40% - Accent1 9" xfId="214" xr:uid="{00000000-0005-0000-0000-0000FF000000}"/>
    <cellStyle name="40% - Accent2" xfId="727" builtinId="35" customBuiltin="1"/>
    <cellStyle name="40% - Accent2 10" xfId="215" xr:uid="{00000000-0005-0000-0000-000001010000}"/>
    <cellStyle name="40% - Accent2 11" xfId="216" xr:uid="{00000000-0005-0000-0000-000002010000}"/>
    <cellStyle name="40% - Accent2 12" xfId="217" xr:uid="{00000000-0005-0000-0000-000003010000}"/>
    <cellStyle name="40% - Accent2 13" xfId="218" xr:uid="{00000000-0005-0000-0000-000004010000}"/>
    <cellStyle name="40% - Accent2 14" xfId="795" xr:uid="{00000000-0005-0000-0000-000005010000}"/>
    <cellStyle name="40% - Accent2 14 2" xfId="947" xr:uid="{00000000-0005-0000-0000-000006010000}"/>
    <cellStyle name="40% - Accent2 14 3" xfId="1075" xr:uid="{00000000-0005-0000-0000-000007010000}"/>
    <cellStyle name="40% - Accent2 15" xfId="904" xr:uid="{00000000-0005-0000-0000-000008010000}"/>
    <cellStyle name="40% - Accent2 16" xfId="1032" xr:uid="{00000000-0005-0000-0000-000009010000}"/>
    <cellStyle name="40% - Accent2 2" xfId="219" xr:uid="{00000000-0005-0000-0000-00000A010000}"/>
    <cellStyle name="40% - Accent2 2 2" xfId="220" xr:uid="{00000000-0005-0000-0000-00000B010000}"/>
    <cellStyle name="40% - Accent2 2 3" xfId="221" xr:uid="{00000000-0005-0000-0000-00000C010000}"/>
    <cellStyle name="40% - Accent2 2_10-15-10-Stmt AU - Period I - Working 1 0" xfId="222" xr:uid="{00000000-0005-0000-0000-00000D010000}"/>
    <cellStyle name="40% - Accent2 3" xfId="223" xr:uid="{00000000-0005-0000-0000-00000E010000}"/>
    <cellStyle name="40% - Accent2 3 2" xfId="224" xr:uid="{00000000-0005-0000-0000-00000F010000}"/>
    <cellStyle name="40% - Accent2 3 3" xfId="225" xr:uid="{00000000-0005-0000-0000-000010010000}"/>
    <cellStyle name="40% - Accent2 3_10-15-10-Stmt AU - Period I - Working 1 0" xfId="226" xr:uid="{00000000-0005-0000-0000-000011010000}"/>
    <cellStyle name="40% - Accent2 4" xfId="227" xr:uid="{00000000-0005-0000-0000-000012010000}"/>
    <cellStyle name="40% - Accent2 4 2" xfId="228" xr:uid="{00000000-0005-0000-0000-000013010000}"/>
    <cellStyle name="40% - Accent2 4 3" xfId="229" xr:uid="{00000000-0005-0000-0000-000014010000}"/>
    <cellStyle name="40% - Accent2 4_10-15-10-Stmt AU - Period I - Working 1 0" xfId="230" xr:uid="{00000000-0005-0000-0000-000015010000}"/>
    <cellStyle name="40% - Accent2 5" xfId="231" xr:uid="{00000000-0005-0000-0000-000016010000}"/>
    <cellStyle name="40% - Accent2 5 2" xfId="232" xr:uid="{00000000-0005-0000-0000-000017010000}"/>
    <cellStyle name="40% - Accent2 5 3" xfId="233" xr:uid="{00000000-0005-0000-0000-000018010000}"/>
    <cellStyle name="40% - Accent2 5_10-15-10-Stmt AU - Period I - Working 1 0" xfId="234" xr:uid="{00000000-0005-0000-0000-000019010000}"/>
    <cellStyle name="40% - Accent2 6" xfId="235" xr:uid="{00000000-0005-0000-0000-00001A010000}"/>
    <cellStyle name="40% - Accent2 6 2" xfId="236" xr:uid="{00000000-0005-0000-0000-00001B010000}"/>
    <cellStyle name="40% - Accent2 6 3" xfId="237" xr:uid="{00000000-0005-0000-0000-00001C010000}"/>
    <cellStyle name="40% - Accent2 6_10-15-10-Stmt AU - Period I - Working 1 0" xfId="238" xr:uid="{00000000-0005-0000-0000-00001D010000}"/>
    <cellStyle name="40% - Accent2 7" xfId="239" xr:uid="{00000000-0005-0000-0000-00001E010000}"/>
    <cellStyle name="40% - Accent2 7 2" xfId="240" xr:uid="{00000000-0005-0000-0000-00001F010000}"/>
    <cellStyle name="40% - Accent2 7 3" xfId="241" xr:uid="{00000000-0005-0000-0000-000020010000}"/>
    <cellStyle name="40% - Accent2 7_10-15-10-Stmt AU - Period I - Working 1 0" xfId="242" xr:uid="{00000000-0005-0000-0000-000021010000}"/>
    <cellStyle name="40% - Accent2 8" xfId="243" xr:uid="{00000000-0005-0000-0000-000022010000}"/>
    <cellStyle name="40% - Accent2 9" xfId="244" xr:uid="{00000000-0005-0000-0000-000023010000}"/>
    <cellStyle name="40% - Accent3" xfId="731" builtinId="39" customBuiltin="1"/>
    <cellStyle name="40% - Accent3 10" xfId="245" xr:uid="{00000000-0005-0000-0000-000025010000}"/>
    <cellStyle name="40% - Accent3 11" xfId="246" xr:uid="{00000000-0005-0000-0000-000026010000}"/>
    <cellStyle name="40% - Accent3 12" xfId="247" xr:uid="{00000000-0005-0000-0000-000027010000}"/>
    <cellStyle name="40% - Accent3 13" xfId="248" xr:uid="{00000000-0005-0000-0000-000028010000}"/>
    <cellStyle name="40% - Accent3 14" xfId="796" xr:uid="{00000000-0005-0000-0000-000029010000}"/>
    <cellStyle name="40% - Accent3 14 2" xfId="948" xr:uid="{00000000-0005-0000-0000-00002A010000}"/>
    <cellStyle name="40% - Accent3 14 3" xfId="1076" xr:uid="{00000000-0005-0000-0000-00002B010000}"/>
    <cellStyle name="40% - Accent3 15" xfId="906" xr:uid="{00000000-0005-0000-0000-00002C010000}"/>
    <cellStyle name="40% - Accent3 16" xfId="1034" xr:uid="{00000000-0005-0000-0000-00002D010000}"/>
    <cellStyle name="40% - Accent3 2" xfId="249" xr:uid="{00000000-0005-0000-0000-00002E010000}"/>
    <cellStyle name="40% - Accent3 2 2" xfId="250" xr:uid="{00000000-0005-0000-0000-00002F010000}"/>
    <cellStyle name="40% - Accent3 2 3" xfId="251" xr:uid="{00000000-0005-0000-0000-000030010000}"/>
    <cellStyle name="40% - Accent3 2_10-15-10-Stmt AU - Period I - Working 1 0" xfId="252" xr:uid="{00000000-0005-0000-0000-000031010000}"/>
    <cellStyle name="40% - Accent3 3" xfId="253" xr:uid="{00000000-0005-0000-0000-000032010000}"/>
    <cellStyle name="40% - Accent3 3 2" xfId="254" xr:uid="{00000000-0005-0000-0000-000033010000}"/>
    <cellStyle name="40% - Accent3 3 3" xfId="255" xr:uid="{00000000-0005-0000-0000-000034010000}"/>
    <cellStyle name="40% - Accent3 3_10-15-10-Stmt AU - Period I - Working 1 0" xfId="256" xr:uid="{00000000-0005-0000-0000-000035010000}"/>
    <cellStyle name="40% - Accent3 4" xfId="257" xr:uid="{00000000-0005-0000-0000-000036010000}"/>
    <cellStyle name="40% - Accent3 4 2" xfId="258" xr:uid="{00000000-0005-0000-0000-000037010000}"/>
    <cellStyle name="40% - Accent3 4 3" xfId="259" xr:uid="{00000000-0005-0000-0000-000038010000}"/>
    <cellStyle name="40% - Accent3 4_10-15-10-Stmt AU - Period I - Working 1 0" xfId="260" xr:uid="{00000000-0005-0000-0000-000039010000}"/>
    <cellStyle name="40% - Accent3 5" xfId="261" xr:uid="{00000000-0005-0000-0000-00003A010000}"/>
    <cellStyle name="40% - Accent3 5 2" xfId="262" xr:uid="{00000000-0005-0000-0000-00003B010000}"/>
    <cellStyle name="40% - Accent3 5 3" xfId="263" xr:uid="{00000000-0005-0000-0000-00003C010000}"/>
    <cellStyle name="40% - Accent3 5_10-15-10-Stmt AU - Period I - Working 1 0" xfId="264" xr:uid="{00000000-0005-0000-0000-00003D010000}"/>
    <cellStyle name="40% - Accent3 6" xfId="265" xr:uid="{00000000-0005-0000-0000-00003E010000}"/>
    <cellStyle name="40% - Accent3 6 2" xfId="266" xr:uid="{00000000-0005-0000-0000-00003F010000}"/>
    <cellStyle name="40% - Accent3 6 3" xfId="267" xr:uid="{00000000-0005-0000-0000-000040010000}"/>
    <cellStyle name="40% - Accent3 6_10-15-10-Stmt AU - Period I - Working 1 0" xfId="268" xr:uid="{00000000-0005-0000-0000-000041010000}"/>
    <cellStyle name="40% - Accent3 7" xfId="269" xr:uid="{00000000-0005-0000-0000-000042010000}"/>
    <cellStyle name="40% - Accent3 7 2" xfId="270" xr:uid="{00000000-0005-0000-0000-000043010000}"/>
    <cellStyle name="40% - Accent3 7 3" xfId="271" xr:uid="{00000000-0005-0000-0000-000044010000}"/>
    <cellStyle name="40% - Accent3 7_10-15-10-Stmt AU - Period I - Working 1 0" xfId="272" xr:uid="{00000000-0005-0000-0000-000045010000}"/>
    <cellStyle name="40% - Accent3 8" xfId="273" xr:uid="{00000000-0005-0000-0000-000046010000}"/>
    <cellStyle name="40% - Accent3 9" xfId="274" xr:uid="{00000000-0005-0000-0000-000047010000}"/>
    <cellStyle name="40% - Accent4" xfId="735" builtinId="43" customBuiltin="1"/>
    <cellStyle name="40% - Accent4 10" xfId="275" xr:uid="{00000000-0005-0000-0000-000049010000}"/>
    <cellStyle name="40% - Accent4 11" xfId="276" xr:uid="{00000000-0005-0000-0000-00004A010000}"/>
    <cellStyle name="40% - Accent4 12" xfId="277" xr:uid="{00000000-0005-0000-0000-00004B010000}"/>
    <cellStyle name="40% - Accent4 13" xfId="278" xr:uid="{00000000-0005-0000-0000-00004C010000}"/>
    <cellStyle name="40% - Accent4 14" xfId="797" xr:uid="{00000000-0005-0000-0000-00004D010000}"/>
    <cellStyle name="40% - Accent4 14 2" xfId="949" xr:uid="{00000000-0005-0000-0000-00004E010000}"/>
    <cellStyle name="40% - Accent4 14 3" xfId="1077" xr:uid="{00000000-0005-0000-0000-00004F010000}"/>
    <cellStyle name="40% - Accent4 15" xfId="908" xr:uid="{00000000-0005-0000-0000-000050010000}"/>
    <cellStyle name="40% - Accent4 16" xfId="1036" xr:uid="{00000000-0005-0000-0000-000051010000}"/>
    <cellStyle name="40% - Accent4 2" xfId="279" xr:uid="{00000000-0005-0000-0000-000052010000}"/>
    <cellStyle name="40% - Accent4 2 2" xfId="280" xr:uid="{00000000-0005-0000-0000-000053010000}"/>
    <cellStyle name="40% - Accent4 2 3" xfId="281" xr:uid="{00000000-0005-0000-0000-000054010000}"/>
    <cellStyle name="40% - Accent4 2_10-15-10-Stmt AU - Period I - Working 1 0" xfId="282" xr:uid="{00000000-0005-0000-0000-000055010000}"/>
    <cellStyle name="40% - Accent4 3" xfId="283" xr:uid="{00000000-0005-0000-0000-000056010000}"/>
    <cellStyle name="40% - Accent4 3 2" xfId="284" xr:uid="{00000000-0005-0000-0000-000057010000}"/>
    <cellStyle name="40% - Accent4 3 3" xfId="285" xr:uid="{00000000-0005-0000-0000-000058010000}"/>
    <cellStyle name="40% - Accent4 3_10-15-10-Stmt AU - Period I - Working 1 0" xfId="286" xr:uid="{00000000-0005-0000-0000-000059010000}"/>
    <cellStyle name="40% - Accent4 4" xfId="287" xr:uid="{00000000-0005-0000-0000-00005A010000}"/>
    <cellStyle name="40% - Accent4 4 2" xfId="288" xr:uid="{00000000-0005-0000-0000-00005B010000}"/>
    <cellStyle name="40% - Accent4 4 3" xfId="289" xr:uid="{00000000-0005-0000-0000-00005C010000}"/>
    <cellStyle name="40% - Accent4 4_10-15-10-Stmt AU - Period I - Working 1 0" xfId="290" xr:uid="{00000000-0005-0000-0000-00005D010000}"/>
    <cellStyle name="40% - Accent4 5" xfId="291" xr:uid="{00000000-0005-0000-0000-00005E010000}"/>
    <cellStyle name="40% - Accent4 5 2" xfId="292" xr:uid="{00000000-0005-0000-0000-00005F010000}"/>
    <cellStyle name="40% - Accent4 5 3" xfId="293" xr:uid="{00000000-0005-0000-0000-000060010000}"/>
    <cellStyle name="40% - Accent4 5_10-15-10-Stmt AU - Period I - Working 1 0" xfId="294" xr:uid="{00000000-0005-0000-0000-000061010000}"/>
    <cellStyle name="40% - Accent4 6" xfId="295" xr:uid="{00000000-0005-0000-0000-000062010000}"/>
    <cellStyle name="40% - Accent4 6 2" xfId="296" xr:uid="{00000000-0005-0000-0000-000063010000}"/>
    <cellStyle name="40% - Accent4 6 3" xfId="297" xr:uid="{00000000-0005-0000-0000-000064010000}"/>
    <cellStyle name="40% - Accent4 6_10-15-10-Stmt AU - Period I - Working 1 0" xfId="298" xr:uid="{00000000-0005-0000-0000-000065010000}"/>
    <cellStyle name="40% - Accent4 7" xfId="299" xr:uid="{00000000-0005-0000-0000-000066010000}"/>
    <cellStyle name="40% - Accent4 7 2" xfId="300" xr:uid="{00000000-0005-0000-0000-000067010000}"/>
    <cellStyle name="40% - Accent4 7 3" xfId="301" xr:uid="{00000000-0005-0000-0000-000068010000}"/>
    <cellStyle name="40% - Accent4 7_10-15-10-Stmt AU - Period I - Working 1 0" xfId="302" xr:uid="{00000000-0005-0000-0000-000069010000}"/>
    <cellStyle name="40% - Accent4 8" xfId="303" xr:uid="{00000000-0005-0000-0000-00006A010000}"/>
    <cellStyle name="40% - Accent4 9" xfId="304" xr:uid="{00000000-0005-0000-0000-00006B010000}"/>
    <cellStyle name="40% - Accent5" xfId="739" builtinId="47" customBuiltin="1"/>
    <cellStyle name="40% - Accent5 10" xfId="305" xr:uid="{00000000-0005-0000-0000-00006D010000}"/>
    <cellStyle name="40% - Accent5 11" xfId="306" xr:uid="{00000000-0005-0000-0000-00006E010000}"/>
    <cellStyle name="40% - Accent5 12" xfId="307" xr:uid="{00000000-0005-0000-0000-00006F010000}"/>
    <cellStyle name="40% - Accent5 13" xfId="308" xr:uid="{00000000-0005-0000-0000-000070010000}"/>
    <cellStyle name="40% - Accent5 14" xfId="798" xr:uid="{00000000-0005-0000-0000-000071010000}"/>
    <cellStyle name="40% - Accent5 14 2" xfId="950" xr:uid="{00000000-0005-0000-0000-000072010000}"/>
    <cellStyle name="40% - Accent5 14 3" xfId="1078" xr:uid="{00000000-0005-0000-0000-000073010000}"/>
    <cellStyle name="40% - Accent5 15" xfId="910" xr:uid="{00000000-0005-0000-0000-000074010000}"/>
    <cellStyle name="40% - Accent5 16" xfId="1038" xr:uid="{00000000-0005-0000-0000-000075010000}"/>
    <cellStyle name="40% - Accent5 2" xfId="309" xr:uid="{00000000-0005-0000-0000-000076010000}"/>
    <cellStyle name="40% - Accent5 2 2" xfId="310" xr:uid="{00000000-0005-0000-0000-000077010000}"/>
    <cellStyle name="40% - Accent5 2 3" xfId="311" xr:uid="{00000000-0005-0000-0000-000078010000}"/>
    <cellStyle name="40% - Accent5 2_10-15-10-Stmt AU - Period I - Working 1 0" xfId="312" xr:uid="{00000000-0005-0000-0000-000079010000}"/>
    <cellStyle name="40% - Accent5 3" xfId="313" xr:uid="{00000000-0005-0000-0000-00007A010000}"/>
    <cellStyle name="40% - Accent5 3 2" xfId="314" xr:uid="{00000000-0005-0000-0000-00007B010000}"/>
    <cellStyle name="40% - Accent5 3 3" xfId="315" xr:uid="{00000000-0005-0000-0000-00007C010000}"/>
    <cellStyle name="40% - Accent5 3_10-15-10-Stmt AU - Period I - Working 1 0" xfId="316" xr:uid="{00000000-0005-0000-0000-00007D010000}"/>
    <cellStyle name="40% - Accent5 4" xfId="317" xr:uid="{00000000-0005-0000-0000-00007E010000}"/>
    <cellStyle name="40% - Accent5 4 2" xfId="318" xr:uid="{00000000-0005-0000-0000-00007F010000}"/>
    <cellStyle name="40% - Accent5 4 3" xfId="319" xr:uid="{00000000-0005-0000-0000-000080010000}"/>
    <cellStyle name="40% - Accent5 4_10-15-10-Stmt AU - Period I - Working 1 0" xfId="320" xr:uid="{00000000-0005-0000-0000-000081010000}"/>
    <cellStyle name="40% - Accent5 5" xfId="321" xr:uid="{00000000-0005-0000-0000-000082010000}"/>
    <cellStyle name="40% - Accent5 5 2" xfId="322" xr:uid="{00000000-0005-0000-0000-000083010000}"/>
    <cellStyle name="40% - Accent5 5 3" xfId="323" xr:uid="{00000000-0005-0000-0000-000084010000}"/>
    <cellStyle name="40% - Accent5 5_10-15-10-Stmt AU - Period I - Working 1 0" xfId="324" xr:uid="{00000000-0005-0000-0000-000085010000}"/>
    <cellStyle name="40% - Accent5 6" xfId="325" xr:uid="{00000000-0005-0000-0000-000086010000}"/>
    <cellStyle name="40% - Accent5 6 2" xfId="326" xr:uid="{00000000-0005-0000-0000-000087010000}"/>
    <cellStyle name="40% - Accent5 6 3" xfId="327" xr:uid="{00000000-0005-0000-0000-000088010000}"/>
    <cellStyle name="40% - Accent5 6_10-15-10-Stmt AU - Period I - Working 1 0" xfId="328" xr:uid="{00000000-0005-0000-0000-000089010000}"/>
    <cellStyle name="40% - Accent5 7" xfId="329" xr:uid="{00000000-0005-0000-0000-00008A010000}"/>
    <cellStyle name="40% - Accent5 7 2" xfId="330" xr:uid="{00000000-0005-0000-0000-00008B010000}"/>
    <cellStyle name="40% - Accent5 7 3" xfId="331" xr:uid="{00000000-0005-0000-0000-00008C010000}"/>
    <cellStyle name="40% - Accent5 7_10-15-10-Stmt AU - Period I - Working 1 0" xfId="332" xr:uid="{00000000-0005-0000-0000-00008D010000}"/>
    <cellStyle name="40% - Accent5 8" xfId="333" xr:uid="{00000000-0005-0000-0000-00008E010000}"/>
    <cellStyle name="40% - Accent5 9" xfId="334" xr:uid="{00000000-0005-0000-0000-00008F010000}"/>
    <cellStyle name="40% - Accent6" xfId="743" builtinId="51" customBuiltin="1"/>
    <cellStyle name="40% - Accent6 10" xfId="335" xr:uid="{00000000-0005-0000-0000-000091010000}"/>
    <cellStyle name="40% - Accent6 11" xfId="336" xr:uid="{00000000-0005-0000-0000-000092010000}"/>
    <cellStyle name="40% - Accent6 12" xfId="337" xr:uid="{00000000-0005-0000-0000-000093010000}"/>
    <cellStyle name="40% - Accent6 13" xfId="338" xr:uid="{00000000-0005-0000-0000-000094010000}"/>
    <cellStyle name="40% - Accent6 14" xfId="799" xr:uid="{00000000-0005-0000-0000-000095010000}"/>
    <cellStyle name="40% - Accent6 14 2" xfId="951" xr:uid="{00000000-0005-0000-0000-000096010000}"/>
    <cellStyle name="40% - Accent6 14 3" xfId="1079" xr:uid="{00000000-0005-0000-0000-000097010000}"/>
    <cellStyle name="40% - Accent6 15" xfId="912" xr:uid="{00000000-0005-0000-0000-000098010000}"/>
    <cellStyle name="40% - Accent6 16" xfId="1040" xr:uid="{00000000-0005-0000-0000-000099010000}"/>
    <cellStyle name="40% - Accent6 2" xfId="339" xr:uid="{00000000-0005-0000-0000-00009A010000}"/>
    <cellStyle name="40% - Accent6 2 2" xfId="340" xr:uid="{00000000-0005-0000-0000-00009B010000}"/>
    <cellStyle name="40% - Accent6 2 3" xfId="341" xr:uid="{00000000-0005-0000-0000-00009C010000}"/>
    <cellStyle name="40% - Accent6 2_10-15-10-Stmt AU - Period I - Working 1 0" xfId="342" xr:uid="{00000000-0005-0000-0000-00009D010000}"/>
    <cellStyle name="40% - Accent6 3" xfId="343" xr:uid="{00000000-0005-0000-0000-00009E010000}"/>
    <cellStyle name="40% - Accent6 3 2" xfId="344" xr:uid="{00000000-0005-0000-0000-00009F010000}"/>
    <cellStyle name="40% - Accent6 3 3" xfId="345" xr:uid="{00000000-0005-0000-0000-0000A0010000}"/>
    <cellStyle name="40% - Accent6 3_10-15-10-Stmt AU - Period I - Working 1 0" xfId="346" xr:uid="{00000000-0005-0000-0000-0000A1010000}"/>
    <cellStyle name="40% - Accent6 4" xfId="347" xr:uid="{00000000-0005-0000-0000-0000A2010000}"/>
    <cellStyle name="40% - Accent6 4 2" xfId="348" xr:uid="{00000000-0005-0000-0000-0000A3010000}"/>
    <cellStyle name="40% - Accent6 4 3" xfId="349" xr:uid="{00000000-0005-0000-0000-0000A4010000}"/>
    <cellStyle name="40% - Accent6 4_10-15-10-Stmt AU - Period I - Working 1 0" xfId="350" xr:uid="{00000000-0005-0000-0000-0000A5010000}"/>
    <cellStyle name="40% - Accent6 5" xfId="351" xr:uid="{00000000-0005-0000-0000-0000A6010000}"/>
    <cellStyle name="40% - Accent6 5 2" xfId="352" xr:uid="{00000000-0005-0000-0000-0000A7010000}"/>
    <cellStyle name="40% - Accent6 5 3" xfId="353" xr:uid="{00000000-0005-0000-0000-0000A8010000}"/>
    <cellStyle name="40% - Accent6 5_10-15-10-Stmt AU - Period I - Working 1 0" xfId="354" xr:uid="{00000000-0005-0000-0000-0000A9010000}"/>
    <cellStyle name="40% - Accent6 6" xfId="355" xr:uid="{00000000-0005-0000-0000-0000AA010000}"/>
    <cellStyle name="40% - Accent6 6 2" xfId="356" xr:uid="{00000000-0005-0000-0000-0000AB010000}"/>
    <cellStyle name="40% - Accent6 6 3" xfId="357" xr:uid="{00000000-0005-0000-0000-0000AC010000}"/>
    <cellStyle name="40% - Accent6 6_10-15-10-Stmt AU - Period I - Working 1 0" xfId="358" xr:uid="{00000000-0005-0000-0000-0000AD010000}"/>
    <cellStyle name="40% - Accent6 7" xfId="359" xr:uid="{00000000-0005-0000-0000-0000AE010000}"/>
    <cellStyle name="40% - Accent6 7 2" xfId="360" xr:uid="{00000000-0005-0000-0000-0000AF010000}"/>
    <cellStyle name="40% - Accent6 7 3" xfId="361" xr:uid="{00000000-0005-0000-0000-0000B0010000}"/>
    <cellStyle name="40% - Accent6 7_10-15-10-Stmt AU - Period I - Working 1 0" xfId="362" xr:uid="{00000000-0005-0000-0000-0000B1010000}"/>
    <cellStyle name="40% - Accent6 8" xfId="363" xr:uid="{00000000-0005-0000-0000-0000B2010000}"/>
    <cellStyle name="40% - Accent6 9" xfId="364" xr:uid="{00000000-0005-0000-0000-0000B3010000}"/>
    <cellStyle name="60% - Accent1" xfId="724" builtinId="32" customBuiltin="1"/>
    <cellStyle name="60% - Accent1 2" xfId="365" xr:uid="{00000000-0005-0000-0000-0000B5010000}"/>
    <cellStyle name="60% - Accent2" xfId="728" builtinId="36" customBuiltin="1"/>
    <cellStyle name="60% - Accent2 2" xfId="366" xr:uid="{00000000-0005-0000-0000-0000B7010000}"/>
    <cellStyle name="60% - Accent3" xfId="732" builtinId="40" customBuiltin="1"/>
    <cellStyle name="60% - Accent3 2" xfId="367" xr:uid="{00000000-0005-0000-0000-0000B9010000}"/>
    <cellStyle name="60% - Accent4" xfId="736" builtinId="44" customBuiltin="1"/>
    <cellStyle name="60% - Accent4 2" xfId="368" xr:uid="{00000000-0005-0000-0000-0000BB010000}"/>
    <cellStyle name="60% - Accent5" xfId="740" builtinId="48" customBuiltin="1"/>
    <cellStyle name="60% - Accent5 2" xfId="369" xr:uid="{00000000-0005-0000-0000-0000BD010000}"/>
    <cellStyle name="60% - Accent6" xfId="744" builtinId="52" customBuiltin="1"/>
    <cellStyle name="60% - Accent6 2" xfId="370" xr:uid="{00000000-0005-0000-0000-0000BF010000}"/>
    <cellStyle name="Accent1" xfId="721" builtinId="29" customBuiltin="1"/>
    <cellStyle name="Accent1 2" xfId="371" xr:uid="{00000000-0005-0000-0000-0000C1010000}"/>
    <cellStyle name="Accent2" xfId="725" builtinId="33" customBuiltin="1"/>
    <cellStyle name="Accent2 2" xfId="372" xr:uid="{00000000-0005-0000-0000-0000C3010000}"/>
    <cellStyle name="Accent3" xfId="729" builtinId="37" customBuiltin="1"/>
    <cellStyle name="Accent3 2" xfId="373" xr:uid="{00000000-0005-0000-0000-0000C5010000}"/>
    <cellStyle name="Accent4" xfId="733" builtinId="41" customBuiltin="1"/>
    <cellStyle name="Accent4 2" xfId="374" xr:uid="{00000000-0005-0000-0000-0000C7010000}"/>
    <cellStyle name="Accent5" xfId="737" builtinId="45" customBuiltin="1"/>
    <cellStyle name="Accent5 2" xfId="375" xr:uid="{00000000-0005-0000-0000-0000C9010000}"/>
    <cellStyle name="Accent6" xfId="741" builtinId="49" customBuiltin="1"/>
    <cellStyle name="Accent6 2" xfId="376" xr:uid="{00000000-0005-0000-0000-0000CB010000}"/>
    <cellStyle name="Bad" xfId="711" builtinId="27" customBuiltin="1"/>
    <cellStyle name="Bad 2" xfId="377" xr:uid="{00000000-0005-0000-0000-0000CD010000}"/>
    <cellStyle name="Calculation" xfId="715" builtinId="22" customBuiltin="1"/>
    <cellStyle name="Calculation 2" xfId="378" xr:uid="{00000000-0005-0000-0000-0000CF010000}"/>
    <cellStyle name="Check Cell" xfId="717" builtinId="23" customBuiltin="1"/>
    <cellStyle name="Check Cell 2" xfId="379" xr:uid="{00000000-0005-0000-0000-0000D1010000}"/>
    <cellStyle name="Column.Head" xfId="380" xr:uid="{00000000-0005-0000-0000-0000D2010000}"/>
    <cellStyle name="Comma" xfId="381" builtinId="3"/>
    <cellStyle name="Comma [0] 2" xfId="1158" xr:uid="{00000000-0005-0000-0000-0000D4010000}"/>
    <cellStyle name="Comma 10" xfId="382" xr:uid="{00000000-0005-0000-0000-0000D5010000}"/>
    <cellStyle name="Comma 10 2" xfId="383" xr:uid="{00000000-0005-0000-0000-0000D6010000}"/>
    <cellStyle name="Comma 109" xfId="1157" xr:uid="{00000000-0005-0000-0000-0000D7010000}"/>
    <cellStyle name="Comma 11" xfId="384" xr:uid="{00000000-0005-0000-0000-0000D8010000}"/>
    <cellStyle name="Comma 11 2" xfId="385" xr:uid="{00000000-0005-0000-0000-0000D9010000}"/>
    <cellStyle name="Comma 12" xfId="386" xr:uid="{00000000-0005-0000-0000-0000DA010000}"/>
    <cellStyle name="Comma 12 2" xfId="387" xr:uid="{00000000-0005-0000-0000-0000DB010000}"/>
    <cellStyle name="Comma 13" xfId="388" xr:uid="{00000000-0005-0000-0000-0000DC010000}"/>
    <cellStyle name="Comma 13 2" xfId="389" xr:uid="{00000000-0005-0000-0000-0000DD010000}"/>
    <cellStyle name="Comma 14" xfId="747" xr:uid="{00000000-0005-0000-0000-0000DE010000}"/>
    <cellStyle name="Comma 15" xfId="746" xr:uid="{00000000-0005-0000-0000-0000DF010000}"/>
    <cellStyle name="Comma 15 2" xfId="868" xr:uid="{00000000-0005-0000-0000-0000E0010000}"/>
    <cellStyle name="Comma 15 2 2" xfId="997" xr:uid="{00000000-0005-0000-0000-0000E1010000}"/>
    <cellStyle name="Comma 15 2 3" xfId="1125" xr:uid="{00000000-0005-0000-0000-0000E2010000}"/>
    <cellStyle name="Comma 15 3" xfId="914" xr:uid="{00000000-0005-0000-0000-0000E3010000}"/>
    <cellStyle name="Comma 15 4" xfId="1042" xr:uid="{00000000-0005-0000-0000-0000E4010000}"/>
    <cellStyle name="Comma 16" xfId="802" xr:uid="{00000000-0005-0000-0000-0000E5010000}"/>
    <cellStyle name="Comma 16 2" xfId="954" xr:uid="{00000000-0005-0000-0000-0000E6010000}"/>
    <cellStyle name="Comma 16 3" xfId="1082" xr:uid="{00000000-0005-0000-0000-0000E7010000}"/>
    <cellStyle name="Comma 17" xfId="845" xr:uid="{00000000-0005-0000-0000-0000E8010000}"/>
    <cellStyle name="Comma 18" xfId="857" xr:uid="{00000000-0005-0000-0000-0000E9010000}"/>
    <cellStyle name="Comma 19" xfId="840" xr:uid="{00000000-0005-0000-0000-0000EA010000}"/>
    <cellStyle name="Comma 2" xfId="390" xr:uid="{00000000-0005-0000-0000-0000EB010000}"/>
    <cellStyle name="Comma 2 2" xfId="391" xr:uid="{00000000-0005-0000-0000-0000EC010000}"/>
    <cellStyle name="Comma 2 2 2" xfId="392" xr:uid="{00000000-0005-0000-0000-0000ED010000}"/>
    <cellStyle name="Comma 2 3" xfId="393" xr:uid="{00000000-0005-0000-0000-0000EE010000}"/>
    <cellStyle name="Comma 2 4" xfId="394" xr:uid="{00000000-0005-0000-0000-0000EF010000}"/>
    <cellStyle name="Comma 3" xfId="395" xr:uid="{00000000-0005-0000-0000-0000F0010000}"/>
    <cellStyle name="Comma 3 2" xfId="396" xr:uid="{00000000-0005-0000-0000-0000F1010000}"/>
    <cellStyle name="Comma 3 3" xfId="397" xr:uid="{00000000-0005-0000-0000-0000F2010000}"/>
    <cellStyle name="Comma 3 4" xfId="398" xr:uid="{00000000-0005-0000-0000-0000F3010000}"/>
    <cellStyle name="Comma 3 5" xfId="774" xr:uid="{00000000-0005-0000-0000-0000F4010000}"/>
    <cellStyle name="Comma 3 5 2" xfId="881" xr:uid="{00000000-0005-0000-0000-0000F5010000}"/>
    <cellStyle name="Comma 3 5 2 2" xfId="1010" xr:uid="{00000000-0005-0000-0000-0000F6010000}"/>
    <cellStyle name="Comma 3 5 2 3" xfId="1138" xr:uid="{00000000-0005-0000-0000-0000F7010000}"/>
    <cellStyle name="Comma 3 5 3" xfId="926" xr:uid="{00000000-0005-0000-0000-0000F8010000}"/>
    <cellStyle name="Comma 3 5 4" xfId="1054" xr:uid="{00000000-0005-0000-0000-0000F9010000}"/>
    <cellStyle name="Comma 3 6" xfId="803" xr:uid="{00000000-0005-0000-0000-0000FA010000}"/>
    <cellStyle name="Comma 3 6 2" xfId="955" xr:uid="{00000000-0005-0000-0000-0000FB010000}"/>
    <cellStyle name="Comma 3 6 3" xfId="1083" xr:uid="{00000000-0005-0000-0000-0000FC010000}"/>
    <cellStyle name="Comma 4" xfId="399" xr:uid="{00000000-0005-0000-0000-0000FD010000}"/>
    <cellStyle name="Comma 4 2" xfId="400" xr:uid="{00000000-0005-0000-0000-0000FE010000}"/>
    <cellStyle name="Comma 4 2 2" xfId="401" xr:uid="{00000000-0005-0000-0000-0000FF010000}"/>
    <cellStyle name="Comma 4 3" xfId="402" xr:uid="{00000000-0005-0000-0000-000000020000}"/>
    <cellStyle name="Comma 5" xfId="403" xr:uid="{00000000-0005-0000-0000-000001020000}"/>
    <cellStyle name="Comma 5 2" xfId="404" xr:uid="{00000000-0005-0000-0000-000002020000}"/>
    <cellStyle name="Comma 5 2 2" xfId="405" xr:uid="{00000000-0005-0000-0000-000003020000}"/>
    <cellStyle name="Comma 5 3" xfId="406" xr:uid="{00000000-0005-0000-0000-000004020000}"/>
    <cellStyle name="Comma 6" xfId="407" xr:uid="{00000000-0005-0000-0000-000005020000}"/>
    <cellStyle name="Comma 6 2" xfId="408" xr:uid="{00000000-0005-0000-0000-000006020000}"/>
    <cellStyle name="Comma 6 2 2" xfId="409" xr:uid="{00000000-0005-0000-0000-000007020000}"/>
    <cellStyle name="Comma 6 3" xfId="410" xr:uid="{00000000-0005-0000-0000-000008020000}"/>
    <cellStyle name="Comma 7" xfId="411" xr:uid="{00000000-0005-0000-0000-000009020000}"/>
    <cellStyle name="Comma 7 2" xfId="412" xr:uid="{00000000-0005-0000-0000-00000A020000}"/>
    <cellStyle name="Comma 7 3" xfId="748" xr:uid="{00000000-0005-0000-0000-00000B020000}"/>
    <cellStyle name="Comma 8" xfId="413" xr:uid="{00000000-0005-0000-0000-00000C020000}"/>
    <cellStyle name="Comma 8 2" xfId="414" xr:uid="{00000000-0005-0000-0000-00000D020000}"/>
    <cellStyle name="Comma 8 3" xfId="749" xr:uid="{00000000-0005-0000-0000-00000E020000}"/>
    <cellStyle name="Comma 9" xfId="415" xr:uid="{00000000-0005-0000-0000-00000F020000}"/>
    <cellStyle name="Comma 9 2" xfId="416" xr:uid="{00000000-0005-0000-0000-000010020000}"/>
    <cellStyle name="Comma0" xfId="417" xr:uid="{00000000-0005-0000-0000-000011020000}"/>
    <cellStyle name="Config Data" xfId="418" xr:uid="{00000000-0005-0000-0000-000012020000}"/>
    <cellStyle name="cost_per_kw" xfId="419" xr:uid="{00000000-0005-0000-0000-000013020000}"/>
    <cellStyle name="Currency" xfId="420" builtinId="4"/>
    <cellStyle name="Currency 2" xfId="421" xr:uid="{00000000-0005-0000-0000-000015020000}"/>
    <cellStyle name="Currency 2 2" xfId="422" xr:uid="{00000000-0005-0000-0000-000016020000}"/>
    <cellStyle name="Currency 3" xfId="423" xr:uid="{00000000-0005-0000-0000-000017020000}"/>
    <cellStyle name="Currency 3 2" xfId="424" xr:uid="{00000000-0005-0000-0000-000018020000}"/>
    <cellStyle name="Currency 3 3" xfId="772" xr:uid="{00000000-0005-0000-0000-000019020000}"/>
    <cellStyle name="Currency 3 3 2" xfId="879" xr:uid="{00000000-0005-0000-0000-00001A020000}"/>
    <cellStyle name="Currency 3 3 2 2" xfId="1008" xr:uid="{00000000-0005-0000-0000-00001B020000}"/>
    <cellStyle name="Currency 3 3 2 3" xfId="1136" xr:uid="{00000000-0005-0000-0000-00001C020000}"/>
    <cellStyle name="Currency 3 3 3" xfId="924" xr:uid="{00000000-0005-0000-0000-00001D020000}"/>
    <cellStyle name="Currency 3 3 4" xfId="1052" xr:uid="{00000000-0005-0000-0000-00001E020000}"/>
    <cellStyle name="Currency 3 4" xfId="805" xr:uid="{00000000-0005-0000-0000-00001F020000}"/>
    <cellStyle name="Currency 3 4 2" xfId="957" xr:uid="{00000000-0005-0000-0000-000020020000}"/>
    <cellStyle name="Currency 3 4 3" xfId="1085" xr:uid="{00000000-0005-0000-0000-000021020000}"/>
    <cellStyle name="Currency 4" xfId="425" xr:uid="{00000000-0005-0000-0000-000022020000}"/>
    <cellStyle name="Currency 4 2" xfId="751" xr:uid="{00000000-0005-0000-0000-000023020000}"/>
    <cellStyle name="Currency 5" xfId="750" xr:uid="{00000000-0005-0000-0000-000024020000}"/>
    <cellStyle name="Currency 6" xfId="773" xr:uid="{00000000-0005-0000-0000-000025020000}"/>
    <cellStyle name="Currency 6 2" xfId="880" xr:uid="{00000000-0005-0000-0000-000026020000}"/>
    <cellStyle name="Currency 6 2 2" xfId="1009" xr:uid="{00000000-0005-0000-0000-000027020000}"/>
    <cellStyle name="Currency 6 2 3" xfId="1137" xr:uid="{00000000-0005-0000-0000-000028020000}"/>
    <cellStyle name="Currency 6 3" xfId="925" xr:uid="{00000000-0005-0000-0000-000029020000}"/>
    <cellStyle name="Currency 6 4" xfId="1053" xr:uid="{00000000-0005-0000-0000-00002A020000}"/>
    <cellStyle name="Currency 7" xfId="804" xr:uid="{00000000-0005-0000-0000-00002B020000}"/>
    <cellStyle name="Currency 7 2" xfId="956" xr:uid="{00000000-0005-0000-0000-00002C020000}"/>
    <cellStyle name="Currency 7 3" xfId="1084" xr:uid="{00000000-0005-0000-0000-00002D020000}"/>
    <cellStyle name="Currency 8" xfId="846" xr:uid="{00000000-0005-0000-0000-00002E020000}"/>
    <cellStyle name="Currency 9" xfId="843" xr:uid="{00000000-0005-0000-0000-00002F020000}"/>
    <cellStyle name="Currency0" xfId="426" xr:uid="{00000000-0005-0000-0000-000030020000}"/>
    <cellStyle name="Date" xfId="427" xr:uid="{00000000-0005-0000-0000-000031020000}"/>
    <cellStyle name="Explanatory Text" xfId="719" builtinId="53" customBuiltin="1"/>
    <cellStyle name="Explanatory Text 2" xfId="428" xr:uid="{00000000-0005-0000-0000-000033020000}"/>
    <cellStyle name="Fixed" xfId="429" xr:uid="{00000000-0005-0000-0000-000034020000}"/>
    <cellStyle name="Good" xfId="710" builtinId="26" customBuiltin="1"/>
    <cellStyle name="Good 2" xfId="430" xr:uid="{00000000-0005-0000-0000-000036020000}"/>
    <cellStyle name="Heading 1" xfId="706" builtinId="16" customBuiltin="1"/>
    <cellStyle name="Heading 1 2" xfId="431" xr:uid="{00000000-0005-0000-0000-000038020000}"/>
    <cellStyle name="Heading 2" xfId="707" builtinId="17" customBuiltin="1"/>
    <cellStyle name="Heading 2 2" xfId="432" xr:uid="{00000000-0005-0000-0000-00003A020000}"/>
    <cellStyle name="Heading 3" xfId="708" builtinId="18" customBuiltin="1"/>
    <cellStyle name="Heading 3 2" xfId="433" xr:uid="{00000000-0005-0000-0000-00003C020000}"/>
    <cellStyle name="Heading 4" xfId="709" builtinId="19" customBuiltin="1"/>
    <cellStyle name="Heading 4 2" xfId="434" xr:uid="{00000000-0005-0000-0000-00003E020000}"/>
    <cellStyle name="Hyperlink 2" xfId="435" xr:uid="{00000000-0005-0000-0000-00003F020000}"/>
    <cellStyle name="Hyperlink 3" xfId="436" xr:uid="{00000000-0005-0000-0000-000040020000}"/>
    <cellStyle name="Hyperlink 4" xfId="437" xr:uid="{00000000-0005-0000-0000-000041020000}"/>
    <cellStyle name="Hyperlink 5" xfId="438" xr:uid="{00000000-0005-0000-0000-000042020000}"/>
    <cellStyle name="Hyperlink 6" xfId="439" xr:uid="{00000000-0005-0000-0000-000043020000}"/>
    <cellStyle name="Input" xfId="713" builtinId="20" customBuiltin="1"/>
    <cellStyle name="Input 2" xfId="440" xr:uid="{00000000-0005-0000-0000-000045020000}"/>
    <cellStyle name="kwh_centered" xfId="441" xr:uid="{00000000-0005-0000-0000-000046020000}"/>
    <cellStyle name="Linked Cell" xfId="716" builtinId="24" customBuiltin="1"/>
    <cellStyle name="Linked Cell 2" xfId="442" xr:uid="{00000000-0005-0000-0000-000048020000}"/>
    <cellStyle name="Neutral" xfId="712" builtinId="28" customBuiltin="1"/>
    <cellStyle name="Neutral 2" xfId="443" xr:uid="{00000000-0005-0000-0000-00004A020000}"/>
    <cellStyle name="Normal" xfId="0" builtinId="0"/>
    <cellStyle name="Normal 10" xfId="444" xr:uid="{00000000-0005-0000-0000-00004C020000}"/>
    <cellStyle name="Normal 10 2" xfId="445" xr:uid="{00000000-0005-0000-0000-00004D020000}"/>
    <cellStyle name="Normal 10 2 2" xfId="446" xr:uid="{00000000-0005-0000-0000-00004E020000}"/>
    <cellStyle name="Normal 10 3" xfId="447" xr:uid="{00000000-0005-0000-0000-00004F020000}"/>
    <cellStyle name="Normal 10 4" xfId="752" xr:uid="{00000000-0005-0000-0000-000050020000}"/>
    <cellStyle name="Normal 10_10-15-10-Stmt AU - Period I - Working 1 0" xfId="448" xr:uid="{00000000-0005-0000-0000-000051020000}"/>
    <cellStyle name="Normal 11" xfId="449" xr:uid="{00000000-0005-0000-0000-000052020000}"/>
    <cellStyle name="Normal 11 2" xfId="450" xr:uid="{00000000-0005-0000-0000-000053020000}"/>
    <cellStyle name="Normal 11 3" xfId="753" xr:uid="{00000000-0005-0000-0000-000054020000}"/>
    <cellStyle name="Normal 11_3 - Revenue Credits" xfId="451" xr:uid="{00000000-0005-0000-0000-000055020000}"/>
    <cellStyle name="Normal 12" xfId="452" xr:uid="{00000000-0005-0000-0000-000056020000}"/>
    <cellStyle name="Normal 12 2" xfId="453" xr:uid="{00000000-0005-0000-0000-000057020000}"/>
    <cellStyle name="Normal 12 2 2" xfId="454" xr:uid="{00000000-0005-0000-0000-000058020000}"/>
    <cellStyle name="Normal 12 3" xfId="455" xr:uid="{00000000-0005-0000-0000-000059020000}"/>
    <cellStyle name="Normal 12_3 - Revenue Credits" xfId="456" xr:uid="{00000000-0005-0000-0000-00005A020000}"/>
    <cellStyle name="Normal 13" xfId="457" xr:uid="{00000000-0005-0000-0000-00005B020000}"/>
    <cellStyle name="Normal 13 2" xfId="458" xr:uid="{00000000-0005-0000-0000-00005C020000}"/>
    <cellStyle name="Normal 13 2 2" xfId="459" xr:uid="{00000000-0005-0000-0000-00005D020000}"/>
    <cellStyle name="Normal 13 2 3" xfId="755" xr:uid="{00000000-0005-0000-0000-00005E020000}"/>
    <cellStyle name="Normal 13 2_3 - Revenue Credits" xfId="460" xr:uid="{00000000-0005-0000-0000-00005F020000}"/>
    <cellStyle name="Normal 13 3" xfId="461" xr:uid="{00000000-0005-0000-0000-000060020000}"/>
    <cellStyle name="Normal 13 4" xfId="754" xr:uid="{00000000-0005-0000-0000-000061020000}"/>
    <cellStyle name="Normal 13_3 - Revenue Credits" xfId="462" xr:uid="{00000000-0005-0000-0000-000062020000}"/>
    <cellStyle name="Normal 14" xfId="463" xr:uid="{00000000-0005-0000-0000-000063020000}"/>
    <cellStyle name="Normal 15" xfId="464" xr:uid="{00000000-0005-0000-0000-000064020000}"/>
    <cellStyle name="Normal 16" xfId="745" xr:uid="{00000000-0005-0000-0000-000065020000}"/>
    <cellStyle name="Normal 16 2" xfId="867" xr:uid="{00000000-0005-0000-0000-000066020000}"/>
    <cellStyle name="Normal 16 2 2" xfId="996" xr:uid="{00000000-0005-0000-0000-000067020000}"/>
    <cellStyle name="Normal 16 2 3" xfId="1124" xr:uid="{00000000-0005-0000-0000-000068020000}"/>
    <cellStyle name="Normal 16 3" xfId="913" xr:uid="{00000000-0005-0000-0000-000069020000}"/>
    <cellStyle name="Normal 16 4" xfId="1041" xr:uid="{00000000-0005-0000-0000-00006A020000}"/>
    <cellStyle name="Normal 17" xfId="777" xr:uid="{00000000-0005-0000-0000-00006B020000}"/>
    <cellStyle name="Normal 17 2" xfId="884" xr:uid="{00000000-0005-0000-0000-00006C020000}"/>
    <cellStyle name="Normal 17 2 2" xfId="1013" xr:uid="{00000000-0005-0000-0000-00006D020000}"/>
    <cellStyle name="Normal 17 2 3" xfId="1141" xr:uid="{00000000-0005-0000-0000-00006E020000}"/>
    <cellStyle name="Normal 17 3" xfId="929" xr:uid="{00000000-0005-0000-0000-00006F020000}"/>
    <cellStyle name="Normal 17 4" xfId="1057" xr:uid="{00000000-0005-0000-0000-000070020000}"/>
    <cellStyle name="Normal 18" xfId="778" xr:uid="{00000000-0005-0000-0000-000071020000}"/>
    <cellStyle name="Normal 18 2" xfId="885" xr:uid="{00000000-0005-0000-0000-000072020000}"/>
    <cellStyle name="Normal 18 2 2" xfId="1014" xr:uid="{00000000-0005-0000-0000-000073020000}"/>
    <cellStyle name="Normal 18 2 3" xfId="1142" xr:uid="{00000000-0005-0000-0000-000074020000}"/>
    <cellStyle name="Normal 18 3" xfId="930" xr:uid="{00000000-0005-0000-0000-000075020000}"/>
    <cellStyle name="Normal 18 4" xfId="1058" xr:uid="{00000000-0005-0000-0000-000076020000}"/>
    <cellStyle name="Normal 19" xfId="779" xr:uid="{00000000-0005-0000-0000-000077020000}"/>
    <cellStyle name="Normal 19 2" xfId="886" xr:uid="{00000000-0005-0000-0000-000078020000}"/>
    <cellStyle name="Normal 19 2 2" xfId="1015" xr:uid="{00000000-0005-0000-0000-000079020000}"/>
    <cellStyle name="Normal 19 2 3" xfId="1143" xr:uid="{00000000-0005-0000-0000-00007A020000}"/>
    <cellStyle name="Normal 19 3" xfId="931" xr:uid="{00000000-0005-0000-0000-00007B020000}"/>
    <cellStyle name="Normal 19 4" xfId="1059" xr:uid="{00000000-0005-0000-0000-00007C020000}"/>
    <cellStyle name="Normal 2" xfId="465" xr:uid="{00000000-0005-0000-0000-00007D020000}"/>
    <cellStyle name="Normal 2 2" xfId="466" xr:uid="{00000000-0005-0000-0000-00007E020000}"/>
    <cellStyle name="Normal 2 2 2" xfId="467" xr:uid="{00000000-0005-0000-0000-00007F020000}"/>
    <cellStyle name="Normal 2 2_1 - ADIT" xfId="468" xr:uid="{00000000-0005-0000-0000-000080020000}"/>
    <cellStyle name="Normal 2 3" xfId="469" xr:uid="{00000000-0005-0000-0000-000081020000}"/>
    <cellStyle name="Normal 2 3 2" xfId="470" xr:uid="{00000000-0005-0000-0000-000082020000}"/>
    <cellStyle name="Normal 2 4" xfId="471" xr:uid="{00000000-0005-0000-0000-000083020000}"/>
    <cellStyle name="Normal 2_1 - ADIT" xfId="472" xr:uid="{00000000-0005-0000-0000-000084020000}"/>
    <cellStyle name="Normal 2_5 - Cost Support" xfId="473" xr:uid="{00000000-0005-0000-0000-000085020000}"/>
    <cellStyle name="Normal 2_6 - Est and True up" xfId="474" xr:uid="{00000000-0005-0000-0000-000086020000}"/>
    <cellStyle name="Normal 2_6A-Colstrip" xfId="475" xr:uid="{00000000-0005-0000-0000-000087020000}"/>
    <cellStyle name="Normal 2_6B-So Intertie" xfId="476" xr:uid="{00000000-0005-0000-0000-000088020000}"/>
    <cellStyle name="Normal 2_WKSHT5 - Prepaid" xfId="477" xr:uid="{00000000-0005-0000-0000-000089020000}"/>
    <cellStyle name="Normal 20" xfId="780" xr:uid="{00000000-0005-0000-0000-00008A020000}"/>
    <cellStyle name="Normal 20 2" xfId="887" xr:uid="{00000000-0005-0000-0000-00008B020000}"/>
    <cellStyle name="Normal 20 2 2" xfId="1016" xr:uid="{00000000-0005-0000-0000-00008C020000}"/>
    <cellStyle name="Normal 20 2 3" xfId="1144" xr:uid="{00000000-0005-0000-0000-00008D020000}"/>
    <cellStyle name="Normal 20 3" xfId="932" xr:uid="{00000000-0005-0000-0000-00008E020000}"/>
    <cellStyle name="Normal 20 4" xfId="1060" xr:uid="{00000000-0005-0000-0000-00008F020000}"/>
    <cellStyle name="Normal 21" xfId="781" xr:uid="{00000000-0005-0000-0000-000090020000}"/>
    <cellStyle name="Normal 21 2" xfId="888" xr:uid="{00000000-0005-0000-0000-000091020000}"/>
    <cellStyle name="Normal 21 2 2" xfId="1017" xr:uid="{00000000-0005-0000-0000-000092020000}"/>
    <cellStyle name="Normal 21 2 3" xfId="1145" xr:uid="{00000000-0005-0000-0000-000093020000}"/>
    <cellStyle name="Normal 21 3" xfId="933" xr:uid="{00000000-0005-0000-0000-000094020000}"/>
    <cellStyle name="Normal 21 4" xfId="1061" xr:uid="{00000000-0005-0000-0000-000095020000}"/>
    <cellStyle name="Normal 22" xfId="782" xr:uid="{00000000-0005-0000-0000-000096020000}"/>
    <cellStyle name="Normal 22 2" xfId="889" xr:uid="{00000000-0005-0000-0000-000097020000}"/>
    <cellStyle name="Normal 22 2 2" xfId="1018" xr:uid="{00000000-0005-0000-0000-000098020000}"/>
    <cellStyle name="Normal 22 2 3" xfId="1146" xr:uid="{00000000-0005-0000-0000-000099020000}"/>
    <cellStyle name="Normal 22 3" xfId="934" xr:uid="{00000000-0005-0000-0000-00009A020000}"/>
    <cellStyle name="Normal 22 4" xfId="1062" xr:uid="{00000000-0005-0000-0000-00009B020000}"/>
    <cellStyle name="Normal 23" xfId="783" xr:uid="{00000000-0005-0000-0000-00009C020000}"/>
    <cellStyle name="Normal 23 2" xfId="890" xr:uid="{00000000-0005-0000-0000-00009D020000}"/>
    <cellStyle name="Normal 23 2 2" xfId="1019" xr:uid="{00000000-0005-0000-0000-00009E020000}"/>
    <cellStyle name="Normal 23 2 3" xfId="1147" xr:uid="{00000000-0005-0000-0000-00009F020000}"/>
    <cellStyle name="Normal 23 3" xfId="935" xr:uid="{00000000-0005-0000-0000-0000A0020000}"/>
    <cellStyle name="Normal 23 4" xfId="1063" xr:uid="{00000000-0005-0000-0000-0000A1020000}"/>
    <cellStyle name="Normal 24" xfId="784" xr:uid="{00000000-0005-0000-0000-0000A2020000}"/>
    <cellStyle name="Normal 24 2" xfId="891" xr:uid="{00000000-0005-0000-0000-0000A3020000}"/>
    <cellStyle name="Normal 24 2 2" xfId="1020" xr:uid="{00000000-0005-0000-0000-0000A4020000}"/>
    <cellStyle name="Normal 24 2 3" xfId="1148" xr:uid="{00000000-0005-0000-0000-0000A5020000}"/>
    <cellStyle name="Normal 24 3" xfId="936" xr:uid="{00000000-0005-0000-0000-0000A6020000}"/>
    <cellStyle name="Normal 24 4" xfId="1064" xr:uid="{00000000-0005-0000-0000-0000A7020000}"/>
    <cellStyle name="Normal 25" xfId="785" xr:uid="{00000000-0005-0000-0000-0000A8020000}"/>
    <cellStyle name="Normal 25 2" xfId="892" xr:uid="{00000000-0005-0000-0000-0000A9020000}"/>
    <cellStyle name="Normal 25 2 2" xfId="1021" xr:uid="{00000000-0005-0000-0000-0000AA020000}"/>
    <cellStyle name="Normal 25 2 3" xfId="1149" xr:uid="{00000000-0005-0000-0000-0000AB020000}"/>
    <cellStyle name="Normal 25 3" xfId="937" xr:uid="{00000000-0005-0000-0000-0000AC020000}"/>
    <cellStyle name="Normal 25 4" xfId="1065" xr:uid="{00000000-0005-0000-0000-0000AD020000}"/>
    <cellStyle name="Normal 26" xfId="786" xr:uid="{00000000-0005-0000-0000-0000AE020000}"/>
    <cellStyle name="Normal 26 2" xfId="893" xr:uid="{00000000-0005-0000-0000-0000AF020000}"/>
    <cellStyle name="Normal 26 2 2" xfId="1022" xr:uid="{00000000-0005-0000-0000-0000B0020000}"/>
    <cellStyle name="Normal 26 2 3" xfId="1150" xr:uid="{00000000-0005-0000-0000-0000B1020000}"/>
    <cellStyle name="Normal 26 3" xfId="938" xr:uid="{00000000-0005-0000-0000-0000B2020000}"/>
    <cellStyle name="Normal 26 4" xfId="1066" xr:uid="{00000000-0005-0000-0000-0000B3020000}"/>
    <cellStyle name="Normal 27" xfId="776" xr:uid="{00000000-0005-0000-0000-0000B4020000}"/>
    <cellStyle name="Normal 27 2" xfId="883" xr:uid="{00000000-0005-0000-0000-0000B5020000}"/>
    <cellStyle name="Normal 27 2 2" xfId="1012" xr:uid="{00000000-0005-0000-0000-0000B6020000}"/>
    <cellStyle name="Normal 27 2 3" xfId="1140" xr:uid="{00000000-0005-0000-0000-0000B7020000}"/>
    <cellStyle name="Normal 27 3" xfId="928" xr:uid="{00000000-0005-0000-0000-0000B8020000}"/>
    <cellStyle name="Normal 27 4" xfId="1056" xr:uid="{00000000-0005-0000-0000-0000B9020000}"/>
    <cellStyle name="Normal 28" xfId="764" xr:uid="{00000000-0005-0000-0000-0000BA020000}"/>
    <cellStyle name="Normal 28 2" xfId="872" xr:uid="{00000000-0005-0000-0000-0000BB020000}"/>
    <cellStyle name="Normal 28 2 2" xfId="1001" xr:uid="{00000000-0005-0000-0000-0000BC020000}"/>
    <cellStyle name="Normal 28 2 3" xfId="1129" xr:uid="{00000000-0005-0000-0000-0000BD020000}"/>
    <cellStyle name="Normal 28 3" xfId="918" xr:uid="{00000000-0005-0000-0000-0000BE020000}"/>
    <cellStyle name="Normal 28 4" xfId="1046" xr:uid="{00000000-0005-0000-0000-0000BF020000}"/>
    <cellStyle name="Normal 29" xfId="787" xr:uid="{00000000-0005-0000-0000-0000C0020000}"/>
    <cellStyle name="Normal 29 2" xfId="939" xr:uid="{00000000-0005-0000-0000-0000C1020000}"/>
    <cellStyle name="Normal 29 3" xfId="1067" xr:uid="{00000000-0005-0000-0000-0000C2020000}"/>
    <cellStyle name="Normal 3" xfId="478" xr:uid="{00000000-0005-0000-0000-0000C3020000}"/>
    <cellStyle name="Normal 3 10" xfId="815" xr:uid="{00000000-0005-0000-0000-0000C4020000}"/>
    <cellStyle name="Normal 3 10 2" xfId="966" xr:uid="{00000000-0005-0000-0000-0000C5020000}"/>
    <cellStyle name="Normal 3 10 3" xfId="1094" xr:uid="{00000000-0005-0000-0000-0000C6020000}"/>
    <cellStyle name="Normal 3 2" xfId="479" xr:uid="{00000000-0005-0000-0000-0000C7020000}"/>
    <cellStyle name="Normal 3 2 2" xfId="480" xr:uid="{00000000-0005-0000-0000-0000C8020000}"/>
    <cellStyle name="Normal 3 2 2 2" xfId="481" xr:uid="{00000000-0005-0000-0000-0000C9020000}"/>
    <cellStyle name="Normal 3 2 3" xfId="482" xr:uid="{00000000-0005-0000-0000-0000CA020000}"/>
    <cellStyle name="Normal 3 2_5 - Cost Support" xfId="483" xr:uid="{00000000-0005-0000-0000-0000CB020000}"/>
    <cellStyle name="Normal 3 3" xfId="484" xr:uid="{00000000-0005-0000-0000-0000CC020000}"/>
    <cellStyle name="Normal 3 3 2" xfId="485" xr:uid="{00000000-0005-0000-0000-0000CD020000}"/>
    <cellStyle name="Normal 3 3 2 2" xfId="486" xr:uid="{00000000-0005-0000-0000-0000CE020000}"/>
    <cellStyle name="Normal 3 3 3" xfId="487" xr:uid="{00000000-0005-0000-0000-0000CF020000}"/>
    <cellStyle name="Normal 3 4" xfId="488" xr:uid="{00000000-0005-0000-0000-0000D0020000}"/>
    <cellStyle name="Normal 3 4 2" xfId="489" xr:uid="{00000000-0005-0000-0000-0000D1020000}"/>
    <cellStyle name="Normal 3 5" xfId="490" xr:uid="{00000000-0005-0000-0000-0000D2020000}"/>
    <cellStyle name="Normal 3 6" xfId="491" xr:uid="{00000000-0005-0000-0000-0000D3020000}"/>
    <cellStyle name="Normal 3 7" xfId="771" xr:uid="{00000000-0005-0000-0000-0000D4020000}"/>
    <cellStyle name="Normal 3 7 2" xfId="878" xr:uid="{00000000-0005-0000-0000-0000D5020000}"/>
    <cellStyle name="Normal 3 7 2 2" xfId="1007" xr:uid="{00000000-0005-0000-0000-0000D6020000}"/>
    <cellStyle name="Normal 3 7 2 3" xfId="1135" xr:uid="{00000000-0005-0000-0000-0000D7020000}"/>
    <cellStyle name="Normal 3 7 3" xfId="923" xr:uid="{00000000-0005-0000-0000-0000D8020000}"/>
    <cellStyle name="Normal 3 7 4" xfId="1051" xr:uid="{00000000-0005-0000-0000-0000D9020000}"/>
    <cellStyle name="Normal 3 8" xfId="775" xr:uid="{00000000-0005-0000-0000-0000DA020000}"/>
    <cellStyle name="Normal 3 8 2" xfId="882" xr:uid="{00000000-0005-0000-0000-0000DB020000}"/>
    <cellStyle name="Normal 3 8 2 2" xfId="1011" xr:uid="{00000000-0005-0000-0000-0000DC020000}"/>
    <cellStyle name="Normal 3 8 2 3" xfId="1139" xr:uid="{00000000-0005-0000-0000-0000DD020000}"/>
    <cellStyle name="Normal 3 8 3" xfId="927" xr:uid="{00000000-0005-0000-0000-0000DE020000}"/>
    <cellStyle name="Normal 3 8 4" xfId="1055" xr:uid="{00000000-0005-0000-0000-0000DF020000}"/>
    <cellStyle name="Normal 3 9" xfId="807" xr:uid="{00000000-0005-0000-0000-0000E0020000}"/>
    <cellStyle name="Normal 3 9 2" xfId="959" xr:uid="{00000000-0005-0000-0000-0000E1020000}"/>
    <cellStyle name="Normal 3 9 3" xfId="1087" xr:uid="{00000000-0005-0000-0000-0000E2020000}"/>
    <cellStyle name="Normal 3_10-15-10-Stmt AU - Period I - Working 1 0" xfId="492" xr:uid="{00000000-0005-0000-0000-0000E3020000}"/>
    <cellStyle name="Normal 30" xfId="812" xr:uid="{00000000-0005-0000-0000-0000E4020000}"/>
    <cellStyle name="Normal 30 2" xfId="964" xr:uid="{00000000-0005-0000-0000-0000E5020000}"/>
    <cellStyle name="Normal 30 3" xfId="1092" xr:uid="{00000000-0005-0000-0000-0000E6020000}"/>
    <cellStyle name="Normal 31" xfId="817" xr:uid="{00000000-0005-0000-0000-0000E7020000}"/>
    <cellStyle name="Normal 32" xfId="814" xr:uid="{00000000-0005-0000-0000-0000E8020000}"/>
    <cellStyle name="Normal 32 2" xfId="965" xr:uid="{00000000-0005-0000-0000-0000E9020000}"/>
    <cellStyle name="Normal 32 3" xfId="1093" xr:uid="{00000000-0005-0000-0000-0000EA020000}"/>
    <cellStyle name="Normal 33" xfId="866" xr:uid="{00000000-0005-0000-0000-0000EB020000}"/>
    <cellStyle name="Normal 33 2" xfId="995" xr:uid="{00000000-0005-0000-0000-0000EC020000}"/>
    <cellStyle name="Normal 33 3" xfId="1123" xr:uid="{00000000-0005-0000-0000-0000ED020000}"/>
    <cellStyle name="Normal 34" xfId="820" xr:uid="{00000000-0005-0000-0000-0000EE020000}"/>
    <cellStyle name="Normal 34 2" xfId="970" xr:uid="{00000000-0005-0000-0000-0000EF020000}"/>
    <cellStyle name="Normal 34 3" xfId="1098" xr:uid="{00000000-0005-0000-0000-0000F0020000}"/>
    <cellStyle name="Normal 35" xfId="859" xr:uid="{00000000-0005-0000-0000-0000F1020000}"/>
    <cellStyle name="Normal 35 2" xfId="991" xr:uid="{00000000-0005-0000-0000-0000F2020000}"/>
    <cellStyle name="Normal 35 3" xfId="1119" xr:uid="{00000000-0005-0000-0000-0000F3020000}"/>
    <cellStyle name="Normal 36" xfId="829" xr:uid="{00000000-0005-0000-0000-0000F4020000}"/>
    <cellStyle name="Normal 36 2" xfId="974" xr:uid="{00000000-0005-0000-0000-0000F5020000}"/>
    <cellStyle name="Normal 36 3" xfId="1102" xr:uid="{00000000-0005-0000-0000-0000F6020000}"/>
    <cellStyle name="Normal 37" xfId="851" xr:uid="{00000000-0005-0000-0000-0000F7020000}"/>
    <cellStyle name="Normal 37 2" xfId="984" xr:uid="{00000000-0005-0000-0000-0000F8020000}"/>
    <cellStyle name="Normal 37 3" xfId="1112" xr:uid="{00000000-0005-0000-0000-0000F9020000}"/>
    <cellStyle name="Normal 38" xfId="836" xr:uid="{00000000-0005-0000-0000-0000FA020000}"/>
    <cellStyle name="Normal 38 2" xfId="979" xr:uid="{00000000-0005-0000-0000-0000FB020000}"/>
    <cellStyle name="Normal 38 3" xfId="1107" xr:uid="{00000000-0005-0000-0000-0000FC020000}"/>
    <cellStyle name="Normal 39" xfId="897" xr:uid="{00000000-0005-0000-0000-0000FD020000}"/>
    <cellStyle name="Normal 39 2" xfId="1026" xr:uid="{00000000-0005-0000-0000-0000FE020000}"/>
    <cellStyle name="Normal 39 3" xfId="1154" xr:uid="{00000000-0005-0000-0000-0000FF020000}"/>
    <cellStyle name="Normal 4" xfId="493" xr:uid="{00000000-0005-0000-0000-000000030000}"/>
    <cellStyle name="Normal 4 2" xfId="494" xr:uid="{00000000-0005-0000-0000-000001030000}"/>
    <cellStyle name="Normal 4 2 2" xfId="495" xr:uid="{00000000-0005-0000-0000-000002030000}"/>
    <cellStyle name="Normal 4 3" xfId="496" xr:uid="{00000000-0005-0000-0000-000003030000}"/>
    <cellStyle name="Normal 4 4" xfId="756" xr:uid="{00000000-0005-0000-0000-000004030000}"/>
    <cellStyle name="Normal 4 4 2" xfId="869" xr:uid="{00000000-0005-0000-0000-000005030000}"/>
    <cellStyle name="Normal 4 4 2 2" xfId="998" xr:uid="{00000000-0005-0000-0000-000006030000}"/>
    <cellStyle name="Normal 4 4 2 3" xfId="1126" xr:uid="{00000000-0005-0000-0000-000007030000}"/>
    <cellStyle name="Normal 4 4 3" xfId="915" xr:uid="{00000000-0005-0000-0000-000008030000}"/>
    <cellStyle name="Normal 4 4 4" xfId="1043" xr:uid="{00000000-0005-0000-0000-000009030000}"/>
    <cellStyle name="Normal 4 5" xfId="853" xr:uid="{00000000-0005-0000-0000-00000A030000}"/>
    <cellStyle name="Normal 4 5 2" xfId="986" xr:uid="{00000000-0005-0000-0000-00000B030000}"/>
    <cellStyle name="Normal 4 5 3" xfId="1114" xr:uid="{00000000-0005-0000-0000-00000C030000}"/>
    <cellStyle name="Normal 4 6" xfId="899" xr:uid="{00000000-0005-0000-0000-00000D030000}"/>
    <cellStyle name="Normal 4 7" xfId="1027" xr:uid="{00000000-0005-0000-0000-00000E030000}"/>
    <cellStyle name="Normal 4_3 - Revenue Credits" xfId="497" xr:uid="{00000000-0005-0000-0000-00000F030000}"/>
    <cellStyle name="Normal 40" xfId="833" xr:uid="{00000000-0005-0000-0000-000010030000}"/>
    <cellStyle name="Normal 40 2" xfId="977" xr:uid="{00000000-0005-0000-0000-000011030000}"/>
    <cellStyle name="Normal 40 3" xfId="1105" xr:uid="{00000000-0005-0000-0000-000012030000}"/>
    <cellStyle name="Normal 41" xfId="850" xr:uid="{00000000-0005-0000-0000-000013030000}"/>
    <cellStyle name="Normal 41 2" xfId="983" xr:uid="{00000000-0005-0000-0000-000014030000}"/>
    <cellStyle name="Normal 41 3" xfId="1111" xr:uid="{00000000-0005-0000-0000-000015030000}"/>
    <cellStyle name="Normal 42" xfId="895" xr:uid="{00000000-0005-0000-0000-000016030000}"/>
    <cellStyle name="Normal 42 2" xfId="1024" xr:uid="{00000000-0005-0000-0000-000017030000}"/>
    <cellStyle name="Normal 42 3" xfId="1152" xr:uid="{00000000-0005-0000-0000-000018030000}"/>
    <cellStyle name="Normal 43" xfId="860" xr:uid="{00000000-0005-0000-0000-000019030000}"/>
    <cellStyle name="Normal 43 2" xfId="992" xr:uid="{00000000-0005-0000-0000-00001A030000}"/>
    <cellStyle name="Normal 43 3" xfId="1120" xr:uid="{00000000-0005-0000-0000-00001B030000}"/>
    <cellStyle name="Normal 44" xfId="801" xr:uid="{00000000-0005-0000-0000-00001C030000}"/>
    <cellStyle name="Normal 44 2" xfId="953" xr:uid="{00000000-0005-0000-0000-00001D030000}"/>
    <cellStyle name="Normal 44 3" xfId="1081" xr:uid="{00000000-0005-0000-0000-00001E030000}"/>
    <cellStyle name="Normal 45" xfId="855" xr:uid="{00000000-0005-0000-0000-00001F030000}"/>
    <cellStyle name="Normal 45 2" xfId="988" xr:uid="{00000000-0005-0000-0000-000020030000}"/>
    <cellStyle name="Normal 45 3" xfId="1116" xr:uid="{00000000-0005-0000-0000-000021030000}"/>
    <cellStyle name="Normal 46" xfId="852" xr:uid="{00000000-0005-0000-0000-000022030000}"/>
    <cellStyle name="Normal 46 2" xfId="985" xr:uid="{00000000-0005-0000-0000-000023030000}"/>
    <cellStyle name="Normal 46 3" xfId="1113" xr:uid="{00000000-0005-0000-0000-000024030000}"/>
    <cellStyle name="Normal 47" xfId="842" xr:uid="{00000000-0005-0000-0000-000025030000}"/>
    <cellStyle name="Normal 47 2" xfId="981" xr:uid="{00000000-0005-0000-0000-000026030000}"/>
    <cellStyle name="Normal 47 3" xfId="1109" xr:uid="{00000000-0005-0000-0000-000027030000}"/>
    <cellStyle name="Normal 48" xfId="825" xr:uid="{00000000-0005-0000-0000-000028030000}"/>
    <cellStyle name="Normal 48 2" xfId="973" xr:uid="{00000000-0005-0000-0000-000029030000}"/>
    <cellStyle name="Normal 48 3" xfId="1101" xr:uid="{00000000-0005-0000-0000-00002A030000}"/>
    <cellStyle name="Normal 49" xfId="841" xr:uid="{00000000-0005-0000-0000-00002B030000}"/>
    <cellStyle name="Normal 5" xfId="498" xr:uid="{00000000-0005-0000-0000-00002C030000}"/>
    <cellStyle name="Normal 5 2" xfId="499" xr:uid="{00000000-0005-0000-0000-00002D030000}"/>
    <cellStyle name="Normal 5 2 2" xfId="500" xr:uid="{00000000-0005-0000-0000-00002E030000}"/>
    <cellStyle name="Normal 5 2 2 2" xfId="501" xr:uid="{00000000-0005-0000-0000-00002F030000}"/>
    <cellStyle name="Normal 5 2 3" xfId="502" xr:uid="{00000000-0005-0000-0000-000030030000}"/>
    <cellStyle name="Normal 5 3" xfId="503" xr:uid="{00000000-0005-0000-0000-000031030000}"/>
    <cellStyle name="Normal 5 3 2" xfId="504" xr:uid="{00000000-0005-0000-0000-000032030000}"/>
    <cellStyle name="Normal 5 3 2 2" xfId="505" xr:uid="{00000000-0005-0000-0000-000033030000}"/>
    <cellStyle name="Normal 5 3 3" xfId="506" xr:uid="{00000000-0005-0000-0000-000034030000}"/>
    <cellStyle name="Normal 5 4" xfId="507" xr:uid="{00000000-0005-0000-0000-000035030000}"/>
    <cellStyle name="Normal 5 4 2" xfId="508" xr:uid="{00000000-0005-0000-0000-000036030000}"/>
    <cellStyle name="Normal 5 5" xfId="509" xr:uid="{00000000-0005-0000-0000-000037030000}"/>
    <cellStyle name="Normal 5 6" xfId="757" xr:uid="{00000000-0005-0000-0000-000038030000}"/>
    <cellStyle name="Normal 5 6 2" xfId="870" xr:uid="{00000000-0005-0000-0000-000039030000}"/>
    <cellStyle name="Normal 5 6 2 2" xfId="999" xr:uid="{00000000-0005-0000-0000-00003A030000}"/>
    <cellStyle name="Normal 5 6 2 3" xfId="1127" xr:uid="{00000000-0005-0000-0000-00003B030000}"/>
    <cellStyle name="Normal 5 6 3" xfId="916" xr:uid="{00000000-0005-0000-0000-00003C030000}"/>
    <cellStyle name="Normal 5 6 4" xfId="1044" xr:uid="{00000000-0005-0000-0000-00003D030000}"/>
    <cellStyle name="Normal 5 7" xfId="854" xr:uid="{00000000-0005-0000-0000-00003E030000}"/>
    <cellStyle name="Normal 5 7 2" xfId="987" xr:uid="{00000000-0005-0000-0000-00003F030000}"/>
    <cellStyle name="Normal 5 7 3" xfId="1115" xr:uid="{00000000-0005-0000-0000-000040030000}"/>
    <cellStyle name="Normal 5 8" xfId="900" xr:uid="{00000000-0005-0000-0000-000041030000}"/>
    <cellStyle name="Normal 5 9" xfId="1028" xr:uid="{00000000-0005-0000-0000-000042030000}"/>
    <cellStyle name="Normal 5_10-15-10-Stmt AU - Period I - Working 1 0" xfId="510" xr:uid="{00000000-0005-0000-0000-000043030000}"/>
    <cellStyle name="Normal 50" xfId="898" xr:uid="{00000000-0005-0000-0000-000044030000}"/>
    <cellStyle name="Normal 51" xfId="830" xr:uid="{00000000-0005-0000-0000-000045030000}"/>
    <cellStyle name="Normal 51 2" xfId="975" xr:uid="{00000000-0005-0000-0000-000046030000}"/>
    <cellStyle name="Normal 51 3" xfId="1103" xr:uid="{00000000-0005-0000-0000-000047030000}"/>
    <cellStyle name="Normal 6" xfId="511" xr:uid="{00000000-0005-0000-0000-000048030000}"/>
    <cellStyle name="Normal 6 2" xfId="512" xr:uid="{00000000-0005-0000-0000-000049030000}"/>
    <cellStyle name="Normal 6 2 2" xfId="513" xr:uid="{00000000-0005-0000-0000-00004A030000}"/>
    <cellStyle name="Normal 6 2 2 2" xfId="514" xr:uid="{00000000-0005-0000-0000-00004B030000}"/>
    <cellStyle name="Normal 6 2 3" xfId="515" xr:uid="{00000000-0005-0000-0000-00004C030000}"/>
    <cellStyle name="Normal 6 3" xfId="516" xr:uid="{00000000-0005-0000-0000-00004D030000}"/>
    <cellStyle name="Normal 6 3 2" xfId="517" xr:uid="{00000000-0005-0000-0000-00004E030000}"/>
    <cellStyle name="Normal 6 3 2 2" xfId="518" xr:uid="{00000000-0005-0000-0000-00004F030000}"/>
    <cellStyle name="Normal 6 3 3" xfId="519" xr:uid="{00000000-0005-0000-0000-000050030000}"/>
    <cellStyle name="Normal 6 4" xfId="520" xr:uid="{00000000-0005-0000-0000-000051030000}"/>
    <cellStyle name="Normal 6 4 2" xfId="521" xr:uid="{00000000-0005-0000-0000-000052030000}"/>
    <cellStyle name="Normal 6 5" xfId="522" xr:uid="{00000000-0005-0000-0000-000053030000}"/>
    <cellStyle name="Normal 6_10-15-10-Stmt AU - Period I - Working 1 0" xfId="523" xr:uid="{00000000-0005-0000-0000-000054030000}"/>
    <cellStyle name="Normal 7" xfId="524" xr:uid="{00000000-0005-0000-0000-000055030000}"/>
    <cellStyle name="Normal 7 2" xfId="525" xr:uid="{00000000-0005-0000-0000-000056030000}"/>
    <cellStyle name="Normal 7 2 2" xfId="526" xr:uid="{00000000-0005-0000-0000-000057030000}"/>
    <cellStyle name="Normal 7 2 2 2" xfId="527" xr:uid="{00000000-0005-0000-0000-000058030000}"/>
    <cellStyle name="Normal 7 2 3" xfId="528" xr:uid="{00000000-0005-0000-0000-000059030000}"/>
    <cellStyle name="Normal 7 3" xfId="529" xr:uid="{00000000-0005-0000-0000-00005A030000}"/>
    <cellStyle name="Normal 7 3 2" xfId="530" xr:uid="{00000000-0005-0000-0000-00005B030000}"/>
    <cellStyle name="Normal 7 3 2 2" xfId="531" xr:uid="{00000000-0005-0000-0000-00005C030000}"/>
    <cellStyle name="Normal 7 3 3" xfId="532" xr:uid="{00000000-0005-0000-0000-00005D030000}"/>
    <cellStyle name="Normal 7 4" xfId="533" xr:uid="{00000000-0005-0000-0000-00005E030000}"/>
    <cellStyle name="Normal 7 4 2" xfId="534" xr:uid="{00000000-0005-0000-0000-00005F030000}"/>
    <cellStyle name="Normal 7 5" xfId="535" xr:uid="{00000000-0005-0000-0000-000060030000}"/>
    <cellStyle name="Normal 7 6" xfId="758" xr:uid="{00000000-0005-0000-0000-000061030000}"/>
    <cellStyle name="Normal 7_10-15-10-Stmt AU - Period I - Working 1 0" xfId="536" xr:uid="{00000000-0005-0000-0000-000062030000}"/>
    <cellStyle name="Normal 8" xfId="537" xr:uid="{00000000-0005-0000-0000-000063030000}"/>
    <cellStyle name="Normal 8 2" xfId="538" xr:uid="{00000000-0005-0000-0000-000064030000}"/>
    <cellStyle name="Normal 8 2 2" xfId="539" xr:uid="{00000000-0005-0000-0000-000065030000}"/>
    <cellStyle name="Normal 8 2 3" xfId="760" xr:uid="{00000000-0005-0000-0000-000066030000}"/>
    <cellStyle name="Normal 8 2_3 - Revenue Credits" xfId="540" xr:uid="{00000000-0005-0000-0000-000067030000}"/>
    <cellStyle name="Normal 8 3" xfId="541" xr:uid="{00000000-0005-0000-0000-000068030000}"/>
    <cellStyle name="Normal 8 4" xfId="759" xr:uid="{00000000-0005-0000-0000-000069030000}"/>
    <cellStyle name="Normal 8_10-15-10-Stmt AU - Period I - Working 1 0" xfId="542" xr:uid="{00000000-0005-0000-0000-00006A030000}"/>
    <cellStyle name="Normal 9" xfId="543" xr:uid="{00000000-0005-0000-0000-00006B030000}"/>
    <cellStyle name="Normal 9 2" xfId="544" xr:uid="{00000000-0005-0000-0000-00006C030000}"/>
    <cellStyle name="Normal 9 2 2" xfId="545" xr:uid="{00000000-0005-0000-0000-00006D030000}"/>
    <cellStyle name="Normal 9 2 3" xfId="762" xr:uid="{00000000-0005-0000-0000-00006E030000}"/>
    <cellStyle name="Normal 9 2_3 - Revenue Credits" xfId="546" xr:uid="{00000000-0005-0000-0000-00006F030000}"/>
    <cellStyle name="Normal 9 3" xfId="547" xr:uid="{00000000-0005-0000-0000-000070030000}"/>
    <cellStyle name="Normal 9 4" xfId="761" xr:uid="{00000000-0005-0000-0000-000071030000}"/>
    <cellStyle name="Normal 9_10-15-10-Stmt AU - Period I - Working 1 0" xfId="548" xr:uid="{00000000-0005-0000-0000-000072030000}"/>
    <cellStyle name="Normal_Ferc pg 328-330 Transmission for Others for import_WKSHT1 - Rev Credits" xfId="549" xr:uid="{00000000-0005-0000-0000-000073030000}"/>
    <cellStyle name="Normal_FN1 Ratebase Draft SPP template (6-11-04) v2" xfId="550" xr:uid="{00000000-0005-0000-0000-000074030000}"/>
    <cellStyle name="Normal_Sheet4_WKSHT1 - Rev Credits" xfId="551" xr:uid="{00000000-0005-0000-0000-000075030000}"/>
    <cellStyle name="Normal_TrAILCo attach 6 &amp; 7 and Appendix A" xfId="552" xr:uid="{00000000-0005-0000-0000-000076030000}"/>
    <cellStyle name="Note 10" xfId="553" xr:uid="{00000000-0005-0000-0000-000077030000}"/>
    <cellStyle name="Note 10 2" xfId="554" xr:uid="{00000000-0005-0000-0000-000078030000}"/>
    <cellStyle name="Note 10 2 2" xfId="555" xr:uid="{00000000-0005-0000-0000-000079030000}"/>
    <cellStyle name="Note 10 2_6 - Est and True up" xfId="556" xr:uid="{00000000-0005-0000-0000-00007A030000}"/>
    <cellStyle name="Note 10 3" xfId="557" xr:uid="{00000000-0005-0000-0000-00007B030000}"/>
    <cellStyle name="Note 10 3 2" xfId="558" xr:uid="{00000000-0005-0000-0000-00007C030000}"/>
    <cellStyle name="Note 10 3_6 - Est and True up" xfId="559" xr:uid="{00000000-0005-0000-0000-00007D030000}"/>
    <cellStyle name="Note 10 4" xfId="560" xr:uid="{00000000-0005-0000-0000-00007E030000}"/>
    <cellStyle name="Note 10_6 - Est and True up" xfId="561" xr:uid="{00000000-0005-0000-0000-00007F030000}"/>
    <cellStyle name="Note 11" xfId="562" xr:uid="{00000000-0005-0000-0000-000080030000}"/>
    <cellStyle name="Note 11 2" xfId="563" xr:uid="{00000000-0005-0000-0000-000081030000}"/>
    <cellStyle name="Note 11_6 - Est and True up" xfId="564" xr:uid="{00000000-0005-0000-0000-000082030000}"/>
    <cellStyle name="Note 12" xfId="565" xr:uid="{00000000-0005-0000-0000-000083030000}"/>
    <cellStyle name="Note 12 2" xfId="566" xr:uid="{00000000-0005-0000-0000-000084030000}"/>
    <cellStyle name="Note 12_6 - Est and True up" xfId="567" xr:uid="{00000000-0005-0000-0000-000085030000}"/>
    <cellStyle name="Note 13" xfId="568" xr:uid="{00000000-0005-0000-0000-000086030000}"/>
    <cellStyle name="Note 13 2" xfId="569" xr:uid="{00000000-0005-0000-0000-000087030000}"/>
    <cellStyle name="Note 13_6 - Est and True up" xfId="570" xr:uid="{00000000-0005-0000-0000-000088030000}"/>
    <cellStyle name="Note 14" xfId="571" xr:uid="{00000000-0005-0000-0000-000089030000}"/>
    <cellStyle name="Note 14 2" xfId="572" xr:uid="{00000000-0005-0000-0000-00008A030000}"/>
    <cellStyle name="Note 14_6 - Est and True up" xfId="573" xr:uid="{00000000-0005-0000-0000-00008B030000}"/>
    <cellStyle name="Note 15" xfId="574" xr:uid="{00000000-0005-0000-0000-00008C030000}"/>
    <cellStyle name="Note 15 2" xfId="575" xr:uid="{00000000-0005-0000-0000-00008D030000}"/>
    <cellStyle name="Note 15_6 - Est and True up" xfId="576" xr:uid="{00000000-0005-0000-0000-00008E030000}"/>
    <cellStyle name="Note 16" xfId="577" xr:uid="{00000000-0005-0000-0000-00008F030000}"/>
    <cellStyle name="Note 17" xfId="770" xr:uid="{00000000-0005-0000-0000-000090030000}"/>
    <cellStyle name="Note 17 2" xfId="877" xr:uid="{00000000-0005-0000-0000-000091030000}"/>
    <cellStyle name="Note 17 2 2" xfId="1006" xr:uid="{00000000-0005-0000-0000-000092030000}"/>
    <cellStyle name="Note 17 2 3" xfId="1134" xr:uid="{00000000-0005-0000-0000-000093030000}"/>
    <cellStyle name="Note 17 3" xfId="922" xr:uid="{00000000-0005-0000-0000-000094030000}"/>
    <cellStyle name="Note 17 4" xfId="1050" xr:uid="{00000000-0005-0000-0000-000095030000}"/>
    <cellStyle name="Note 18" xfId="763" xr:uid="{00000000-0005-0000-0000-000096030000}"/>
    <cellStyle name="Note 18 2" xfId="871" xr:uid="{00000000-0005-0000-0000-000097030000}"/>
    <cellStyle name="Note 18 2 2" xfId="1000" xr:uid="{00000000-0005-0000-0000-000098030000}"/>
    <cellStyle name="Note 18 2 3" xfId="1128" xr:uid="{00000000-0005-0000-0000-000099030000}"/>
    <cellStyle name="Note 18 3" xfId="917" xr:uid="{00000000-0005-0000-0000-00009A030000}"/>
    <cellStyle name="Note 18 4" xfId="1045" xr:uid="{00000000-0005-0000-0000-00009B030000}"/>
    <cellStyle name="Note 19" xfId="808" xr:uid="{00000000-0005-0000-0000-00009C030000}"/>
    <cellStyle name="Note 19 2" xfId="960" xr:uid="{00000000-0005-0000-0000-00009D030000}"/>
    <cellStyle name="Note 19 3" xfId="1088" xr:uid="{00000000-0005-0000-0000-00009E030000}"/>
    <cellStyle name="Note 2" xfId="578" xr:uid="{00000000-0005-0000-0000-00009F030000}"/>
    <cellStyle name="Note 2 2" xfId="579" xr:uid="{00000000-0005-0000-0000-0000A0030000}"/>
    <cellStyle name="Note 2 3" xfId="769" xr:uid="{00000000-0005-0000-0000-0000A1030000}"/>
    <cellStyle name="Note 2 3 2" xfId="876" xr:uid="{00000000-0005-0000-0000-0000A2030000}"/>
    <cellStyle name="Note 2 3 2 2" xfId="1005" xr:uid="{00000000-0005-0000-0000-0000A3030000}"/>
    <cellStyle name="Note 2 3 2 3" xfId="1133" xr:uid="{00000000-0005-0000-0000-0000A4030000}"/>
    <cellStyle name="Note 2 3 3" xfId="921" xr:uid="{00000000-0005-0000-0000-0000A5030000}"/>
    <cellStyle name="Note 2 3 4" xfId="1049" xr:uid="{00000000-0005-0000-0000-0000A6030000}"/>
    <cellStyle name="Note 2 4" xfId="809" xr:uid="{00000000-0005-0000-0000-0000A7030000}"/>
    <cellStyle name="Note 2 4 2" xfId="961" xr:uid="{00000000-0005-0000-0000-0000A8030000}"/>
    <cellStyle name="Note 2 4 3" xfId="1089" xr:uid="{00000000-0005-0000-0000-0000A9030000}"/>
    <cellStyle name="Note 2_6 - Est and True up" xfId="580" xr:uid="{00000000-0005-0000-0000-0000AA030000}"/>
    <cellStyle name="Note 20" xfId="816" xr:uid="{00000000-0005-0000-0000-0000AB030000}"/>
    <cellStyle name="Note 20 2" xfId="967" xr:uid="{00000000-0005-0000-0000-0000AC030000}"/>
    <cellStyle name="Note 20 3" xfId="1095" xr:uid="{00000000-0005-0000-0000-0000AD030000}"/>
    <cellStyle name="Note 21" xfId="800" xr:uid="{00000000-0005-0000-0000-0000AE030000}"/>
    <cellStyle name="Note 21 2" xfId="952" xr:uid="{00000000-0005-0000-0000-0000AF030000}"/>
    <cellStyle name="Note 21 3" xfId="1080" xr:uid="{00000000-0005-0000-0000-0000B0030000}"/>
    <cellStyle name="Note 22" xfId="865" xr:uid="{00000000-0005-0000-0000-0000B1030000}"/>
    <cellStyle name="Note 22 2" xfId="994" xr:uid="{00000000-0005-0000-0000-0000B2030000}"/>
    <cellStyle name="Note 22 3" xfId="1122" xr:uid="{00000000-0005-0000-0000-0000B3030000}"/>
    <cellStyle name="Note 23" xfId="822" xr:uid="{00000000-0005-0000-0000-0000B4030000}"/>
    <cellStyle name="Note 23 2" xfId="971" xr:uid="{00000000-0005-0000-0000-0000B5030000}"/>
    <cellStyle name="Note 23 3" xfId="1099" xr:uid="{00000000-0005-0000-0000-0000B6030000}"/>
    <cellStyle name="Note 24" xfId="858" xr:uid="{00000000-0005-0000-0000-0000B7030000}"/>
    <cellStyle name="Note 24 2" xfId="990" xr:uid="{00000000-0005-0000-0000-0000B8030000}"/>
    <cellStyle name="Note 24 3" xfId="1118" xr:uid="{00000000-0005-0000-0000-0000B9030000}"/>
    <cellStyle name="Note 25" xfId="818" xr:uid="{00000000-0005-0000-0000-0000BA030000}"/>
    <cellStyle name="Note 25 2" xfId="968" xr:uid="{00000000-0005-0000-0000-0000BB030000}"/>
    <cellStyle name="Note 25 3" xfId="1096" xr:uid="{00000000-0005-0000-0000-0000BC030000}"/>
    <cellStyle name="Note 26" xfId="873" xr:uid="{00000000-0005-0000-0000-0000BD030000}"/>
    <cellStyle name="Note 26 2" xfId="1002" xr:uid="{00000000-0005-0000-0000-0000BE030000}"/>
    <cellStyle name="Note 26 3" xfId="1130" xr:uid="{00000000-0005-0000-0000-0000BF030000}"/>
    <cellStyle name="Note 27" xfId="838" xr:uid="{00000000-0005-0000-0000-0000C0030000}"/>
    <cellStyle name="Note 27 2" xfId="980" xr:uid="{00000000-0005-0000-0000-0000C1030000}"/>
    <cellStyle name="Note 27 3" xfId="1108" xr:uid="{00000000-0005-0000-0000-0000C2030000}"/>
    <cellStyle name="Note 28" xfId="856" xr:uid="{00000000-0005-0000-0000-0000C3030000}"/>
    <cellStyle name="Note 28 2" xfId="989" xr:uid="{00000000-0005-0000-0000-0000C4030000}"/>
    <cellStyle name="Note 28 3" xfId="1117" xr:uid="{00000000-0005-0000-0000-0000C5030000}"/>
    <cellStyle name="Note 29" xfId="819" xr:uid="{00000000-0005-0000-0000-0000C6030000}"/>
    <cellStyle name="Note 29 2" xfId="969" xr:uid="{00000000-0005-0000-0000-0000C7030000}"/>
    <cellStyle name="Note 29 3" xfId="1097" xr:uid="{00000000-0005-0000-0000-0000C8030000}"/>
    <cellStyle name="Note 3" xfId="581" xr:uid="{00000000-0005-0000-0000-0000C9030000}"/>
    <cellStyle name="Note 3 2" xfId="582" xr:uid="{00000000-0005-0000-0000-0000CA030000}"/>
    <cellStyle name="Note 3_6 - Est and True up" xfId="583" xr:uid="{00000000-0005-0000-0000-0000CB030000}"/>
    <cellStyle name="Note 30" xfId="848" xr:uid="{00000000-0005-0000-0000-0000CC030000}"/>
    <cellStyle name="Note 30 2" xfId="982" xr:uid="{00000000-0005-0000-0000-0000CD030000}"/>
    <cellStyle name="Note 30 3" xfId="1110" xr:uid="{00000000-0005-0000-0000-0000CE030000}"/>
    <cellStyle name="Note 31" xfId="894" xr:uid="{00000000-0005-0000-0000-0000CF030000}"/>
    <cellStyle name="Note 31 2" xfId="1023" xr:uid="{00000000-0005-0000-0000-0000D0030000}"/>
    <cellStyle name="Note 31 3" xfId="1151" xr:uid="{00000000-0005-0000-0000-0000D1030000}"/>
    <cellStyle name="Note 32" xfId="864" xr:uid="{00000000-0005-0000-0000-0000D2030000}"/>
    <cellStyle name="Note 32 2" xfId="993" xr:uid="{00000000-0005-0000-0000-0000D3030000}"/>
    <cellStyle name="Note 32 3" xfId="1121" xr:uid="{00000000-0005-0000-0000-0000D4030000}"/>
    <cellStyle name="Note 33" xfId="824" xr:uid="{00000000-0005-0000-0000-0000D5030000}"/>
    <cellStyle name="Note 33 2" xfId="972" xr:uid="{00000000-0005-0000-0000-0000D6030000}"/>
    <cellStyle name="Note 33 3" xfId="1100" xr:uid="{00000000-0005-0000-0000-0000D7030000}"/>
    <cellStyle name="Note 34" xfId="834" xr:uid="{00000000-0005-0000-0000-0000D8030000}"/>
    <cellStyle name="Note 34 2" xfId="978" xr:uid="{00000000-0005-0000-0000-0000D9030000}"/>
    <cellStyle name="Note 34 3" xfId="1106" xr:uid="{00000000-0005-0000-0000-0000DA030000}"/>
    <cellStyle name="Note 35" xfId="896" xr:uid="{00000000-0005-0000-0000-0000DB030000}"/>
    <cellStyle name="Note 35 2" xfId="1025" xr:uid="{00000000-0005-0000-0000-0000DC030000}"/>
    <cellStyle name="Note 35 3" xfId="1153" xr:uid="{00000000-0005-0000-0000-0000DD030000}"/>
    <cellStyle name="Note 36" xfId="806" xr:uid="{00000000-0005-0000-0000-0000DE030000}"/>
    <cellStyle name="Note 36 2" xfId="958" xr:uid="{00000000-0005-0000-0000-0000DF030000}"/>
    <cellStyle name="Note 36 3" xfId="1086" xr:uid="{00000000-0005-0000-0000-0000E0030000}"/>
    <cellStyle name="Note 37" xfId="831" xr:uid="{00000000-0005-0000-0000-0000E1030000}"/>
    <cellStyle name="Note 37 2" xfId="976" xr:uid="{00000000-0005-0000-0000-0000E2030000}"/>
    <cellStyle name="Note 37 3" xfId="1104" xr:uid="{00000000-0005-0000-0000-0000E3030000}"/>
    <cellStyle name="Note 38" xfId="835" xr:uid="{00000000-0005-0000-0000-0000E4030000}"/>
    <cellStyle name="Note 39" xfId="849" xr:uid="{00000000-0005-0000-0000-0000E5030000}"/>
    <cellStyle name="Note 4" xfId="584" xr:uid="{00000000-0005-0000-0000-0000E6030000}"/>
    <cellStyle name="Note 4 2" xfId="585" xr:uid="{00000000-0005-0000-0000-0000E7030000}"/>
    <cellStyle name="Note 4_6 - Est and True up" xfId="586" xr:uid="{00000000-0005-0000-0000-0000E8030000}"/>
    <cellStyle name="Note 40" xfId="827" xr:uid="{00000000-0005-0000-0000-0000E9030000}"/>
    <cellStyle name="Note 41" xfId="839" xr:uid="{00000000-0005-0000-0000-0000EA030000}"/>
    <cellStyle name="Note 42" xfId="861" xr:uid="{00000000-0005-0000-0000-0000EB030000}"/>
    <cellStyle name="Note 43" xfId="863" xr:uid="{00000000-0005-0000-0000-0000EC030000}"/>
    <cellStyle name="Note 44" xfId="847" xr:uid="{00000000-0005-0000-0000-0000ED030000}"/>
    <cellStyle name="Note 45" xfId="821" xr:uid="{00000000-0005-0000-0000-0000EE030000}"/>
    <cellStyle name="Note 46" xfId="832" xr:uid="{00000000-0005-0000-0000-0000EF030000}"/>
    <cellStyle name="Note 47" xfId="828" xr:uid="{00000000-0005-0000-0000-0000F0030000}"/>
    <cellStyle name="Note 48" xfId="826" xr:uid="{00000000-0005-0000-0000-0000F1030000}"/>
    <cellStyle name="Note 49" xfId="837" xr:uid="{00000000-0005-0000-0000-0000F2030000}"/>
    <cellStyle name="Note 5" xfId="587" xr:uid="{00000000-0005-0000-0000-0000F3030000}"/>
    <cellStyle name="Note 5 2" xfId="588" xr:uid="{00000000-0005-0000-0000-0000F4030000}"/>
    <cellStyle name="Note 5 2 2" xfId="589" xr:uid="{00000000-0005-0000-0000-0000F5030000}"/>
    <cellStyle name="Note 5 2_6 - Est and True up" xfId="590" xr:uid="{00000000-0005-0000-0000-0000F6030000}"/>
    <cellStyle name="Note 5 3" xfId="591" xr:uid="{00000000-0005-0000-0000-0000F7030000}"/>
    <cellStyle name="Note 5 3 2" xfId="592" xr:uid="{00000000-0005-0000-0000-0000F8030000}"/>
    <cellStyle name="Note 5 3_6 - Est and True up" xfId="593" xr:uid="{00000000-0005-0000-0000-0000F9030000}"/>
    <cellStyle name="Note 5 4" xfId="594" xr:uid="{00000000-0005-0000-0000-0000FA030000}"/>
    <cellStyle name="Note 5_6 - Est and True up" xfId="595" xr:uid="{00000000-0005-0000-0000-0000FB030000}"/>
    <cellStyle name="Note 50" xfId="823" xr:uid="{00000000-0005-0000-0000-0000FC030000}"/>
    <cellStyle name="Note 51" xfId="844" xr:uid="{00000000-0005-0000-0000-0000FD030000}"/>
    <cellStyle name="Note 6" xfId="596" xr:uid="{00000000-0005-0000-0000-0000FE030000}"/>
    <cellStyle name="Note 6 2" xfId="597" xr:uid="{00000000-0005-0000-0000-0000FF030000}"/>
    <cellStyle name="Note 6 2 2" xfId="598" xr:uid="{00000000-0005-0000-0000-000000040000}"/>
    <cellStyle name="Note 6 2_6 - Est and True up" xfId="599" xr:uid="{00000000-0005-0000-0000-000001040000}"/>
    <cellStyle name="Note 6 3" xfId="600" xr:uid="{00000000-0005-0000-0000-000002040000}"/>
    <cellStyle name="Note 6 3 2" xfId="601" xr:uid="{00000000-0005-0000-0000-000003040000}"/>
    <cellStyle name="Note 6 3_6 - Est and True up" xfId="602" xr:uid="{00000000-0005-0000-0000-000004040000}"/>
    <cellStyle name="Note 6 4" xfId="603" xr:uid="{00000000-0005-0000-0000-000005040000}"/>
    <cellStyle name="Note 6_6 - Est and True up" xfId="604" xr:uid="{00000000-0005-0000-0000-000006040000}"/>
    <cellStyle name="Note 7" xfId="605" xr:uid="{00000000-0005-0000-0000-000007040000}"/>
    <cellStyle name="Note 7 2" xfId="606" xr:uid="{00000000-0005-0000-0000-000008040000}"/>
    <cellStyle name="Note 7 2 2" xfId="607" xr:uid="{00000000-0005-0000-0000-000009040000}"/>
    <cellStyle name="Note 7 2_6 - Est and True up" xfId="608" xr:uid="{00000000-0005-0000-0000-00000A040000}"/>
    <cellStyle name="Note 7 3" xfId="609" xr:uid="{00000000-0005-0000-0000-00000B040000}"/>
    <cellStyle name="Note 7 3 2" xfId="610" xr:uid="{00000000-0005-0000-0000-00000C040000}"/>
    <cellStyle name="Note 7 3_6 - Est and True up" xfId="611" xr:uid="{00000000-0005-0000-0000-00000D040000}"/>
    <cellStyle name="Note 7 4" xfId="612" xr:uid="{00000000-0005-0000-0000-00000E040000}"/>
    <cellStyle name="Note 7_6 - Est and True up" xfId="613" xr:uid="{00000000-0005-0000-0000-00000F040000}"/>
    <cellStyle name="Note 8" xfId="614" xr:uid="{00000000-0005-0000-0000-000010040000}"/>
    <cellStyle name="Note 8 2" xfId="615" xr:uid="{00000000-0005-0000-0000-000011040000}"/>
    <cellStyle name="Note 8 2 2" xfId="616" xr:uid="{00000000-0005-0000-0000-000012040000}"/>
    <cellStyle name="Note 8 2_6 - Est and True up" xfId="617" xr:uid="{00000000-0005-0000-0000-000013040000}"/>
    <cellStyle name="Note 8 3" xfId="618" xr:uid="{00000000-0005-0000-0000-000014040000}"/>
    <cellStyle name="Note 8 3 2" xfId="619" xr:uid="{00000000-0005-0000-0000-000015040000}"/>
    <cellStyle name="Note 8 3_6 - Est and True up" xfId="620" xr:uid="{00000000-0005-0000-0000-000016040000}"/>
    <cellStyle name="Note 8 4" xfId="621" xr:uid="{00000000-0005-0000-0000-000017040000}"/>
    <cellStyle name="Note 8_6 - Est and True up" xfId="622" xr:uid="{00000000-0005-0000-0000-000018040000}"/>
    <cellStyle name="Note 9" xfId="623" xr:uid="{00000000-0005-0000-0000-000019040000}"/>
    <cellStyle name="Note 9 2" xfId="624" xr:uid="{00000000-0005-0000-0000-00001A040000}"/>
    <cellStyle name="Note 9 2 2" xfId="625" xr:uid="{00000000-0005-0000-0000-00001B040000}"/>
    <cellStyle name="Note 9 2_6 - Est and True up" xfId="626" xr:uid="{00000000-0005-0000-0000-00001C040000}"/>
    <cellStyle name="Note 9 3" xfId="627" xr:uid="{00000000-0005-0000-0000-00001D040000}"/>
    <cellStyle name="Note 9 3 2" xfId="628" xr:uid="{00000000-0005-0000-0000-00001E040000}"/>
    <cellStyle name="Note 9 3_6 - Est and True up" xfId="629" xr:uid="{00000000-0005-0000-0000-00001F040000}"/>
    <cellStyle name="Note 9 4" xfId="630" xr:uid="{00000000-0005-0000-0000-000020040000}"/>
    <cellStyle name="Note 9_6 - Est and True up" xfId="631" xr:uid="{00000000-0005-0000-0000-000021040000}"/>
    <cellStyle name="Output" xfId="714" builtinId="21" customBuiltin="1"/>
    <cellStyle name="Output 2" xfId="632" xr:uid="{00000000-0005-0000-0000-000023040000}"/>
    <cellStyle name="Percent" xfId="633" builtinId="5"/>
    <cellStyle name="Percent 10" xfId="813" xr:uid="{00000000-0005-0000-0000-000025040000}"/>
    <cellStyle name="Percent 2" xfId="634" xr:uid="{00000000-0005-0000-0000-000026040000}"/>
    <cellStyle name="Percent 2 2" xfId="635" xr:uid="{00000000-0005-0000-0000-000027040000}"/>
    <cellStyle name="Percent 2 2 2" xfId="636" xr:uid="{00000000-0005-0000-0000-000028040000}"/>
    <cellStyle name="Percent 3" xfId="637" xr:uid="{00000000-0005-0000-0000-000029040000}"/>
    <cellStyle name="Percent 3 2" xfId="638" xr:uid="{00000000-0005-0000-0000-00002A040000}"/>
    <cellStyle name="Percent 3 3" xfId="767" xr:uid="{00000000-0005-0000-0000-00002B040000}"/>
    <cellStyle name="Percent 3 3 2" xfId="874" xr:uid="{00000000-0005-0000-0000-00002C040000}"/>
    <cellStyle name="Percent 3 3 2 2" xfId="1003" xr:uid="{00000000-0005-0000-0000-00002D040000}"/>
    <cellStyle name="Percent 3 3 2 3" xfId="1131" xr:uid="{00000000-0005-0000-0000-00002E040000}"/>
    <cellStyle name="Percent 3 3 3" xfId="919" xr:uid="{00000000-0005-0000-0000-00002F040000}"/>
    <cellStyle name="Percent 3 3 4" xfId="1047" xr:uid="{00000000-0005-0000-0000-000030040000}"/>
    <cellStyle name="Percent 3 4" xfId="811" xr:uid="{00000000-0005-0000-0000-000031040000}"/>
    <cellStyle name="Percent 3 4 2" xfId="963" xr:uid="{00000000-0005-0000-0000-000032040000}"/>
    <cellStyle name="Percent 3 4 3" xfId="1091" xr:uid="{00000000-0005-0000-0000-000033040000}"/>
    <cellStyle name="Percent 4" xfId="639" xr:uid="{00000000-0005-0000-0000-000034040000}"/>
    <cellStyle name="Percent 4 2" xfId="640" xr:uid="{00000000-0005-0000-0000-000035040000}"/>
    <cellStyle name="Percent 4 3" xfId="766" xr:uid="{00000000-0005-0000-0000-000036040000}"/>
    <cellStyle name="Percent 5" xfId="641" xr:uid="{00000000-0005-0000-0000-000037040000}"/>
    <cellStyle name="Percent 6" xfId="765" xr:uid="{00000000-0005-0000-0000-000038040000}"/>
    <cellStyle name="Percent 7" xfId="768" xr:uid="{00000000-0005-0000-0000-000039040000}"/>
    <cellStyle name="Percent 7 2" xfId="875" xr:uid="{00000000-0005-0000-0000-00003A040000}"/>
    <cellStyle name="Percent 7 2 2" xfId="1004" xr:uid="{00000000-0005-0000-0000-00003B040000}"/>
    <cellStyle name="Percent 7 2 3" xfId="1132" xr:uid="{00000000-0005-0000-0000-00003C040000}"/>
    <cellStyle name="Percent 7 3" xfId="920" xr:uid="{00000000-0005-0000-0000-00003D040000}"/>
    <cellStyle name="Percent 7 4" xfId="1048" xr:uid="{00000000-0005-0000-0000-00003E040000}"/>
    <cellStyle name="Percent 8" xfId="810" xr:uid="{00000000-0005-0000-0000-00003F040000}"/>
    <cellStyle name="Percent 8 2" xfId="962" xr:uid="{00000000-0005-0000-0000-000040040000}"/>
    <cellStyle name="Percent 8 3" xfId="1090" xr:uid="{00000000-0005-0000-0000-000041040000}"/>
    <cellStyle name="Percent 9" xfId="862" xr:uid="{00000000-0005-0000-0000-000042040000}"/>
    <cellStyle name="PSChar" xfId="642" xr:uid="{00000000-0005-0000-0000-000043040000}"/>
    <cellStyle name="PSDate" xfId="643" xr:uid="{00000000-0005-0000-0000-000044040000}"/>
    <cellStyle name="PSDec" xfId="644" xr:uid="{00000000-0005-0000-0000-000045040000}"/>
    <cellStyle name="PSHeading" xfId="645" xr:uid="{00000000-0005-0000-0000-000046040000}"/>
    <cellStyle name="PSInt" xfId="646" xr:uid="{00000000-0005-0000-0000-000047040000}"/>
    <cellStyle name="PSSpacer" xfId="647" xr:uid="{00000000-0005-0000-0000-000048040000}"/>
    <cellStyle name="SAPBEXchaText" xfId="648" xr:uid="{00000000-0005-0000-0000-000049040000}"/>
    <cellStyle name="SAPBEXstdData" xfId="649" xr:uid="{00000000-0005-0000-0000-00004A040000}"/>
    <cellStyle name="SAPBEXstdItem" xfId="650" xr:uid="{00000000-0005-0000-0000-00004B040000}"/>
    <cellStyle name="SAPBEXstdItemX" xfId="651" xr:uid="{00000000-0005-0000-0000-00004C040000}"/>
    <cellStyle name="SAPDataCell" xfId="1156" xr:uid="{00000000-0005-0000-0000-00004D040000}"/>
    <cellStyle name="SAPHierarchyCell0" xfId="1155" xr:uid="{00000000-0005-0000-0000-00004E040000}"/>
    <cellStyle name="SECTION" xfId="652" xr:uid="{00000000-0005-0000-0000-00004F040000}"/>
    <cellStyle name="Style 1" xfId="653" xr:uid="{00000000-0005-0000-0000-000050040000}"/>
    <cellStyle name="Style 1 10" xfId="654" xr:uid="{00000000-0005-0000-0000-000051040000}"/>
    <cellStyle name="Style 1 10 2" xfId="655" xr:uid="{00000000-0005-0000-0000-000052040000}"/>
    <cellStyle name="Style 1 10 2 2" xfId="656" xr:uid="{00000000-0005-0000-0000-000053040000}"/>
    <cellStyle name="Style 1 10 3" xfId="657" xr:uid="{00000000-0005-0000-0000-000054040000}"/>
    <cellStyle name="Style 1 11" xfId="658" xr:uid="{00000000-0005-0000-0000-000055040000}"/>
    <cellStyle name="Style 1 11 2" xfId="659" xr:uid="{00000000-0005-0000-0000-000056040000}"/>
    <cellStyle name="Style 1 11 2 2" xfId="660" xr:uid="{00000000-0005-0000-0000-000057040000}"/>
    <cellStyle name="Style 1 11 3" xfId="661" xr:uid="{00000000-0005-0000-0000-000058040000}"/>
    <cellStyle name="Style 1 12" xfId="662" xr:uid="{00000000-0005-0000-0000-000059040000}"/>
    <cellStyle name="Style 1 12 2" xfId="663" xr:uid="{00000000-0005-0000-0000-00005A040000}"/>
    <cellStyle name="Style 1 12 2 2" xfId="664" xr:uid="{00000000-0005-0000-0000-00005B040000}"/>
    <cellStyle name="Style 1 12 3" xfId="665" xr:uid="{00000000-0005-0000-0000-00005C040000}"/>
    <cellStyle name="Style 1 13" xfId="666" xr:uid="{00000000-0005-0000-0000-00005D040000}"/>
    <cellStyle name="Style 1 13 2" xfId="667" xr:uid="{00000000-0005-0000-0000-00005E040000}"/>
    <cellStyle name="Style 1 2" xfId="668" xr:uid="{00000000-0005-0000-0000-00005F040000}"/>
    <cellStyle name="Style 1 2 2" xfId="669" xr:uid="{00000000-0005-0000-0000-000060040000}"/>
    <cellStyle name="Style 1 2 2 2" xfId="670" xr:uid="{00000000-0005-0000-0000-000061040000}"/>
    <cellStyle name="Style 1 2 3" xfId="671" xr:uid="{00000000-0005-0000-0000-000062040000}"/>
    <cellStyle name="Style 1 3" xfId="672" xr:uid="{00000000-0005-0000-0000-000063040000}"/>
    <cellStyle name="Style 1 3 2" xfId="673" xr:uid="{00000000-0005-0000-0000-000064040000}"/>
    <cellStyle name="Style 1 3 2 2" xfId="674" xr:uid="{00000000-0005-0000-0000-000065040000}"/>
    <cellStyle name="Style 1 3 3" xfId="675" xr:uid="{00000000-0005-0000-0000-000066040000}"/>
    <cellStyle name="Style 1 4" xfId="676" xr:uid="{00000000-0005-0000-0000-000067040000}"/>
    <cellStyle name="Style 1 4 2" xfId="677" xr:uid="{00000000-0005-0000-0000-000068040000}"/>
    <cellStyle name="Style 1 4 2 2" xfId="678" xr:uid="{00000000-0005-0000-0000-000069040000}"/>
    <cellStyle name="Style 1 4 3" xfId="679" xr:uid="{00000000-0005-0000-0000-00006A040000}"/>
    <cellStyle name="Style 1 5" xfId="680" xr:uid="{00000000-0005-0000-0000-00006B040000}"/>
    <cellStyle name="Style 1 5 2" xfId="681" xr:uid="{00000000-0005-0000-0000-00006C040000}"/>
    <cellStyle name="Style 1 5 2 2" xfId="682" xr:uid="{00000000-0005-0000-0000-00006D040000}"/>
    <cellStyle name="Style 1 5 3" xfId="683" xr:uid="{00000000-0005-0000-0000-00006E040000}"/>
    <cellStyle name="Style 1 6" xfId="684" xr:uid="{00000000-0005-0000-0000-00006F040000}"/>
    <cellStyle name="Style 1 6 2" xfId="685" xr:uid="{00000000-0005-0000-0000-000070040000}"/>
    <cellStyle name="Style 1 6 2 2" xfId="686" xr:uid="{00000000-0005-0000-0000-000071040000}"/>
    <cellStyle name="Style 1 6 3" xfId="687" xr:uid="{00000000-0005-0000-0000-000072040000}"/>
    <cellStyle name="Style 1 7" xfId="688" xr:uid="{00000000-0005-0000-0000-000073040000}"/>
    <cellStyle name="Style 1 7 2" xfId="689" xr:uid="{00000000-0005-0000-0000-000074040000}"/>
    <cellStyle name="Style 1 7 2 2" xfId="690" xr:uid="{00000000-0005-0000-0000-000075040000}"/>
    <cellStyle name="Style 1 7 3" xfId="691" xr:uid="{00000000-0005-0000-0000-000076040000}"/>
    <cellStyle name="Style 1 8" xfId="692" xr:uid="{00000000-0005-0000-0000-000077040000}"/>
    <cellStyle name="Style 1 8 2" xfId="693" xr:uid="{00000000-0005-0000-0000-000078040000}"/>
    <cellStyle name="Style 1 8 2 2" xfId="694" xr:uid="{00000000-0005-0000-0000-000079040000}"/>
    <cellStyle name="Style 1 8 3" xfId="695" xr:uid="{00000000-0005-0000-0000-00007A040000}"/>
    <cellStyle name="Style 1 9" xfId="696" xr:uid="{00000000-0005-0000-0000-00007B040000}"/>
    <cellStyle name="Style 1 9 2" xfId="697" xr:uid="{00000000-0005-0000-0000-00007C040000}"/>
    <cellStyle name="Style 1 9 2 2" xfId="698" xr:uid="{00000000-0005-0000-0000-00007D040000}"/>
    <cellStyle name="Style 1 9 3" xfId="699" xr:uid="{00000000-0005-0000-0000-00007E040000}"/>
    <cellStyle name="Style 1_FERC General Taxes" xfId="700" xr:uid="{00000000-0005-0000-0000-00007F040000}"/>
    <cellStyle name="System Defined" xfId="701" xr:uid="{00000000-0005-0000-0000-000080040000}"/>
    <cellStyle name="Title" xfId="705" builtinId="15" customBuiltin="1"/>
    <cellStyle name="Title 2" xfId="702" xr:uid="{00000000-0005-0000-0000-000082040000}"/>
    <cellStyle name="Total" xfId="720" builtinId="25" customBuiltin="1"/>
    <cellStyle name="Total 2" xfId="703" xr:uid="{00000000-0005-0000-0000-000084040000}"/>
    <cellStyle name="Warning Text" xfId="718" builtinId="11" customBuiltin="1"/>
    <cellStyle name="Warning Text 2" xfId="704" xr:uid="{00000000-0005-0000-0000-00008604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808000"/>
      <rgbColor rgb="00FF00FF"/>
      <rgbColor rgb="0000FFFF"/>
      <rgbColor rgb="00800000"/>
      <rgbColor rgb="00008000"/>
      <rgbColor rgb="00000080"/>
      <rgbColor rgb="00FFFF86"/>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FFF"/>
      <rgbColor rgb="0069FFFF"/>
      <rgbColor rgb="00E0FFE0"/>
      <rgbColor rgb="00FFFF80"/>
      <rgbColor rgb="00A6CAF0"/>
      <rgbColor rgb="00DD9CB3"/>
      <rgbColor rgb="00B38FEE"/>
      <rgbColor rgb="00E3E3E3"/>
      <rgbColor rgb="002A6FF9"/>
      <rgbColor rgb="003FB8CD"/>
      <rgbColor rgb="00488436"/>
      <rgbColor rgb="00958C41"/>
      <rgbColor rgb="008E5E42"/>
      <rgbColor rgb="00A0627A"/>
      <rgbColor rgb="00624FAC"/>
      <rgbColor rgb="00969696"/>
      <rgbColor rgb="001D2FBE"/>
      <rgbColor rgb="00286676"/>
      <rgbColor rgb="00004500"/>
      <rgbColor rgb="00453E01"/>
      <rgbColor rgb="006A2813"/>
      <rgbColor rgb="0085396A"/>
      <rgbColor rgb="004A3285"/>
      <rgbColor rgb="00424242"/>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4.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2590800</xdr:colOff>
      <xdr:row>168</xdr:row>
      <xdr:rowOff>152400</xdr:rowOff>
    </xdr:from>
    <xdr:to>
      <xdr:col>1</xdr:col>
      <xdr:colOff>165100</xdr:colOff>
      <xdr:row>170</xdr:row>
      <xdr:rowOff>0</xdr:rowOff>
    </xdr:to>
    <xdr:cxnSp macro="">
      <xdr:nvCxnSpPr>
        <xdr:cNvPr id="2" name="Straight Arrow Connector 1">
          <a:extLst>
            <a:ext uri="{FF2B5EF4-FFF2-40B4-BE49-F238E27FC236}">
              <a16:creationId xmlns:a16="http://schemas.microsoft.com/office/drawing/2014/main" id="{00000000-0008-0000-1000-000002000000}"/>
            </a:ext>
          </a:extLst>
        </xdr:cNvPr>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2590800</xdr:colOff>
      <xdr:row>168</xdr:row>
      <xdr:rowOff>152400</xdr:rowOff>
    </xdr:from>
    <xdr:to>
      <xdr:col>1</xdr:col>
      <xdr:colOff>165100</xdr:colOff>
      <xdr:row>170</xdr:row>
      <xdr:rowOff>0</xdr:rowOff>
    </xdr:to>
    <xdr:cxnSp macro="">
      <xdr:nvCxnSpPr>
        <xdr:cNvPr id="3" name="Straight Arrow Connector 2">
          <a:extLst>
            <a:ext uri="{FF2B5EF4-FFF2-40B4-BE49-F238E27FC236}">
              <a16:creationId xmlns:a16="http://schemas.microsoft.com/office/drawing/2014/main" id="{00000000-0008-0000-1000-000003000000}"/>
            </a:ext>
          </a:extLst>
        </xdr:cNvPr>
        <xdr:cNvCxnSpPr/>
      </xdr:nvCxnSpPr>
      <xdr:spPr>
        <a:xfrm flipV="1">
          <a:off x="2590800" y="27584400"/>
          <a:ext cx="193675" cy="17145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647700</xdr:colOff>
      <xdr:row>169</xdr:row>
      <xdr:rowOff>38100</xdr:rowOff>
    </xdr:from>
    <xdr:to>
      <xdr:col>13</xdr:col>
      <xdr:colOff>939800</xdr:colOff>
      <xdr:row>170</xdr:row>
      <xdr:rowOff>76200</xdr:rowOff>
    </xdr:to>
    <xdr:cxnSp macro="">
      <xdr:nvCxnSpPr>
        <xdr:cNvPr id="4" name="Straight Arrow Connector 3">
          <a:extLst>
            <a:ext uri="{FF2B5EF4-FFF2-40B4-BE49-F238E27FC236}">
              <a16:creationId xmlns:a16="http://schemas.microsoft.com/office/drawing/2014/main" id="{00000000-0008-0000-1000-000004000000}"/>
            </a:ext>
          </a:extLst>
        </xdr:cNvPr>
        <xdr:cNvCxnSpPr/>
      </xdr:nvCxnSpPr>
      <xdr:spPr>
        <a:xfrm flipH="1" flipV="1">
          <a:off x="14697075" y="27632025"/>
          <a:ext cx="292100" cy="20002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152400</xdr:colOff>
      <xdr:row>336</xdr:row>
      <xdr:rowOff>50800</xdr:rowOff>
    </xdr:from>
    <xdr:to>
      <xdr:col>13</xdr:col>
      <xdr:colOff>381000</xdr:colOff>
      <xdr:row>339</xdr:row>
      <xdr:rowOff>101600</xdr:rowOff>
    </xdr:to>
    <xdr:cxnSp macro="">
      <xdr:nvCxnSpPr>
        <xdr:cNvPr id="60" name="Straight Arrow Connector 59">
          <a:extLst>
            <a:ext uri="{FF2B5EF4-FFF2-40B4-BE49-F238E27FC236}">
              <a16:creationId xmlns:a16="http://schemas.microsoft.com/office/drawing/2014/main" id="{00000000-0008-0000-1000-00003C000000}"/>
            </a:ext>
          </a:extLst>
        </xdr:cNvPr>
        <xdr:cNvCxnSpPr/>
      </xdr:nvCxnSpPr>
      <xdr:spPr>
        <a:xfrm flipV="1">
          <a:off x="14201775" y="55200550"/>
          <a:ext cx="228600" cy="536575"/>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H:\Documents%20and%20Settings\jbailey\Local%20Settings\Temporary%20Internet%20Files\OLKA\JE%20130111%20August%202003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2009%20transmission%20rate%20case\Last%20File%20Schedules%20(version%20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heathas6-xp\cos0699%20case%203137\EXCEL\TGSgas\WP%20AA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oatioasis.com/TEMP/FERCFA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ElecRate\Info%20from%20Previous%20Cases\COS\W&amp;S%20Adj.xls"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ormula%20Rate%20FERC%20Filings/EDIT%20filing/Copy%20of%20Attachment%20A%20-%20PSE%20Formula%20rate%20(clean).xlsx" TargetMode="External"/><Relationship Id="rId1" Type="http://schemas.openxmlformats.org/officeDocument/2006/relationships/externalLinkPath" Target="/Federal%20&amp;%20Regional%20Policy/PSE%20Transmission%20Rates/Formula%20Rate%20FERC%20Filings/EDIT%20filing/Copy%20of%20Attachment%20A%20-%20PSE%20Formula%20rate%20(clea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eader Data"/>
      <sheetName val="Data Entry"/>
      <sheetName val="Temp Data"/>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A2"/>
      <sheetName val="AB2"/>
      <sheetName val="AC2"/>
      <sheetName val="AD2"/>
      <sheetName val="AE1"/>
      <sheetName val="AE2"/>
      <sheetName val="AF2 253"/>
      <sheetName val="AF2 254"/>
      <sheetName val="AF2 255"/>
      <sheetName val="AF2 ADIT New"/>
      <sheetName val="AF 253"/>
      <sheetName val="AF 255"/>
      <sheetName val="AF ADIT New"/>
      <sheetName val="AG2 114"/>
      <sheetName val="AG2 182.3"/>
      <sheetName val="AG2 186"/>
      <sheetName val="AG2 190 New"/>
      <sheetName val="AG 114"/>
      <sheetName val="AG 182.3"/>
      <sheetName val="AG 186"/>
      <sheetName val="AG 190 New"/>
      <sheetName val="AH2 Summary"/>
      <sheetName val="AH2 Prod"/>
      <sheetName val="AH2 Prod (2)"/>
      <sheetName val="AH2 Def Fuel"/>
      <sheetName val="AH2 930"/>
      <sheetName val="AH2 Fuel"/>
      <sheetName val="AH2 PurchPower"/>
      <sheetName val="AH Summary"/>
      <sheetName val="AH Prod"/>
      <sheetName val="AH Prod (2)"/>
      <sheetName val="AH Def Fuel"/>
      <sheetName val="AH 930"/>
      <sheetName val="AH Fuel"/>
      <sheetName val="AH PurchPower"/>
      <sheetName val="AI2 P1"/>
      <sheetName val="AI2 P2"/>
      <sheetName val="AI2 P3"/>
      <sheetName val="AI P1"/>
      <sheetName val="AI P2"/>
      <sheetName val="AI P3"/>
      <sheetName val="AI Labor WP"/>
      <sheetName val="AJ2"/>
      <sheetName val="AK2 P1"/>
      <sheetName val="AK2 PropTax"/>
      <sheetName val="AL2 Summary"/>
      <sheetName val="AL2 151"/>
      <sheetName val="AL2 120"/>
      <sheetName val="AL2 154"/>
      <sheetName val="AL2 163"/>
      <sheetName val="AL2 165"/>
      <sheetName val="AL Summary"/>
      <sheetName val="AL 151"/>
      <sheetName val="AL 120"/>
      <sheetName val="AL154"/>
      <sheetName val="AL 163"/>
      <sheetName val="AL 165"/>
      <sheetName val="AM 2"/>
      <sheetName val="AN 2"/>
      <sheetName val="AN"/>
      <sheetName val="AO2 AFUDC"/>
      <sheetName val="AO2 S-T"/>
      <sheetName val="AO2 L-T and Pref rate"/>
      <sheetName val="AO AFUDC"/>
      <sheetName val="AO S-T"/>
      <sheetName val="AO L-T and Pref rate"/>
      <sheetName val="AP-Period II"/>
      <sheetName val="AP"/>
      <sheetName val="AQ 2 AQ 1"/>
      <sheetName val="AQ 2 AQ2"/>
      <sheetName val="AQ AQ 1"/>
      <sheetName val="AQ AQ"/>
      <sheetName val="AR 2 A"/>
      <sheetName val="AR 2 ITC"/>
      <sheetName val="AR A"/>
      <sheetName val="AR ITC"/>
      <sheetName val="AS 2 AS"/>
      <sheetName val="AS AS"/>
      <sheetName val="AT 2 A"/>
      <sheetName val="AT A"/>
      <sheetName val="AU 2 AU"/>
      <sheetName val="AU AU"/>
      <sheetName val="AU AU (2)"/>
      <sheetName val="AV 2 COC"/>
      <sheetName val="AV 2 LTD"/>
      <sheetName val="AV 2 SUN"/>
      <sheetName val="AV 2 PCB"/>
      <sheetName val="AV 2 FMB"/>
      <sheetName val="AV 2 Prfd"/>
      <sheetName val="AV 2 Sheet1"/>
      <sheetName val="AV 2 Common"/>
      <sheetName val="AV 2 Cash Flow"/>
      <sheetName val="AV COC"/>
      <sheetName val="AV LTD"/>
      <sheetName val="AV SUN"/>
      <sheetName val="AV PCB"/>
      <sheetName val="AV FMB"/>
      <sheetName val="AV Prfd"/>
      <sheetName val="AV Sheet1"/>
      <sheetName val="AV Common"/>
      <sheetName val="AW 2 AW-Period II"/>
      <sheetName val="AW AW"/>
      <sheetName val="AW ST Debt Bal"/>
      <sheetName val="AX 2 AX"/>
      <sheetName val="AX AX"/>
      <sheetName val="AY 2 AY"/>
      <sheetName val="AY AY"/>
      <sheetName val="BA 2 BA"/>
      <sheetName val="BA BA"/>
      <sheetName val="BB 2 p1"/>
      <sheetName val="BB p1"/>
      <sheetName val="BC 2 2005BC"/>
      <sheetName val="BC 2000_2003"/>
      <sheetName val="BD 2 BD"/>
      <sheetName val="BD BD"/>
      <sheetName val="BD_6-12-06"/>
      <sheetName val="BG 2 p2"/>
      <sheetName val="BG p2"/>
      <sheetName val="BH 2 p1"/>
      <sheetName val="BH 2 p2"/>
      <sheetName val="BH p1"/>
      <sheetName val="BH p2"/>
      <sheetName val="BI 2 BI"/>
      <sheetName val="BI BI"/>
      <sheetName val="BK 2 BK"/>
      <sheetName val="BL 2 Rate design-Schedule BL"/>
      <sheetName val="BL BI"/>
      <sheetName val="CAPST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R 8"/>
      <sheetName val="RR 8 2"/>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ERCFACT"/>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W&amp;S Adj"/>
      <sheetName val="W&amp;S Nonsj"/>
      <sheetName val="W&amp;S sj"/>
      <sheetName val="W&amp;S by group"/>
      <sheetName val="RengOut"/>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ch 1"/>
      <sheetName val="ATT H-1 "/>
      <sheetName val="1 - ADIT"/>
      <sheetName val="2 - Other Tax"/>
      <sheetName val="3 - Revenue Credits"/>
      <sheetName val="4 - 100 Basis Pt ROE"/>
      <sheetName val="5 - Cost Support"/>
      <sheetName val="6 - Est and True up"/>
      <sheetName val="6A-Colstrip"/>
      <sheetName val="6B-So Intertie"/>
      <sheetName val="7 - Cap Add WS"/>
      <sheetName val="8 - Depreciation Rates"/>
      <sheetName val="WKSHT1 - Rev Credits"/>
      <sheetName val="WKSHT2 - Prepaid"/>
      <sheetName val="WKSHT3 - All GIFs"/>
      <sheetName val="WKSHT4 - Monthly Tx System Peak"/>
      <sheetName val="WKSHT5 - Plant in Service 13mo "/>
      <sheetName val="WKSHT6 - Cost of Capital"/>
      <sheetName val="WKSHT7 - Excess &amp; Defic. ADIT"/>
    </sheetNames>
    <sheetDataSet>
      <sheetData sheetId="0"/>
      <sheetData sheetId="1">
        <row r="235">
          <cell r="A235" t="str">
            <v>145a</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10.bin"/><Relationship Id="rId3" Type="http://schemas.openxmlformats.org/officeDocument/2006/relationships/printerSettings" Target="../printerSettings/printerSettings5.bin"/><Relationship Id="rId7" Type="http://schemas.openxmlformats.org/officeDocument/2006/relationships/printerSettings" Target="../printerSettings/printerSettings9.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10" Type="http://schemas.openxmlformats.org/officeDocument/2006/relationships/printerSettings" Target="../printerSettings/printerSettings12.bin"/><Relationship Id="rId4" Type="http://schemas.openxmlformats.org/officeDocument/2006/relationships/printerSettings" Target="../printerSettings/printerSettings6.bin"/><Relationship Id="rId9" Type="http://schemas.openxmlformats.org/officeDocument/2006/relationships/printerSettings" Target="../printerSettings/printerSettings11.bin"/></Relationships>
</file>

<file path=xl/worksheets/_rels/sheet4.xml.rels><?xml version="1.0" encoding="UTF-8" standalone="yes"?>
<Relationships xmlns="http://schemas.openxmlformats.org/package/2006/relationships"><Relationship Id="rId8" Type="http://schemas.openxmlformats.org/officeDocument/2006/relationships/printerSettings" Target="../printerSettings/printerSettings20.bin"/><Relationship Id="rId3" Type="http://schemas.openxmlformats.org/officeDocument/2006/relationships/printerSettings" Target="../printerSettings/printerSettings15.bin"/><Relationship Id="rId7" Type="http://schemas.openxmlformats.org/officeDocument/2006/relationships/printerSettings" Target="../printerSettings/printerSettings19.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10" Type="http://schemas.openxmlformats.org/officeDocument/2006/relationships/printerSettings" Target="../printerSettings/printerSettings22.bin"/><Relationship Id="rId4" Type="http://schemas.openxmlformats.org/officeDocument/2006/relationships/printerSettings" Target="../printerSettings/printerSettings16.bin"/><Relationship Id="rId9" Type="http://schemas.openxmlformats.org/officeDocument/2006/relationships/printerSettings" Target="../printerSettings/printerSettings21.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30.bin"/><Relationship Id="rId3" Type="http://schemas.openxmlformats.org/officeDocument/2006/relationships/printerSettings" Target="../printerSettings/printerSettings25.bin"/><Relationship Id="rId7" Type="http://schemas.openxmlformats.org/officeDocument/2006/relationships/printerSettings" Target="../printerSettings/printerSettings29.bin"/><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 Id="rId6" Type="http://schemas.openxmlformats.org/officeDocument/2006/relationships/printerSettings" Target="../printerSettings/printerSettings28.bin"/><Relationship Id="rId5" Type="http://schemas.openxmlformats.org/officeDocument/2006/relationships/printerSettings" Target="../printerSettings/printerSettings27.bin"/><Relationship Id="rId10" Type="http://schemas.openxmlformats.org/officeDocument/2006/relationships/printerSettings" Target="../printerSettings/printerSettings32.bin"/><Relationship Id="rId4" Type="http://schemas.openxmlformats.org/officeDocument/2006/relationships/printerSettings" Target="../printerSettings/printerSettings26.bin"/><Relationship Id="rId9" Type="http://schemas.openxmlformats.org/officeDocument/2006/relationships/printerSettings" Target="../printerSettings/printerSettings3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53"/>
  <sheetViews>
    <sheetView zoomScaleNormal="100" zoomScaleSheetLayoutView="75" workbookViewId="0">
      <selection activeCell="E17" sqref="E17"/>
    </sheetView>
  </sheetViews>
  <sheetFormatPr defaultRowHeight="12.75"/>
  <cols>
    <col min="2" max="2" width="56.7109375" bestFit="1" customWidth="1"/>
    <col min="4" max="4" width="33.85546875" bestFit="1" customWidth="1"/>
    <col min="5" max="5" width="17.140625" customWidth="1"/>
    <col min="6" max="6" width="12.85546875" bestFit="1" customWidth="1"/>
  </cols>
  <sheetData>
    <row r="2" spans="1:6">
      <c r="A2" s="1515" t="s">
        <v>406</v>
      </c>
      <c r="B2" s="1516"/>
      <c r="C2" s="1516"/>
      <c r="D2" s="1516"/>
      <c r="E2" s="1516"/>
    </row>
    <row r="3" spans="1:6">
      <c r="A3" s="1517" t="s">
        <v>369</v>
      </c>
      <c r="B3" s="1517"/>
      <c r="C3" s="1517"/>
      <c r="D3" s="1517"/>
      <c r="E3" s="1517"/>
    </row>
    <row r="4" spans="1:6">
      <c r="A4" s="1517" t="s">
        <v>370</v>
      </c>
      <c r="B4" s="1517"/>
      <c r="C4" s="1517"/>
      <c r="D4" s="1517"/>
      <c r="E4" s="1517"/>
    </row>
    <row r="5" spans="1:6">
      <c r="A5" s="378"/>
      <c r="B5" s="378"/>
      <c r="C5" s="378"/>
      <c r="D5" s="378"/>
      <c r="E5" s="378"/>
    </row>
    <row r="6" spans="1:6" ht="13.5" thickBot="1">
      <c r="A6" s="379" t="s">
        <v>371</v>
      </c>
      <c r="B6" s="379" t="s">
        <v>841</v>
      </c>
      <c r="C6" s="380"/>
      <c r="D6" s="379" t="s">
        <v>372</v>
      </c>
      <c r="E6" s="379" t="s">
        <v>136</v>
      </c>
      <c r="F6" s="503"/>
    </row>
    <row r="7" spans="1:6">
      <c r="A7" s="381">
        <v>1</v>
      </c>
      <c r="B7" s="382" t="s">
        <v>373</v>
      </c>
      <c r="C7" s="383"/>
      <c r="D7" s="384" t="s">
        <v>374</v>
      </c>
      <c r="E7" s="1057">
        <v>0</v>
      </c>
    </row>
    <row r="8" spans="1:6">
      <c r="A8" s="381">
        <v>2</v>
      </c>
      <c r="B8" s="382" t="s">
        <v>375</v>
      </c>
      <c r="C8" s="383"/>
      <c r="D8" s="382" t="s">
        <v>376</v>
      </c>
      <c r="E8" s="1057">
        <v>80269</v>
      </c>
      <c r="F8" s="103"/>
    </row>
    <row r="9" spans="1:6">
      <c r="A9" s="381">
        <v>3</v>
      </c>
      <c r="B9" s="382" t="s">
        <v>377</v>
      </c>
      <c r="C9" s="383"/>
      <c r="D9" s="382" t="s">
        <v>378</v>
      </c>
      <c r="E9" s="1057">
        <v>2580840</v>
      </c>
      <c r="F9" s="103"/>
    </row>
    <row r="10" spans="1:6">
      <c r="A10" s="381">
        <v>4</v>
      </c>
      <c r="B10" s="382" t="s">
        <v>379</v>
      </c>
      <c r="C10" s="383"/>
      <c r="D10" s="382" t="s">
        <v>380</v>
      </c>
      <c r="E10" s="1057">
        <v>1905865</v>
      </c>
      <c r="F10" s="103"/>
    </row>
    <row r="11" spans="1:6">
      <c r="A11" s="381">
        <v>5</v>
      </c>
      <c r="B11" s="382" t="s">
        <v>381</v>
      </c>
      <c r="C11" s="383"/>
      <c r="D11" s="382" t="s">
        <v>382</v>
      </c>
      <c r="E11" s="1057">
        <v>0</v>
      </c>
      <c r="F11" s="103"/>
    </row>
    <row r="12" spans="1:6">
      <c r="A12" s="381">
        <v>6</v>
      </c>
      <c r="B12" s="382" t="s">
        <v>383</v>
      </c>
      <c r="C12" s="383"/>
      <c r="D12" s="382" t="s">
        <v>384</v>
      </c>
      <c r="E12" s="1058">
        <f>2313251+20301</f>
        <v>2333552</v>
      </c>
      <c r="F12" s="103"/>
    </row>
    <row r="13" spans="1:6">
      <c r="A13" s="381">
        <v>7</v>
      </c>
      <c r="B13" s="382" t="s">
        <v>385</v>
      </c>
      <c r="C13" s="383"/>
      <c r="D13" s="382" t="s">
        <v>386</v>
      </c>
      <c r="E13" s="385">
        <f>SUM(E7:E12)</f>
        <v>6900526</v>
      </c>
      <c r="F13" s="470"/>
    </row>
    <row r="14" spans="1:6">
      <c r="A14" s="381"/>
      <c r="B14" s="386"/>
      <c r="C14" s="383"/>
      <c r="D14" s="386"/>
      <c r="E14" s="383"/>
    </row>
    <row r="15" spans="1:6">
      <c r="A15" s="381"/>
      <c r="B15" s="386"/>
      <c r="C15" s="383"/>
      <c r="D15" s="386"/>
      <c r="E15" s="383"/>
    </row>
    <row r="16" spans="1:6">
      <c r="A16" s="381">
        <v>8</v>
      </c>
      <c r="B16" s="382" t="s">
        <v>387</v>
      </c>
      <c r="C16" s="383"/>
      <c r="D16" s="382" t="s">
        <v>388</v>
      </c>
      <c r="E16" s="385">
        <f>E13</f>
        <v>6900526</v>
      </c>
    </row>
    <row r="17" spans="1:7">
      <c r="A17" s="381">
        <v>9</v>
      </c>
      <c r="B17" s="90" t="s">
        <v>155</v>
      </c>
      <c r="C17" s="383"/>
      <c r="D17" s="90" t="s">
        <v>389</v>
      </c>
      <c r="E17" s="1135">
        <f>'6 - Est and True up'!J155</f>
        <v>1570238.6832018781</v>
      </c>
      <c r="F17" s="68"/>
      <c r="G17" s="1236"/>
    </row>
    <row r="18" spans="1:7">
      <c r="A18" s="381">
        <v>10</v>
      </c>
      <c r="B18" s="90" t="s">
        <v>387</v>
      </c>
      <c r="C18" s="383"/>
      <c r="D18" s="90" t="s">
        <v>390</v>
      </c>
      <c r="E18" s="387">
        <f>+E16+E17</f>
        <v>8470764.6832018774</v>
      </c>
    </row>
    <row r="19" spans="1:7">
      <c r="A19" s="381"/>
      <c r="B19" s="386"/>
      <c r="C19" s="383"/>
      <c r="D19" s="386"/>
      <c r="E19" s="386"/>
    </row>
    <row r="20" spans="1:7">
      <c r="A20" s="381"/>
      <c r="B20" s="388" t="s">
        <v>391</v>
      </c>
      <c r="C20" s="383"/>
      <c r="D20" s="388"/>
      <c r="E20" s="382"/>
    </row>
    <row r="21" spans="1:7">
      <c r="A21" s="381"/>
      <c r="B21" s="386"/>
      <c r="C21" s="383"/>
      <c r="D21" s="386"/>
      <c r="E21" s="382"/>
    </row>
    <row r="22" spans="1:7">
      <c r="A22" s="381">
        <v>11</v>
      </c>
      <c r="B22" s="382" t="s">
        <v>392</v>
      </c>
      <c r="C22" s="383"/>
      <c r="D22" s="382" t="s">
        <v>393</v>
      </c>
      <c r="E22" s="385">
        <f>'ATT H-1 '!H293</f>
        <v>4343348.7369831223</v>
      </c>
    </row>
    <row r="23" spans="1:7">
      <c r="A23" s="381"/>
      <c r="B23" s="382"/>
      <c r="C23" s="383"/>
      <c r="D23" s="386"/>
      <c r="E23" s="382"/>
    </row>
    <row r="24" spans="1:7">
      <c r="A24" s="381"/>
      <c r="B24" s="386"/>
      <c r="C24" s="383"/>
      <c r="D24" s="386"/>
      <c r="E24" s="382"/>
    </row>
    <row r="25" spans="1:7">
      <c r="A25" s="381">
        <v>12</v>
      </c>
      <c r="B25" s="382" t="s">
        <v>394</v>
      </c>
      <c r="C25" s="383"/>
      <c r="D25" s="382" t="s">
        <v>464</v>
      </c>
      <c r="E25" s="389">
        <f>E16/E22</f>
        <v>1.5887570669246065</v>
      </c>
    </row>
    <row r="26" spans="1:7">
      <c r="A26" s="381">
        <v>13</v>
      </c>
      <c r="B26" s="382" t="s">
        <v>395</v>
      </c>
      <c r="C26" s="383"/>
      <c r="D26" s="382" t="s">
        <v>465</v>
      </c>
      <c r="E26" s="389">
        <f>($E$16/$E$22)/12</f>
        <v>0.1323964222437172</v>
      </c>
    </row>
    <row r="27" spans="1:7">
      <c r="A27" s="381">
        <v>14</v>
      </c>
      <c r="B27" s="382" t="s">
        <v>396</v>
      </c>
      <c r="C27" s="383"/>
      <c r="D27" s="382" t="s">
        <v>466</v>
      </c>
      <c r="E27" s="389">
        <f>($E$16/$E$22)/52</f>
        <v>3.0553020517780895E-2</v>
      </c>
    </row>
    <row r="28" spans="1:7">
      <c r="A28" s="381"/>
      <c r="B28" s="382"/>
      <c r="C28" s="383"/>
      <c r="D28" s="382"/>
      <c r="E28" s="389"/>
    </row>
    <row r="29" spans="1:7">
      <c r="A29" s="381">
        <v>13</v>
      </c>
      <c r="B29" s="382" t="s">
        <v>397</v>
      </c>
      <c r="C29" s="383"/>
      <c r="D29" s="382" t="s">
        <v>572</v>
      </c>
      <c r="E29" s="389">
        <f>($E$27/6)</f>
        <v>5.0921700862968161E-3</v>
      </c>
    </row>
    <row r="30" spans="1:7">
      <c r="A30" s="381">
        <v>14</v>
      </c>
      <c r="B30" s="382" t="s">
        <v>398</v>
      </c>
      <c r="C30" s="383"/>
      <c r="D30" s="382" t="s">
        <v>399</v>
      </c>
      <c r="E30" s="389">
        <f>($E$27/7)</f>
        <v>4.3647172168258417E-3</v>
      </c>
    </row>
    <row r="31" spans="1:7">
      <c r="A31" s="381"/>
      <c r="B31" s="382"/>
      <c r="C31" s="383"/>
      <c r="D31" s="382"/>
      <c r="E31" s="389"/>
    </row>
    <row r="32" spans="1:7">
      <c r="A32" s="381">
        <v>15</v>
      </c>
      <c r="B32" s="382" t="s">
        <v>400</v>
      </c>
      <c r="C32" s="383"/>
      <c r="D32" s="382" t="s">
        <v>401</v>
      </c>
      <c r="E32" s="389">
        <f>($E$29/16)*1000</f>
        <v>0.31826063039355101</v>
      </c>
    </row>
    <row r="33" spans="1:7">
      <c r="A33" s="381">
        <v>16</v>
      </c>
      <c r="B33" s="382" t="s">
        <v>402</v>
      </c>
      <c r="C33" s="383"/>
      <c r="D33" s="382" t="s">
        <v>403</v>
      </c>
      <c r="E33" s="389">
        <f>($E$30/24)*1000</f>
        <v>0.18186321736774338</v>
      </c>
    </row>
    <row r="34" spans="1:7">
      <c r="A34" s="383"/>
      <c r="B34" s="383"/>
      <c r="C34" s="383"/>
      <c r="D34" s="390"/>
      <c r="E34" s="386"/>
    </row>
    <row r="35" spans="1:7">
      <c r="A35" s="391"/>
      <c r="B35" s="391"/>
      <c r="C35" s="391"/>
      <c r="D35" s="392"/>
      <c r="E35" s="393"/>
    </row>
    <row r="36" spans="1:7">
      <c r="A36" s="391"/>
      <c r="B36" s="391"/>
      <c r="C36" s="391"/>
      <c r="D36" s="392"/>
      <c r="E36" s="102"/>
    </row>
    <row r="37" spans="1:7">
      <c r="A37" s="391"/>
      <c r="B37" s="391"/>
      <c r="C37" s="391"/>
      <c r="D37" s="394"/>
      <c r="E37" s="102"/>
    </row>
    <row r="38" spans="1:7" ht="15">
      <c r="A38" s="395" t="s">
        <v>404</v>
      </c>
      <c r="B38" s="396"/>
      <c r="C38" s="396"/>
      <c r="D38" s="396"/>
      <c r="E38" s="396"/>
    </row>
    <row r="39" spans="1:7" ht="15">
      <c r="A39" s="397">
        <v>1</v>
      </c>
      <c r="B39" s="1518" t="s">
        <v>458</v>
      </c>
      <c r="C39" s="1518"/>
      <c r="D39" s="1518"/>
      <c r="E39" s="1518"/>
    </row>
    <row r="40" spans="1:7" ht="15">
      <c r="A40" s="397">
        <v>2</v>
      </c>
      <c r="B40" s="1514" t="s">
        <v>405</v>
      </c>
      <c r="C40" s="1514"/>
      <c r="D40" s="1514"/>
      <c r="E40" s="396"/>
    </row>
    <row r="45" spans="1:7">
      <c r="F45" s="567"/>
      <c r="G45" s="567"/>
    </row>
    <row r="46" spans="1:7">
      <c r="E46" s="285"/>
    </row>
    <row r="47" spans="1:7">
      <c r="E47" s="329"/>
    </row>
    <row r="48" spans="1:7">
      <c r="E48" s="285"/>
    </row>
    <row r="49" spans="5:6">
      <c r="E49" s="285"/>
    </row>
    <row r="50" spans="5:6">
      <c r="E50" s="285"/>
    </row>
    <row r="51" spans="5:6">
      <c r="E51" s="329"/>
      <c r="F51" s="567"/>
    </row>
    <row r="52" spans="5:6">
      <c r="E52" s="568"/>
    </row>
    <row r="53" spans="5:6">
      <c r="E53" s="329"/>
    </row>
  </sheetData>
  <mergeCells count="5">
    <mergeCell ref="B40:D40"/>
    <mergeCell ref="A2:E2"/>
    <mergeCell ref="A3:E3"/>
    <mergeCell ref="A4:E4"/>
    <mergeCell ref="B39:E39"/>
  </mergeCells>
  <phoneticPr fontId="73" type="noConversion"/>
  <pageMargins left="0.2" right="0.2" top="0.75" bottom="0.75" header="0.3" footer="0.3"/>
  <pageSetup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2:AA190"/>
  <sheetViews>
    <sheetView topLeftCell="A57" zoomScale="75" zoomScaleNormal="75" zoomScaleSheetLayoutView="55" workbookViewId="0">
      <selection activeCell="I91" sqref="I91"/>
    </sheetView>
  </sheetViews>
  <sheetFormatPr defaultRowHeight="12.75"/>
  <cols>
    <col min="3" max="3" width="18.140625" customWidth="1"/>
    <col min="4" max="4" width="18.85546875" customWidth="1"/>
    <col min="5" max="5" width="28.85546875" customWidth="1"/>
    <col min="6" max="6" width="16.42578125" customWidth="1"/>
    <col min="7" max="7" width="19.42578125" customWidth="1"/>
    <col min="8" max="8" width="20.5703125" customWidth="1"/>
    <col min="9" max="9" width="11.5703125" customWidth="1"/>
    <col min="10" max="11" width="13.5703125" customWidth="1"/>
    <col min="12" max="12" width="13.140625" customWidth="1"/>
    <col min="13" max="13" width="16" customWidth="1"/>
    <col min="14" max="14" width="15" customWidth="1"/>
  </cols>
  <sheetData>
    <row r="2" spans="1:27" ht="15">
      <c r="A2" s="1527" t="s">
        <v>446</v>
      </c>
      <c r="B2" s="1527"/>
      <c r="C2" s="1527"/>
      <c r="D2" s="1527"/>
      <c r="E2" s="1527"/>
      <c r="F2" s="1527"/>
      <c r="G2" s="1527"/>
      <c r="H2" s="1527"/>
      <c r="I2" s="1527"/>
      <c r="J2" s="1527"/>
      <c r="K2" s="1527"/>
      <c r="L2" s="1527"/>
      <c r="M2" s="1527"/>
      <c r="N2" s="1527"/>
      <c r="O2" s="1527"/>
      <c r="P2" s="1527"/>
      <c r="Q2" s="1527"/>
      <c r="R2" s="1527"/>
    </row>
    <row r="3" spans="1:27" ht="18">
      <c r="A3" s="1049" t="s">
        <v>878</v>
      </c>
      <c r="B3" s="398"/>
      <c r="C3" s="398"/>
      <c r="D3" s="398"/>
      <c r="E3" s="398"/>
      <c r="F3" s="398"/>
      <c r="G3" s="398"/>
      <c r="H3" s="398"/>
      <c r="I3" s="399"/>
      <c r="J3" s="399"/>
      <c r="K3" s="278"/>
      <c r="L3" s="278"/>
      <c r="M3" s="278"/>
      <c r="N3" s="278"/>
      <c r="O3" s="278"/>
      <c r="P3" s="278"/>
      <c r="Q3" s="278"/>
      <c r="R3" s="278"/>
    </row>
    <row r="4" spans="1:27">
      <c r="A4" s="278"/>
      <c r="B4" s="278"/>
      <c r="C4" s="278"/>
      <c r="D4" s="278"/>
      <c r="E4" s="1271" t="s">
        <v>1098</v>
      </c>
      <c r="F4" s="1272">
        <v>2023</v>
      </c>
      <c r="G4" s="278"/>
      <c r="H4" s="278"/>
      <c r="I4" s="278"/>
      <c r="J4" s="278"/>
      <c r="K4" s="278"/>
      <c r="L4" s="278"/>
      <c r="M4" s="278"/>
      <c r="N4" s="278"/>
      <c r="O4" s="278"/>
      <c r="P4" s="278"/>
      <c r="Q4" s="278"/>
      <c r="R4" s="278"/>
    </row>
    <row r="5" spans="1:27" ht="16.5">
      <c r="A5" s="277"/>
      <c r="B5" s="277"/>
      <c r="C5" s="277"/>
      <c r="D5" s="276"/>
      <c r="E5" s="1271" t="s">
        <v>1099</v>
      </c>
      <c r="F5" s="1273">
        <v>2024</v>
      </c>
      <c r="G5" s="276"/>
      <c r="H5" s="276"/>
      <c r="I5" s="276"/>
      <c r="J5" s="400"/>
      <c r="K5" s="276"/>
      <c r="L5" s="276"/>
      <c r="M5" s="276"/>
      <c r="N5" s="276"/>
      <c r="O5" s="276"/>
      <c r="P5" s="276"/>
      <c r="Q5" s="276"/>
      <c r="R5" s="276"/>
    </row>
    <row r="6" spans="1:27" ht="13.5">
      <c r="A6" s="401" t="s">
        <v>617</v>
      </c>
      <c r="B6" s="401" t="s">
        <v>618</v>
      </c>
      <c r="C6" s="401" t="s">
        <v>619</v>
      </c>
      <c r="D6" s="401" t="s">
        <v>620</v>
      </c>
      <c r="E6" s="1271" t="s">
        <v>1100</v>
      </c>
      <c r="F6" s="1273">
        <v>2025</v>
      </c>
      <c r="G6" s="402"/>
      <c r="H6" s="402"/>
      <c r="I6" s="402"/>
      <c r="J6" s="402"/>
      <c r="K6" s="402"/>
      <c r="L6" s="402"/>
      <c r="M6" s="402"/>
      <c r="N6" s="402"/>
      <c r="O6" s="402"/>
      <c r="P6" s="402"/>
      <c r="Q6" s="402"/>
      <c r="R6" s="402"/>
      <c r="X6" s="402"/>
      <c r="Y6" s="402"/>
      <c r="Z6" s="402"/>
      <c r="AA6" s="402"/>
    </row>
    <row r="7" spans="1:27" ht="13.5">
      <c r="A7" s="277"/>
      <c r="B7" s="401"/>
      <c r="C7" s="401"/>
      <c r="D7" s="402"/>
      <c r="E7" s="402"/>
      <c r="F7" s="402"/>
      <c r="G7" s="402"/>
      <c r="H7" s="402"/>
      <c r="I7" s="402"/>
      <c r="J7" s="402"/>
      <c r="K7" s="402"/>
      <c r="L7" s="402"/>
      <c r="M7" s="402"/>
      <c r="N7" s="402"/>
      <c r="O7" s="402"/>
      <c r="P7" s="402"/>
      <c r="Q7" s="402"/>
      <c r="R7" s="402"/>
      <c r="X7" s="402"/>
      <c r="Y7" s="402"/>
      <c r="Z7" s="402"/>
      <c r="AA7" s="402"/>
    </row>
    <row r="8" spans="1:27" ht="13.5">
      <c r="A8" s="403" t="s">
        <v>621</v>
      </c>
      <c r="B8" s="401"/>
      <c r="C8" s="401"/>
      <c r="D8" s="402"/>
      <c r="E8" s="402"/>
      <c r="F8" s="402"/>
      <c r="G8" s="402"/>
      <c r="H8" s="402"/>
      <c r="I8" s="402"/>
      <c r="J8" s="402"/>
      <c r="K8" s="402"/>
      <c r="L8" s="402"/>
      <c r="M8" s="402"/>
      <c r="N8" s="402"/>
      <c r="X8" s="402"/>
      <c r="Y8" s="402"/>
      <c r="Z8" s="402"/>
      <c r="AA8" s="402"/>
    </row>
    <row r="9" spans="1:27" ht="15.75">
      <c r="A9" s="401">
        <v>1</v>
      </c>
      <c r="B9" s="401" t="s">
        <v>622</v>
      </c>
      <c r="C9" s="401" t="s">
        <v>597</v>
      </c>
      <c r="D9" s="1265" t="s">
        <v>1085</v>
      </c>
      <c r="E9" s="402"/>
      <c r="F9" s="402"/>
      <c r="G9" s="402"/>
      <c r="H9" s="402"/>
      <c r="I9" s="402"/>
      <c r="J9" s="402"/>
      <c r="K9" s="402"/>
      <c r="L9" s="402"/>
      <c r="M9" s="402"/>
      <c r="N9" s="402"/>
      <c r="X9" s="402"/>
      <c r="Y9" s="605"/>
      <c r="Z9" s="605"/>
      <c r="AA9" s="411"/>
    </row>
    <row r="10" spans="1:27" ht="13.5">
      <c r="A10" s="401">
        <v>2</v>
      </c>
      <c r="B10" s="401" t="s">
        <v>622</v>
      </c>
      <c r="C10" s="401" t="s">
        <v>597</v>
      </c>
      <c r="D10" s="404" t="s">
        <v>1086</v>
      </c>
      <c r="E10" s="402"/>
      <c r="F10" s="402"/>
      <c r="G10" s="402"/>
      <c r="H10" s="402"/>
      <c r="I10" s="402"/>
      <c r="J10" s="402"/>
      <c r="K10" s="402"/>
      <c r="L10" s="402"/>
      <c r="M10" s="402"/>
      <c r="N10" s="402"/>
      <c r="X10" s="402"/>
      <c r="Y10" s="605"/>
      <c r="Z10" s="605"/>
      <c r="AA10" s="411"/>
    </row>
    <row r="11" spans="1:27" ht="13.5">
      <c r="A11" s="401">
        <v>3</v>
      </c>
      <c r="B11" s="401" t="s">
        <v>622</v>
      </c>
      <c r="C11" s="401" t="s">
        <v>597</v>
      </c>
      <c r="D11" s="404" t="s">
        <v>1087</v>
      </c>
      <c r="E11" s="402"/>
      <c r="F11" s="402"/>
      <c r="G11" s="402"/>
      <c r="H11" s="402"/>
      <c r="I11" s="402"/>
      <c r="J11" s="402"/>
      <c r="K11" s="402"/>
      <c r="L11" s="402"/>
      <c r="M11" s="402"/>
      <c r="N11" s="402"/>
      <c r="X11" s="402"/>
      <c r="Y11" s="605"/>
      <c r="Z11" s="605"/>
      <c r="AA11" s="411"/>
    </row>
    <row r="12" spans="1:27" ht="13.5">
      <c r="A12" s="401">
        <v>4</v>
      </c>
      <c r="B12" s="401" t="s">
        <v>623</v>
      </c>
      <c r="C12" s="401" t="s">
        <v>597</v>
      </c>
      <c r="D12" s="404" t="s">
        <v>958</v>
      </c>
      <c r="E12" s="402"/>
      <c r="F12" s="402"/>
      <c r="G12" s="402"/>
      <c r="H12" s="402"/>
      <c r="I12" s="402"/>
      <c r="J12" s="402"/>
      <c r="K12" s="402"/>
      <c r="L12" s="402"/>
      <c r="M12" s="402"/>
      <c r="N12" s="402"/>
      <c r="X12" s="402"/>
      <c r="Y12" s="606"/>
      <c r="Z12" s="606"/>
      <c r="AA12" s="411"/>
    </row>
    <row r="13" spans="1:27" ht="13.5">
      <c r="A13" s="401">
        <v>5</v>
      </c>
      <c r="B13" s="405" t="s">
        <v>624</v>
      </c>
      <c r="C13" s="401" t="s">
        <v>597</v>
      </c>
      <c r="D13" s="404" t="s">
        <v>1088</v>
      </c>
      <c r="E13" s="402"/>
      <c r="F13" s="402"/>
      <c r="G13" s="402"/>
      <c r="H13" s="402"/>
      <c r="I13" s="402"/>
      <c r="J13" s="402"/>
      <c r="K13" s="402"/>
      <c r="L13" s="402"/>
      <c r="M13" s="402"/>
      <c r="N13" s="402"/>
      <c r="X13" s="402"/>
      <c r="Y13" s="606"/>
      <c r="Z13" s="606"/>
      <c r="AA13" s="411"/>
    </row>
    <row r="14" spans="1:27" ht="13.5">
      <c r="A14" s="401">
        <v>6</v>
      </c>
      <c r="B14" s="401" t="s">
        <v>622</v>
      </c>
      <c r="C14" s="401" t="s">
        <v>598</v>
      </c>
      <c r="D14" s="404" t="s">
        <v>1089</v>
      </c>
      <c r="E14" s="402"/>
      <c r="F14" s="402"/>
      <c r="G14" s="402"/>
      <c r="H14" s="402"/>
      <c r="I14" s="402"/>
      <c r="J14" s="402"/>
      <c r="K14" s="402"/>
      <c r="L14" s="402"/>
      <c r="M14" s="402"/>
      <c r="N14" s="402"/>
      <c r="X14" s="402"/>
      <c r="Y14" s="606"/>
      <c r="Z14" s="606"/>
      <c r="AA14" s="411"/>
    </row>
    <row r="15" spans="1:27" ht="13.5">
      <c r="A15" s="401">
        <v>7</v>
      </c>
      <c r="B15" s="401" t="s">
        <v>622</v>
      </c>
      <c r="C15" s="401" t="s">
        <v>598</v>
      </c>
      <c r="D15" s="404" t="str">
        <f>+D65</f>
        <v>Reconciliation</v>
      </c>
      <c r="E15" s="276"/>
      <c r="F15" s="276"/>
      <c r="G15" s="276"/>
      <c r="H15" s="276"/>
      <c r="I15" s="276"/>
      <c r="J15" s="276"/>
      <c r="K15" s="402"/>
      <c r="L15" s="402"/>
      <c r="M15" s="402"/>
      <c r="N15" s="402"/>
      <c r="X15" s="402"/>
      <c r="Y15" s="606"/>
      <c r="Z15" s="606"/>
      <c r="AA15" s="411"/>
    </row>
    <row r="16" spans="1:27" ht="13.5">
      <c r="A16" s="401">
        <v>8</v>
      </c>
      <c r="B16" s="401" t="s">
        <v>622</v>
      </c>
      <c r="C16" s="401" t="s">
        <v>598</v>
      </c>
      <c r="D16" s="404" t="s">
        <v>1103</v>
      </c>
      <c r="E16" s="402"/>
      <c r="F16" s="402"/>
      <c r="G16" s="402"/>
      <c r="H16" s="402"/>
      <c r="I16" s="402"/>
      <c r="J16" s="402"/>
      <c r="K16" s="402"/>
      <c r="L16" s="402"/>
      <c r="M16" s="402"/>
      <c r="N16" s="402"/>
      <c r="X16" s="402"/>
      <c r="Y16" s="606"/>
      <c r="Z16" s="606"/>
      <c r="AA16" s="411"/>
    </row>
    <row r="17" spans="1:27" ht="13.5">
      <c r="A17" s="401">
        <v>9</v>
      </c>
      <c r="B17" s="401" t="s">
        <v>622</v>
      </c>
      <c r="C17" s="401" t="s">
        <v>598</v>
      </c>
      <c r="D17" s="404" t="s">
        <v>1090</v>
      </c>
      <c r="E17" s="402"/>
      <c r="F17" s="402"/>
      <c r="G17" s="402"/>
      <c r="H17" s="402"/>
      <c r="I17" s="402"/>
      <c r="J17" s="402"/>
      <c r="K17" s="402"/>
      <c r="L17" s="402"/>
      <c r="M17" s="402"/>
      <c r="N17" s="402"/>
      <c r="X17" s="402"/>
      <c r="Y17" s="606"/>
      <c r="Z17" s="606"/>
      <c r="AA17" s="411"/>
    </row>
    <row r="18" spans="1:27" ht="13.5">
      <c r="A18" s="401">
        <v>10</v>
      </c>
      <c r="B18" s="401" t="s">
        <v>623</v>
      </c>
      <c r="C18" s="401" t="s">
        <v>598</v>
      </c>
      <c r="D18" s="404" t="s">
        <v>459</v>
      </c>
      <c r="E18" s="402"/>
      <c r="F18" s="402"/>
      <c r="G18" s="402"/>
      <c r="H18" s="402"/>
      <c r="I18" s="402"/>
      <c r="J18" s="402"/>
      <c r="K18" s="402"/>
      <c r="L18" s="402"/>
      <c r="M18" s="402"/>
      <c r="N18" s="402"/>
      <c r="X18" s="402"/>
      <c r="Y18" s="606"/>
      <c r="Z18" s="606"/>
      <c r="AA18" s="411"/>
    </row>
    <row r="19" spans="1:27" ht="13.5">
      <c r="A19" s="401">
        <v>11</v>
      </c>
      <c r="B19" s="405" t="s">
        <v>624</v>
      </c>
      <c r="C19" s="401" t="s">
        <v>598</v>
      </c>
      <c r="D19" s="404" t="s">
        <v>1091</v>
      </c>
      <c r="E19" s="402"/>
      <c r="F19" s="402"/>
      <c r="G19" s="402"/>
      <c r="H19" s="402"/>
      <c r="I19" s="402"/>
      <c r="J19" s="402"/>
      <c r="K19" s="402"/>
      <c r="L19" s="402"/>
      <c r="M19" s="402"/>
      <c r="N19" s="402"/>
      <c r="X19" s="402"/>
      <c r="Y19" s="606"/>
      <c r="Z19" s="606"/>
      <c r="AA19" s="606"/>
    </row>
    <row r="20" spans="1:27" ht="13.5">
      <c r="A20" s="401"/>
      <c r="B20" s="405"/>
      <c r="C20" s="401"/>
      <c r="D20" s="404"/>
      <c r="E20" s="402"/>
      <c r="F20" s="402"/>
      <c r="G20" s="402"/>
      <c r="H20" s="402"/>
      <c r="I20" s="402"/>
      <c r="J20" s="402"/>
      <c r="K20" s="402"/>
      <c r="L20" s="402"/>
      <c r="M20" s="402"/>
      <c r="N20" s="402"/>
      <c r="X20" s="402"/>
      <c r="Y20" s="402"/>
      <c r="Z20" s="402"/>
      <c r="AA20" s="402"/>
    </row>
    <row r="21" spans="1:27" ht="13.5">
      <c r="A21" s="403"/>
      <c r="B21" s="401"/>
      <c r="C21" s="401"/>
      <c r="D21" s="406"/>
      <c r="E21" s="402"/>
      <c r="F21" s="402"/>
      <c r="G21" s="402"/>
      <c r="H21" s="402"/>
      <c r="I21" s="402"/>
      <c r="J21" s="402"/>
      <c r="K21" s="402"/>
      <c r="L21" s="402"/>
      <c r="M21" s="402"/>
      <c r="N21" s="402"/>
      <c r="X21" s="402"/>
      <c r="Y21" s="402"/>
      <c r="Z21" s="402"/>
      <c r="AA21" s="402"/>
    </row>
    <row r="22" spans="1:27" ht="13.5">
      <c r="A22" s="401">
        <v>1</v>
      </c>
      <c r="B22" s="401" t="s">
        <v>622</v>
      </c>
      <c r="C22" s="401" t="s">
        <v>597</v>
      </c>
      <c r="D22" s="402" t="s">
        <v>1092</v>
      </c>
      <c r="E22" s="402"/>
      <c r="F22" s="402"/>
      <c r="G22" s="402"/>
      <c r="H22" s="402"/>
      <c r="I22" s="402"/>
      <c r="J22" s="276"/>
      <c r="K22" s="402"/>
      <c r="L22" s="402"/>
      <c r="M22" s="402"/>
      <c r="N22" s="402"/>
    </row>
    <row r="23" spans="1:27" ht="13.5">
      <c r="A23" s="401"/>
      <c r="B23" s="401"/>
      <c r="C23" s="401"/>
      <c r="D23" s="407"/>
      <c r="E23" s="402" t="s">
        <v>365</v>
      </c>
      <c r="F23" s="402"/>
      <c r="G23" s="1280" t="s">
        <v>1082</v>
      </c>
      <c r="H23" s="1097"/>
      <c r="I23" s="1097"/>
      <c r="J23" s="1097"/>
      <c r="K23" s="402"/>
      <c r="L23" s="402"/>
      <c r="M23" s="402"/>
      <c r="N23" s="402"/>
    </row>
    <row r="24" spans="1:27" ht="13.5">
      <c r="A24" s="401"/>
      <c r="B24" s="401"/>
      <c r="C24" s="401"/>
      <c r="D24" s="409"/>
      <c r="E24" s="402"/>
      <c r="F24" s="402"/>
      <c r="G24" s="402"/>
      <c r="H24" s="402"/>
      <c r="I24" s="402"/>
      <c r="J24" s="402"/>
      <c r="K24" s="402"/>
      <c r="L24" s="402"/>
      <c r="M24" s="402"/>
      <c r="N24" s="402"/>
      <c r="O24" s="402"/>
      <c r="P24" s="402"/>
      <c r="Q24" s="402"/>
      <c r="R24" s="402"/>
    </row>
    <row r="25" spans="1:27" ht="13.5">
      <c r="A25" s="401">
        <v>2</v>
      </c>
      <c r="B25" s="401" t="s">
        <v>622</v>
      </c>
      <c r="C25" s="401" t="s">
        <v>597</v>
      </c>
      <c r="D25" s="404" t="s">
        <v>1086</v>
      </c>
      <c r="E25" s="402"/>
      <c r="F25" s="402"/>
      <c r="G25" s="402"/>
      <c r="H25" s="402"/>
      <c r="I25" s="402"/>
      <c r="J25" s="276"/>
      <c r="K25" s="402"/>
      <c r="L25" s="402"/>
      <c r="M25" s="402"/>
      <c r="N25" s="402"/>
      <c r="O25" s="402"/>
      <c r="P25" s="402"/>
      <c r="Q25" s="402"/>
      <c r="R25" s="402"/>
    </row>
    <row r="26" spans="1:27" ht="13.5">
      <c r="A26" s="401"/>
      <c r="C26" s="401"/>
      <c r="D26" s="404"/>
      <c r="E26" s="402"/>
      <c r="F26" s="402"/>
      <c r="G26" s="402"/>
      <c r="H26" s="402"/>
      <c r="I26" s="402"/>
      <c r="J26" s="276"/>
      <c r="K26" s="402"/>
      <c r="L26" s="402"/>
      <c r="M26" s="402"/>
      <c r="N26" s="402"/>
      <c r="O26" s="402"/>
      <c r="P26" s="402"/>
      <c r="Q26" s="402"/>
      <c r="R26" s="402"/>
    </row>
    <row r="27" spans="1:27" ht="13.5">
      <c r="A27" s="401"/>
      <c r="B27" s="276"/>
      <c r="C27" s="324" t="s">
        <v>262</v>
      </c>
      <c r="D27" s="324" t="s">
        <v>263</v>
      </c>
      <c r="E27" s="324" t="s">
        <v>355</v>
      </c>
      <c r="F27" s="324" t="s">
        <v>264</v>
      </c>
      <c r="G27" s="324" t="s">
        <v>265</v>
      </c>
      <c r="H27" s="324" t="s">
        <v>261</v>
      </c>
      <c r="I27" s="324"/>
      <c r="J27" s="324" t="s">
        <v>566</v>
      </c>
      <c r="K27" s="324" t="s">
        <v>567</v>
      </c>
      <c r="L27" s="324" t="s">
        <v>959</v>
      </c>
      <c r="M27" s="401" t="s">
        <v>960</v>
      </c>
      <c r="N27" s="401" t="s">
        <v>961</v>
      </c>
      <c r="O27" s="401" t="s">
        <v>962</v>
      </c>
      <c r="P27" s="401"/>
      <c r="Q27" s="401"/>
      <c r="R27" s="401"/>
    </row>
    <row r="28" spans="1:27" ht="13.5">
      <c r="A28" s="401"/>
      <c r="B28" s="276"/>
      <c r="C28" s="401" t="s">
        <v>218</v>
      </c>
      <c r="D28" s="401" t="s">
        <v>218</v>
      </c>
      <c r="E28" s="401" t="s">
        <v>218</v>
      </c>
      <c r="F28" s="401" t="s">
        <v>218</v>
      </c>
      <c r="G28" s="401" t="s">
        <v>218</v>
      </c>
      <c r="H28" s="401" t="s">
        <v>218</v>
      </c>
      <c r="I28" s="401"/>
      <c r="J28" s="401" t="s">
        <v>72</v>
      </c>
      <c r="K28" s="401" t="s">
        <v>72</v>
      </c>
      <c r="L28" s="401" t="s">
        <v>72</v>
      </c>
      <c r="M28" s="401" t="s">
        <v>72</v>
      </c>
      <c r="N28" s="401" t="s">
        <v>72</v>
      </c>
      <c r="O28" s="401" t="s">
        <v>72</v>
      </c>
      <c r="P28" s="401"/>
      <c r="Q28" s="401"/>
    </row>
    <row r="29" spans="1:27" ht="13.5">
      <c r="A29" s="401"/>
      <c r="B29" s="402"/>
      <c r="C29" s="401" t="s">
        <v>68</v>
      </c>
      <c r="D29" s="401" t="s">
        <v>68</v>
      </c>
      <c r="E29" s="401" t="s">
        <v>68</v>
      </c>
      <c r="F29" s="401" t="s">
        <v>68</v>
      </c>
      <c r="G29" s="438"/>
      <c r="H29" s="438"/>
      <c r="I29" s="401"/>
      <c r="J29" s="401" t="s">
        <v>73</v>
      </c>
      <c r="K29" s="401" t="s">
        <v>74</v>
      </c>
      <c r="L29" s="401" t="s">
        <v>75</v>
      </c>
      <c r="M29" s="401" t="s">
        <v>76</v>
      </c>
      <c r="N29" s="401" t="s">
        <v>77</v>
      </c>
      <c r="O29" s="401" t="s">
        <v>78</v>
      </c>
      <c r="P29" s="401"/>
      <c r="Q29" s="402"/>
    </row>
    <row r="30" spans="1:27" ht="13.5">
      <c r="A30" s="401"/>
      <c r="B30" s="402"/>
      <c r="C30" s="401"/>
      <c r="D30" s="401"/>
      <c r="E30" s="401"/>
      <c r="F30" s="401"/>
      <c r="G30" s="401" t="s">
        <v>69</v>
      </c>
      <c r="H30" s="401" t="s">
        <v>70</v>
      </c>
      <c r="I30" s="401"/>
      <c r="J30" s="401"/>
      <c r="K30" s="401"/>
      <c r="L30" s="401"/>
      <c r="M30" s="401"/>
      <c r="N30" s="401"/>
      <c r="O30" s="401"/>
      <c r="Q30" s="402"/>
    </row>
    <row r="31" spans="1:27" ht="13.5">
      <c r="A31" s="401"/>
      <c r="B31" s="402"/>
      <c r="C31" s="401"/>
      <c r="D31" s="410"/>
      <c r="E31" s="410"/>
      <c r="F31" s="410"/>
      <c r="G31" s="401"/>
      <c r="H31" s="401"/>
      <c r="I31" s="437"/>
      <c r="J31" s="401"/>
      <c r="K31" s="401"/>
      <c r="L31" s="411"/>
      <c r="M31" s="401"/>
      <c r="N31" s="401"/>
      <c r="O31" s="406"/>
      <c r="Q31" s="402"/>
    </row>
    <row r="32" spans="1:27" ht="13.5">
      <c r="A32" s="401"/>
      <c r="B32" s="402" t="s">
        <v>625</v>
      </c>
      <c r="C32" s="607"/>
      <c r="D32" s="412"/>
      <c r="E32" s="412"/>
      <c r="F32" s="412"/>
      <c r="G32" s="412"/>
      <c r="H32" s="412"/>
      <c r="I32" s="437"/>
      <c r="J32" s="411">
        <f t="shared" ref="J32:O32" si="0">C32</f>
        <v>0</v>
      </c>
      <c r="K32" s="411">
        <f t="shared" si="0"/>
        <v>0</v>
      </c>
      <c r="L32" s="411">
        <f t="shared" si="0"/>
        <v>0</v>
      </c>
      <c r="M32" s="411">
        <f t="shared" si="0"/>
        <v>0</v>
      </c>
      <c r="N32" s="411">
        <f t="shared" si="0"/>
        <v>0</v>
      </c>
      <c r="O32" s="411">
        <f t="shared" si="0"/>
        <v>0</v>
      </c>
      <c r="P32" s="411"/>
      <c r="Q32" s="402"/>
    </row>
    <row r="33" spans="1:17" ht="13.5">
      <c r="A33" s="401"/>
      <c r="B33" s="402" t="s">
        <v>626</v>
      </c>
      <c r="C33" s="607"/>
      <c r="D33" s="412"/>
      <c r="E33" s="412"/>
      <c r="F33" s="412"/>
      <c r="G33" s="412"/>
      <c r="H33" s="412"/>
      <c r="I33" s="437"/>
      <c r="J33" s="411">
        <f>J32+C33</f>
        <v>0</v>
      </c>
      <c r="K33" s="411">
        <f t="shared" ref="K33:O43" si="1">K32+D33</f>
        <v>0</v>
      </c>
      <c r="L33" s="411">
        <f t="shared" si="1"/>
        <v>0</v>
      </c>
      <c r="M33" s="411">
        <f t="shared" si="1"/>
        <v>0</v>
      </c>
      <c r="N33" s="411">
        <f t="shared" si="1"/>
        <v>0</v>
      </c>
      <c r="O33" s="411">
        <f t="shared" si="1"/>
        <v>0</v>
      </c>
      <c r="P33" s="411"/>
      <c r="Q33" s="402"/>
    </row>
    <row r="34" spans="1:17" ht="13.5">
      <c r="A34" s="401"/>
      <c r="B34" s="402" t="s">
        <v>627</v>
      </c>
      <c r="C34" s="607"/>
      <c r="D34" s="412"/>
      <c r="E34" s="412"/>
      <c r="F34" s="412"/>
      <c r="G34" s="412"/>
      <c r="H34" s="412"/>
      <c r="I34" s="437"/>
      <c r="J34" s="411">
        <f t="shared" ref="J34:J43" si="2">J33+C34</f>
        <v>0</v>
      </c>
      <c r="K34" s="411">
        <f t="shared" si="1"/>
        <v>0</v>
      </c>
      <c r="L34" s="411">
        <f t="shared" si="1"/>
        <v>0</v>
      </c>
      <c r="M34" s="411">
        <f t="shared" si="1"/>
        <v>0</v>
      </c>
      <c r="N34" s="411">
        <f t="shared" si="1"/>
        <v>0</v>
      </c>
      <c r="O34" s="411">
        <f t="shared" si="1"/>
        <v>0</v>
      </c>
      <c r="P34" s="411"/>
      <c r="Q34" s="402"/>
    </row>
    <row r="35" spans="1:17" ht="13.5">
      <c r="A35" s="401"/>
      <c r="B35" s="402" t="s">
        <v>628</v>
      </c>
      <c r="C35" s="607"/>
      <c r="D35" s="412"/>
      <c r="E35" s="412"/>
      <c r="F35" s="412"/>
      <c r="G35" s="412"/>
      <c r="H35" s="412"/>
      <c r="I35" s="437"/>
      <c r="J35" s="411">
        <f t="shared" si="2"/>
        <v>0</v>
      </c>
      <c r="K35" s="411">
        <f t="shared" si="1"/>
        <v>0</v>
      </c>
      <c r="L35" s="411">
        <f t="shared" si="1"/>
        <v>0</v>
      </c>
      <c r="M35" s="411">
        <f t="shared" si="1"/>
        <v>0</v>
      </c>
      <c r="N35" s="411">
        <f t="shared" si="1"/>
        <v>0</v>
      </c>
      <c r="O35" s="411">
        <f t="shared" si="1"/>
        <v>0</v>
      </c>
      <c r="P35" s="411"/>
      <c r="Q35" s="402"/>
    </row>
    <row r="36" spans="1:17" ht="13.5">
      <c r="A36" s="401"/>
      <c r="B36" s="402" t="s">
        <v>623</v>
      </c>
      <c r="C36" s="607"/>
      <c r="D36" s="412"/>
      <c r="E36" s="412"/>
      <c r="F36" s="412"/>
      <c r="G36" s="412"/>
      <c r="H36" s="412"/>
      <c r="I36" s="437"/>
      <c r="J36" s="411">
        <f t="shared" si="2"/>
        <v>0</v>
      </c>
      <c r="K36" s="411">
        <f t="shared" si="1"/>
        <v>0</v>
      </c>
      <c r="L36" s="411">
        <f t="shared" si="1"/>
        <v>0</v>
      </c>
      <c r="M36" s="411">
        <f t="shared" si="1"/>
        <v>0</v>
      </c>
      <c r="N36" s="411">
        <f t="shared" si="1"/>
        <v>0</v>
      </c>
      <c r="O36" s="411">
        <f t="shared" si="1"/>
        <v>0</v>
      </c>
      <c r="P36" s="411"/>
      <c r="Q36" s="402"/>
    </row>
    <row r="37" spans="1:17" ht="13.5">
      <c r="A37" s="401"/>
      <c r="B37" s="402" t="s">
        <v>629</v>
      </c>
      <c r="C37" s="607"/>
      <c r="D37" s="412"/>
      <c r="E37" s="412"/>
      <c r="F37" s="412"/>
      <c r="G37" s="412"/>
      <c r="H37" s="412"/>
      <c r="I37" s="437"/>
      <c r="J37" s="411">
        <f t="shared" si="2"/>
        <v>0</v>
      </c>
      <c r="K37" s="411">
        <f t="shared" si="1"/>
        <v>0</v>
      </c>
      <c r="L37" s="411">
        <f t="shared" si="1"/>
        <v>0</v>
      </c>
      <c r="M37" s="411">
        <f t="shared" si="1"/>
        <v>0</v>
      </c>
      <c r="N37" s="411">
        <f t="shared" si="1"/>
        <v>0</v>
      </c>
      <c r="O37" s="411">
        <f t="shared" si="1"/>
        <v>0</v>
      </c>
      <c r="P37" s="411"/>
      <c r="Q37" s="402"/>
    </row>
    <row r="38" spans="1:17" ht="13.5">
      <c r="A38" s="401"/>
      <c r="B38" s="402" t="s">
        <v>630</v>
      </c>
      <c r="C38" s="607"/>
      <c r="D38" s="412"/>
      <c r="E38" s="412"/>
      <c r="F38" s="412"/>
      <c r="G38" s="412"/>
      <c r="H38" s="412"/>
      <c r="I38" s="437"/>
      <c r="J38" s="411">
        <f t="shared" si="2"/>
        <v>0</v>
      </c>
      <c r="K38" s="411">
        <f t="shared" si="1"/>
        <v>0</v>
      </c>
      <c r="L38" s="411">
        <f t="shared" si="1"/>
        <v>0</v>
      </c>
      <c r="M38" s="411">
        <f t="shared" si="1"/>
        <v>0</v>
      </c>
      <c r="N38" s="411">
        <f t="shared" si="1"/>
        <v>0</v>
      </c>
      <c r="O38" s="411">
        <f t="shared" si="1"/>
        <v>0</v>
      </c>
      <c r="P38" s="411"/>
      <c r="Q38" s="402"/>
    </row>
    <row r="39" spans="1:17" ht="13.5">
      <c r="A39" s="401"/>
      <c r="B39" s="402" t="s">
        <v>631</v>
      </c>
      <c r="C39" s="607"/>
      <c r="D39" s="412"/>
      <c r="E39" s="412"/>
      <c r="F39" s="412"/>
      <c r="G39" s="412"/>
      <c r="H39" s="412"/>
      <c r="I39" s="437"/>
      <c r="J39" s="411">
        <f t="shared" si="2"/>
        <v>0</v>
      </c>
      <c r="K39" s="411">
        <f t="shared" si="1"/>
        <v>0</v>
      </c>
      <c r="L39" s="411">
        <f t="shared" si="1"/>
        <v>0</v>
      </c>
      <c r="M39" s="411">
        <f t="shared" si="1"/>
        <v>0</v>
      </c>
      <c r="N39" s="411">
        <f t="shared" si="1"/>
        <v>0</v>
      </c>
      <c r="O39" s="411">
        <f t="shared" si="1"/>
        <v>0</v>
      </c>
      <c r="P39" s="411"/>
      <c r="Q39" s="402"/>
    </row>
    <row r="40" spans="1:17" ht="13.5">
      <c r="A40" s="401"/>
      <c r="B40" s="402" t="s">
        <v>632</v>
      </c>
      <c r="C40" s="607"/>
      <c r="D40" s="412"/>
      <c r="E40" s="412"/>
      <c r="F40" s="412"/>
      <c r="G40" s="412"/>
      <c r="H40" s="412"/>
      <c r="I40" s="437"/>
      <c r="J40" s="411">
        <f t="shared" si="2"/>
        <v>0</v>
      </c>
      <c r="K40" s="411">
        <f t="shared" si="1"/>
        <v>0</v>
      </c>
      <c r="L40" s="411">
        <f t="shared" si="1"/>
        <v>0</v>
      </c>
      <c r="M40" s="411">
        <f t="shared" si="1"/>
        <v>0</v>
      </c>
      <c r="N40" s="411">
        <f t="shared" si="1"/>
        <v>0</v>
      </c>
      <c r="O40" s="411">
        <f t="shared" si="1"/>
        <v>0</v>
      </c>
      <c r="P40" s="411"/>
      <c r="Q40" s="402"/>
    </row>
    <row r="41" spans="1:17" ht="13.5">
      <c r="A41" s="401"/>
      <c r="B41" s="402" t="s">
        <v>633</v>
      </c>
      <c r="C41" s="607"/>
      <c r="D41" s="412"/>
      <c r="E41" s="412"/>
      <c r="F41" s="412"/>
      <c r="G41" s="412"/>
      <c r="H41" s="412"/>
      <c r="I41" s="437"/>
      <c r="J41" s="411">
        <f t="shared" si="2"/>
        <v>0</v>
      </c>
      <c r="K41" s="411">
        <f t="shared" si="1"/>
        <v>0</v>
      </c>
      <c r="L41" s="411">
        <f t="shared" si="1"/>
        <v>0</v>
      </c>
      <c r="M41" s="411">
        <f t="shared" si="1"/>
        <v>0</v>
      </c>
      <c r="N41" s="411">
        <f t="shared" si="1"/>
        <v>0</v>
      </c>
      <c r="O41" s="411">
        <f t="shared" si="1"/>
        <v>0</v>
      </c>
      <c r="P41" s="411"/>
      <c r="Q41" s="402"/>
    </row>
    <row r="42" spans="1:17" ht="13.5">
      <c r="A42" s="401"/>
      <c r="B42" s="402" t="s">
        <v>634</v>
      </c>
      <c r="C42" s="607"/>
      <c r="D42" s="412"/>
      <c r="E42" s="412"/>
      <c r="F42" s="412"/>
      <c r="G42" s="412"/>
      <c r="H42" s="412"/>
      <c r="I42" s="437"/>
      <c r="J42" s="411">
        <f t="shared" si="2"/>
        <v>0</v>
      </c>
      <c r="K42" s="411">
        <f t="shared" si="1"/>
        <v>0</v>
      </c>
      <c r="L42" s="411">
        <f t="shared" si="1"/>
        <v>0</v>
      </c>
      <c r="M42" s="411">
        <f t="shared" si="1"/>
        <v>0</v>
      </c>
      <c r="N42" s="411">
        <f t="shared" si="1"/>
        <v>0</v>
      </c>
      <c r="O42" s="411">
        <f t="shared" si="1"/>
        <v>0</v>
      </c>
      <c r="P42" s="411"/>
      <c r="Q42" s="402"/>
    </row>
    <row r="43" spans="1:17" ht="13.5">
      <c r="A43" s="401"/>
      <c r="B43" s="402" t="s">
        <v>635</v>
      </c>
      <c r="C43" s="607"/>
      <c r="D43" s="412"/>
      <c r="E43" s="412"/>
      <c r="F43" s="412"/>
      <c r="G43" s="412"/>
      <c r="H43" s="412"/>
      <c r="I43" s="437"/>
      <c r="J43" s="411">
        <f t="shared" si="2"/>
        <v>0</v>
      </c>
      <c r="K43" s="411">
        <f t="shared" si="1"/>
        <v>0</v>
      </c>
      <c r="L43" s="411">
        <f t="shared" si="1"/>
        <v>0</v>
      </c>
      <c r="M43" s="411">
        <f t="shared" si="1"/>
        <v>0</v>
      </c>
      <c r="N43" s="411">
        <f t="shared" si="1"/>
        <v>0</v>
      </c>
      <c r="O43" s="411">
        <f t="shared" si="1"/>
        <v>0</v>
      </c>
      <c r="P43" s="411"/>
      <c r="Q43" s="402"/>
    </row>
    <row r="44" spans="1:17" ht="13.5">
      <c r="A44" s="401"/>
      <c r="B44" s="402" t="s">
        <v>847</v>
      </c>
      <c r="C44" s="411">
        <f t="shared" ref="C44:H44" si="3">SUM(C32:C43)</f>
        <v>0</v>
      </c>
      <c r="D44" s="411">
        <f t="shared" si="3"/>
        <v>0</v>
      </c>
      <c r="E44" s="411">
        <f t="shared" si="3"/>
        <v>0</v>
      </c>
      <c r="F44" s="411">
        <f t="shared" si="3"/>
        <v>0</v>
      </c>
      <c r="G44" s="411">
        <f t="shared" si="3"/>
        <v>0</v>
      </c>
      <c r="H44" s="411">
        <f t="shared" si="3"/>
        <v>0</v>
      </c>
      <c r="I44" s="411" t="s">
        <v>79</v>
      </c>
      <c r="J44" s="411">
        <f t="shared" ref="J44:O44" si="4">AVERAGE(J32:J43)</f>
        <v>0</v>
      </c>
      <c r="K44" s="411">
        <f t="shared" si="4"/>
        <v>0</v>
      </c>
      <c r="L44" s="411">
        <f t="shared" si="4"/>
        <v>0</v>
      </c>
      <c r="M44" s="411">
        <f t="shared" si="4"/>
        <v>0</v>
      </c>
      <c r="N44" s="411">
        <f t="shared" si="4"/>
        <v>0</v>
      </c>
      <c r="O44" s="411">
        <f t="shared" si="4"/>
        <v>0</v>
      </c>
      <c r="P44" s="411"/>
      <c r="Q44" s="411"/>
    </row>
    <row r="45" spans="1:17" ht="13.5">
      <c r="A45" s="401"/>
      <c r="C45" s="402"/>
      <c r="D45" s="276"/>
      <c r="E45" s="276"/>
      <c r="F45" s="276"/>
      <c r="G45" s="276"/>
      <c r="H45" s="276"/>
      <c r="I45" s="276"/>
      <c r="J45" s="276"/>
      <c r="K45" s="276"/>
      <c r="L45" s="413"/>
      <c r="M45" s="402"/>
      <c r="N45" s="402"/>
      <c r="O45" s="402"/>
      <c r="Q45" s="402"/>
    </row>
    <row r="46" spans="1:17" ht="13.5">
      <c r="A46" s="401"/>
      <c r="B46" s="402" t="s">
        <v>81</v>
      </c>
      <c r="C46" s="402"/>
      <c r="D46" s="276"/>
      <c r="E46" s="276"/>
      <c r="F46" s="276"/>
      <c r="G46" s="276"/>
      <c r="H46" s="276"/>
      <c r="I46" s="276"/>
      <c r="J46" s="402"/>
      <c r="K46" s="439" t="s">
        <v>80</v>
      </c>
      <c r="L46" s="276"/>
      <c r="M46" s="411">
        <f>SUM(J44:O44)</f>
        <v>0</v>
      </c>
      <c r="N46" s="411"/>
      <c r="O46" s="411"/>
      <c r="Q46" s="411"/>
    </row>
    <row r="47" spans="1:17" ht="13.5">
      <c r="A47" s="401"/>
      <c r="B47" s="402"/>
      <c r="C47" s="402"/>
      <c r="D47" s="276"/>
      <c r="E47" s="276"/>
      <c r="F47" s="276"/>
      <c r="G47" s="276"/>
      <c r="H47" s="276"/>
      <c r="I47" s="276"/>
      <c r="J47" s="402"/>
      <c r="K47" s="402"/>
      <c r="L47" s="276"/>
      <c r="M47" s="411"/>
      <c r="N47" s="402"/>
      <c r="O47" s="411"/>
      <c r="Q47" s="411"/>
    </row>
    <row r="48" spans="1:17" ht="13.5">
      <c r="A48" s="401"/>
      <c r="B48" s="401"/>
      <c r="C48" s="401"/>
      <c r="D48" s="402"/>
      <c r="E48" s="402"/>
      <c r="F48" s="276"/>
      <c r="G48" s="276"/>
      <c r="H48" s="276"/>
      <c r="I48" s="276"/>
      <c r="J48" s="402"/>
      <c r="L48" s="276"/>
      <c r="M48" s="414"/>
      <c r="N48" s="414"/>
      <c r="O48" s="415"/>
      <c r="Q48" s="402"/>
    </row>
    <row r="49" spans="1:18" ht="13.5">
      <c r="A49" s="401">
        <v>3</v>
      </c>
      <c r="B49" s="401" t="s">
        <v>622</v>
      </c>
      <c r="C49" s="401" t="s">
        <v>597</v>
      </c>
      <c r="D49" s="404" t="s">
        <v>1087</v>
      </c>
      <c r="E49" s="402"/>
      <c r="F49" s="402"/>
      <c r="G49" s="402"/>
      <c r="H49" s="402"/>
      <c r="I49" s="402"/>
      <c r="J49" s="402"/>
      <c r="K49" s="402"/>
      <c r="L49" s="411"/>
      <c r="M49" s="402"/>
      <c r="N49" s="402"/>
      <c r="O49" s="402"/>
      <c r="P49" s="402"/>
      <c r="Q49" s="402"/>
      <c r="R49" s="402"/>
    </row>
    <row r="50" spans="1:18" ht="13.5">
      <c r="A50" s="401"/>
      <c r="B50" s="401"/>
      <c r="C50" s="401"/>
      <c r="D50" s="416"/>
      <c r="E50" s="409"/>
      <c r="F50" s="411"/>
      <c r="G50" s="1275" t="s">
        <v>1081</v>
      </c>
      <c r="H50" s="1096"/>
      <c r="I50" s="402"/>
      <c r="J50" s="402"/>
      <c r="K50" s="402"/>
      <c r="L50" s="411"/>
      <c r="M50" s="402"/>
      <c r="N50" s="402"/>
      <c r="O50" s="402"/>
      <c r="P50" s="402"/>
      <c r="Q50" s="402"/>
      <c r="R50" s="402"/>
    </row>
    <row r="51" spans="1:18" ht="13.5">
      <c r="A51" s="401"/>
      <c r="B51" s="401"/>
      <c r="C51" s="401"/>
      <c r="D51" s="417"/>
      <c r="E51" s="401"/>
      <c r="F51" s="411"/>
      <c r="G51" s="1276"/>
      <c r="H51" s="1096"/>
      <c r="I51" s="402"/>
      <c r="J51" s="402"/>
      <c r="K51" s="402"/>
      <c r="L51" s="402"/>
      <c r="M51" s="402"/>
      <c r="N51" s="402"/>
      <c r="O51" s="402"/>
      <c r="P51" s="402"/>
      <c r="Q51" s="402"/>
      <c r="R51" s="402"/>
    </row>
    <row r="52" spans="1:18" ht="13.5">
      <c r="A52" s="401">
        <v>4</v>
      </c>
      <c r="B52" s="401" t="s">
        <v>623</v>
      </c>
      <c r="C52" s="401" t="s">
        <v>597</v>
      </c>
      <c r="D52" s="402" t="s">
        <v>958</v>
      </c>
      <c r="E52" s="402"/>
      <c r="F52" s="402"/>
      <c r="G52" s="1277"/>
      <c r="H52" s="1097"/>
      <c r="I52" s="402"/>
      <c r="J52" s="402"/>
      <c r="K52" s="402"/>
      <c r="L52" s="402"/>
      <c r="M52" s="402"/>
      <c r="N52" s="402"/>
      <c r="O52" s="402"/>
      <c r="P52" s="402"/>
      <c r="Q52" s="402"/>
      <c r="R52" s="402"/>
    </row>
    <row r="53" spans="1:18" ht="13.5">
      <c r="A53" s="401"/>
      <c r="B53" s="401"/>
      <c r="C53" s="401"/>
      <c r="D53" s="407">
        <f>D50</f>
        <v>0</v>
      </c>
      <c r="E53" s="276"/>
      <c r="F53" s="417"/>
      <c r="G53" s="1275" t="s">
        <v>1081</v>
      </c>
      <c r="H53" s="1097"/>
      <c r="I53" s="402"/>
      <c r="J53" s="402"/>
      <c r="K53" s="402"/>
      <c r="L53" s="402"/>
      <c r="M53" s="402"/>
      <c r="N53" s="402"/>
      <c r="O53" s="402"/>
      <c r="P53" s="402"/>
      <c r="Q53" s="402"/>
      <c r="R53" s="402"/>
    </row>
    <row r="54" spans="1:18" ht="13.5">
      <c r="A54" s="401"/>
      <c r="B54" s="401"/>
      <c r="C54" s="401"/>
      <c r="D54" s="418"/>
      <c r="E54" s="402"/>
      <c r="F54" s="402"/>
      <c r="G54" s="1277"/>
      <c r="H54" s="1097"/>
      <c r="I54" s="402"/>
      <c r="J54" s="402"/>
      <c r="K54" s="402"/>
      <c r="L54" s="402"/>
      <c r="M54" s="402"/>
      <c r="N54" s="402"/>
      <c r="O54" s="402"/>
      <c r="P54" s="402"/>
      <c r="Q54" s="402"/>
      <c r="R54" s="402"/>
    </row>
    <row r="55" spans="1:18" ht="13.5">
      <c r="A55" s="401">
        <v>5</v>
      </c>
      <c r="B55" s="401" t="s">
        <v>624</v>
      </c>
      <c r="C55" s="401" t="s">
        <v>597</v>
      </c>
      <c r="D55" s="404" t="s">
        <v>1088</v>
      </c>
      <c r="E55" s="402"/>
      <c r="F55" s="402"/>
      <c r="G55" s="1277"/>
      <c r="H55" s="402"/>
      <c r="I55" s="402"/>
      <c r="J55" s="402"/>
      <c r="K55" s="402"/>
      <c r="L55" s="402"/>
      <c r="M55" s="402"/>
      <c r="N55" s="402"/>
      <c r="O55" s="402"/>
      <c r="P55" s="402"/>
      <c r="Q55" s="402"/>
      <c r="R55" s="402"/>
    </row>
    <row r="56" spans="1:18" ht="13.5">
      <c r="A56" s="401"/>
      <c r="B56" s="401"/>
      <c r="C56" s="401"/>
      <c r="D56" s="416">
        <f>D53</f>
        <v>0</v>
      </c>
      <c r="E56" s="402"/>
      <c r="F56" s="402"/>
      <c r="G56" s="1277"/>
      <c r="H56" s="402"/>
      <c r="I56" s="402"/>
      <c r="J56" s="402"/>
      <c r="K56" s="402"/>
      <c r="L56" s="402"/>
      <c r="M56" s="402"/>
      <c r="N56" s="402"/>
      <c r="O56" s="402"/>
      <c r="P56" s="402"/>
      <c r="Q56" s="402"/>
      <c r="R56" s="402"/>
    </row>
    <row r="57" spans="1:18" ht="13.5">
      <c r="A57" s="401"/>
      <c r="B57" s="401"/>
      <c r="C57" s="401"/>
      <c r="D57" s="402"/>
      <c r="E57" s="402"/>
      <c r="F57" s="402"/>
      <c r="G57" s="1277"/>
      <c r="H57" s="402"/>
      <c r="I57" s="402"/>
      <c r="J57" s="402"/>
      <c r="K57" s="402"/>
      <c r="L57" s="402"/>
      <c r="M57" s="402"/>
      <c r="N57" s="402"/>
      <c r="O57" s="402"/>
      <c r="P57" s="402"/>
      <c r="Q57" s="402"/>
      <c r="R57" s="402"/>
    </row>
    <row r="58" spans="1:18" ht="15.75">
      <c r="A58" s="401"/>
      <c r="B58" s="401"/>
      <c r="C58" s="401"/>
      <c r="D58" s="402"/>
      <c r="E58" s="402"/>
      <c r="F58" s="402"/>
      <c r="G58" s="1277"/>
      <c r="H58" s="402"/>
      <c r="I58" s="402"/>
      <c r="J58" s="419"/>
      <c r="K58" s="402"/>
      <c r="L58" s="402"/>
      <c r="M58" s="402"/>
      <c r="N58" s="402"/>
      <c r="O58" s="402"/>
      <c r="P58" s="402"/>
      <c r="Q58" s="402"/>
      <c r="R58" s="402"/>
    </row>
    <row r="59" spans="1:18" ht="15.75">
      <c r="A59" s="401"/>
      <c r="B59" s="401"/>
      <c r="C59" s="401"/>
      <c r="D59" s="402"/>
      <c r="E59" s="402"/>
      <c r="F59" s="402"/>
      <c r="G59" s="1277"/>
      <c r="H59" s="402"/>
      <c r="I59" s="402"/>
      <c r="J59" s="419"/>
      <c r="K59" s="402"/>
      <c r="L59" s="402"/>
      <c r="M59" s="402"/>
      <c r="N59" s="402"/>
      <c r="O59" s="402"/>
      <c r="P59" s="402"/>
      <c r="Q59" s="402"/>
      <c r="R59" s="402"/>
    </row>
    <row r="60" spans="1:18" ht="13.5">
      <c r="A60" s="401">
        <v>6</v>
      </c>
      <c r="B60" s="401" t="s">
        <v>622</v>
      </c>
      <c r="C60" s="401" t="s">
        <v>598</v>
      </c>
      <c r="D60" s="404" t="s">
        <v>1089</v>
      </c>
      <c r="E60" s="402"/>
      <c r="F60" s="402"/>
      <c r="G60" s="1277"/>
      <c r="H60" s="402"/>
      <c r="I60" s="402"/>
      <c r="J60" s="402"/>
      <c r="K60" s="402"/>
      <c r="L60" s="402"/>
      <c r="M60" s="402"/>
      <c r="N60" s="402"/>
      <c r="O60" s="402"/>
      <c r="P60" s="402"/>
      <c r="Q60" s="402"/>
      <c r="R60" s="402"/>
    </row>
    <row r="61" spans="1:18" ht="13.5">
      <c r="A61" s="401"/>
      <c r="B61" s="401"/>
      <c r="C61" s="401"/>
      <c r="D61" s="420"/>
      <c r="E61" s="402" t="s">
        <v>653</v>
      </c>
      <c r="F61" s="402"/>
      <c r="G61" s="1275" t="s">
        <v>1081</v>
      </c>
      <c r="H61" s="402"/>
      <c r="I61" s="402"/>
      <c r="J61" s="276"/>
      <c r="K61" s="402"/>
      <c r="L61" s="402"/>
      <c r="M61" s="402"/>
      <c r="N61" s="402"/>
      <c r="O61" s="402"/>
      <c r="P61" s="402"/>
      <c r="Q61" s="402"/>
      <c r="R61" s="402"/>
    </row>
    <row r="62" spans="1:18" ht="13.5">
      <c r="A62" s="401"/>
      <c r="B62" s="401"/>
      <c r="C62" s="401"/>
      <c r="D62" s="421"/>
      <c r="E62" s="402"/>
      <c r="F62" s="402"/>
      <c r="G62" s="1278"/>
      <c r="H62" s="402"/>
      <c r="I62" s="402"/>
      <c r="J62" s="402"/>
      <c r="K62" s="402"/>
      <c r="L62" s="402"/>
      <c r="M62" s="402"/>
      <c r="N62" s="402"/>
      <c r="O62" s="402"/>
      <c r="P62" s="402"/>
      <c r="Q62" s="402"/>
      <c r="R62" s="402"/>
    </row>
    <row r="63" spans="1:18" ht="13.5">
      <c r="A63" s="401"/>
      <c r="B63" s="401"/>
      <c r="C63" s="401"/>
      <c r="D63" s="422"/>
      <c r="E63" s="402"/>
      <c r="F63" s="402"/>
      <c r="G63" s="1277"/>
      <c r="H63" s="402"/>
      <c r="I63" s="402"/>
      <c r="J63" s="402"/>
      <c r="K63" s="402"/>
      <c r="L63" s="402"/>
      <c r="M63" s="402"/>
      <c r="N63" s="402"/>
      <c r="O63" s="402"/>
      <c r="P63" s="402"/>
      <c r="Q63" s="402"/>
      <c r="R63" s="402"/>
    </row>
    <row r="64" spans="1:18" ht="13.5">
      <c r="A64" s="401"/>
      <c r="B64" s="401"/>
      <c r="C64" s="401"/>
      <c r="D64" s="402"/>
      <c r="E64" s="402"/>
      <c r="F64" s="402"/>
      <c r="G64" s="1277"/>
      <c r="H64" s="411"/>
      <c r="I64" s="402"/>
      <c r="J64" s="402"/>
      <c r="K64" s="402"/>
      <c r="L64" s="402"/>
      <c r="M64" s="402"/>
      <c r="N64" s="402"/>
      <c r="O64" s="402"/>
      <c r="P64" s="402"/>
      <c r="Q64" s="402"/>
      <c r="R64" s="402"/>
    </row>
    <row r="65" spans="1:18" ht="13.5">
      <c r="A65" s="401">
        <v>7</v>
      </c>
      <c r="B65" s="401" t="s">
        <v>622</v>
      </c>
      <c r="C65" s="401" t="s">
        <v>598</v>
      </c>
      <c r="D65" s="404" t="str">
        <f>+'6 - Est and True up'!D65</f>
        <v>Reconciliation</v>
      </c>
      <c r="E65" s="276"/>
      <c r="F65" s="276"/>
      <c r="G65" s="1279"/>
      <c r="H65" s="276"/>
      <c r="I65" s="276"/>
      <c r="J65" s="276"/>
      <c r="K65" s="402"/>
      <c r="L65" s="402"/>
      <c r="M65" s="402"/>
      <c r="N65" s="402"/>
      <c r="O65" s="402"/>
      <c r="P65" s="402"/>
      <c r="Q65" s="402"/>
      <c r="R65" s="402"/>
    </row>
    <row r="66" spans="1:18" ht="13.5">
      <c r="A66" s="401"/>
      <c r="B66" s="401"/>
      <c r="C66" s="401"/>
      <c r="D66" s="402"/>
      <c r="E66" s="276"/>
      <c r="F66" s="276"/>
      <c r="G66" s="1279"/>
      <c r="H66" s="276"/>
      <c r="I66" s="276"/>
      <c r="J66" s="276"/>
      <c r="K66" s="402"/>
      <c r="L66" s="402"/>
      <c r="M66" s="402"/>
      <c r="N66" s="402"/>
      <c r="O66" s="402"/>
      <c r="P66" s="402"/>
      <c r="Q66" s="402"/>
      <c r="R66" s="402"/>
    </row>
    <row r="67" spans="1:18" ht="13.5">
      <c r="A67" s="401"/>
      <c r="B67" s="402"/>
      <c r="C67" s="402"/>
      <c r="D67" s="276"/>
      <c r="E67" s="276"/>
      <c r="F67" s="276"/>
      <c r="G67" s="1279"/>
      <c r="H67" s="276"/>
      <c r="I67" s="276"/>
      <c r="J67" s="402"/>
      <c r="K67" s="402"/>
      <c r="L67" s="411"/>
      <c r="M67" s="402"/>
      <c r="N67" s="276"/>
      <c r="O67" s="402"/>
      <c r="P67" s="402"/>
      <c r="Q67" s="402"/>
      <c r="R67" s="414"/>
    </row>
    <row r="68" spans="1:18" ht="15.75">
      <c r="A68" s="401"/>
      <c r="B68" s="401"/>
      <c r="C68" s="401"/>
      <c r="D68" s="1510">
        <v>7075099</v>
      </c>
      <c r="E68" s="424" t="s">
        <v>976</v>
      </c>
      <c r="F68" s="402"/>
      <c r="G68" s="1275" t="s">
        <v>1081</v>
      </c>
      <c r="H68" s="402"/>
      <c r="I68" s="402"/>
      <c r="J68" s="402"/>
      <c r="K68" s="402"/>
      <c r="L68" s="411"/>
      <c r="M68" s="402"/>
      <c r="N68" s="276"/>
      <c r="O68" s="426"/>
      <c r="P68" s="427"/>
      <c r="Q68" s="427"/>
      <c r="R68" s="427"/>
    </row>
    <row r="69" spans="1:18" ht="13.5">
      <c r="A69" s="277"/>
      <c r="B69" s="401"/>
      <c r="C69" s="401"/>
      <c r="D69" s="276"/>
      <c r="E69" s="402" t="s">
        <v>996</v>
      </c>
      <c r="F69" s="402"/>
      <c r="G69" s="402"/>
      <c r="H69" s="411"/>
      <c r="I69" s="402"/>
      <c r="J69" s="402"/>
      <c r="K69" s="402"/>
      <c r="L69" s="402"/>
      <c r="M69" s="402"/>
      <c r="N69" s="402"/>
      <c r="O69" s="402"/>
      <c r="P69" s="402"/>
      <c r="Q69" s="402"/>
      <c r="R69" s="402"/>
    </row>
    <row r="70" spans="1:18" ht="13.5">
      <c r="A70" s="401"/>
      <c r="B70" s="401"/>
      <c r="C70" s="401"/>
      <c r="D70" s="424"/>
      <c r="E70" s="402"/>
      <c r="F70" s="402"/>
      <c r="G70" s="402"/>
      <c r="H70" s="411"/>
      <c r="I70" s="402"/>
      <c r="J70" s="402"/>
      <c r="K70" s="402"/>
      <c r="L70" s="402"/>
      <c r="M70" s="402"/>
      <c r="N70" s="402"/>
      <c r="O70" s="402"/>
      <c r="P70" s="402"/>
      <c r="Q70" s="402"/>
      <c r="R70" s="402"/>
    </row>
    <row r="71" spans="1:18" ht="13.5">
      <c r="A71" s="277"/>
      <c r="B71" s="401"/>
      <c r="C71" s="401"/>
      <c r="D71" s="428">
        <v>0</v>
      </c>
      <c r="E71" s="402" t="s">
        <v>420</v>
      </c>
      <c r="F71" s="402"/>
      <c r="G71" s="402"/>
      <c r="H71" s="411"/>
      <c r="I71" s="402"/>
      <c r="J71" s="402"/>
      <c r="K71" s="402"/>
      <c r="L71" s="402"/>
      <c r="M71" s="402"/>
      <c r="N71" s="402"/>
      <c r="O71" s="402"/>
      <c r="P71" s="402"/>
      <c r="Q71" s="402"/>
      <c r="R71" s="402"/>
    </row>
    <row r="72" spans="1:18" ht="13.5">
      <c r="A72" s="277"/>
      <c r="B72" s="401"/>
      <c r="C72" s="401"/>
      <c r="D72" s="276"/>
      <c r="E72" s="402"/>
      <c r="F72" s="402"/>
      <c r="G72" s="402"/>
      <c r="H72" s="411"/>
      <c r="I72" s="402"/>
      <c r="J72" s="402"/>
      <c r="K72" s="402"/>
      <c r="L72" s="402"/>
      <c r="M72" s="402"/>
      <c r="N72" s="402"/>
      <c r="O72" s="402"/>
      <c r="P72" s="402"/>
      <c r="Q72" s="402"/>
      <c r="R72" s="402"/>
    </row>
    <row r="73" spans="1:18" ht="13.5">
      <c r="A73" s="401"/>
      <c r="B73" s="401"/>
      <c r="C73" s="401"/>
      <c r="D73" s="424"/>
      <c r="E73" s="402"/>
      <c r="F73" s="402"/>
      <c r="G73" s="402"/>
      <c r="H73" s="411"/>
      <c r="I73" s="402"/>
      <c r="J73" s="402"/>
      <c r="K73" s="402"/>
      <c r="L73" s="402"/>
      <c r="M73" s="402"/>
      <c r="N73" s="402"/>
      <c r="O73" s="402"/>
      <c r="P73" s="402"/>
      <c r="Q73" s="402"/>
      <c r="R73" s="402"/>
    </row>
    <row r="74" spans="1:18" ht="13.5">
      <c r="A74" s="401">
        <v>8</v>
      </c>
      <c r="B74" s="401" t="s">
        <v>622</v>
      </c>
      <c r="C74" s="401" t="s">
        <v>598</v>
      </c>
      <c r="D74" s="404" t="str">
        <f>+'6A-Colstrip'!D74</f>
        <v>True-Up Adjustment</v>
      </c>
      <c r="E74" s="402"/>
      <c r="F74" s="402"/>
      <c r="G74" s="402"/>
      <c r="H74" s="402"/>
      <c r="I74" s="402"/>
      <c r="J74" s="402"/>
      <c r="K74" s="402"/>
      <c r="L74" s="402"/>
      <c r="M74" s="402"/>
      <c r="N74" s="402"/>
      <c r="O74" s="402"/>
      <c r="P74" s="402"/>
      <c r="Q74" s="402"/>
      <c r="R74" s="402"/>
    </row>
    <row r="75" spans="1:18" ht="13.5">
      <c r="A75" s="401"/>
      <c r="B75" s="401"/>
      <c r="C75" s="401"/>
      <c r="D75" s="404"/>
      <c r="E75" s="402"/>
      <c r="F75" s="402"/>
      <c r="G75" s="402"/>
      <c r="H75" s="402"/>
      <c r="I75" s="402"/>
      <c r="J75" s="402"/>
      <c r="K75" s="402"/>
      <c r="L75" s="402"/>
      <c r="M75" s="402"/>
      <c r="N75" s="402"/>
      <c r="O75" s="402"/>
      <c r="P75" s="402"/>
      <c r="Q75" s="402"/>
      <c r="R75" s="402"/>
    </row>
    <row r="76" spans="1:18" ht="13.5">
      <c r="A76" s="401"/>
      <c r="B76" s="401"/>
      <c r="C76" s="401"/>
      <c r="D76" s="276" t="s">
        <v>940</v>
      </c>
      <c r="E76" s="276"/>
      <c r="F76" s="276"/>
      <c r="G76" s="276"/>
      <c r="H76" s="276"/>
      <c r="I76" s="276"/>
      <c r="J76" s="276"/>
      <c r="K76" s="276"/>
      <c r="L76" s="402"/>
      <c r="M76" s="402"/>
      <c r="N76" s="402"/>
      <c r="O76" s="402"/>
      <c r="P76" s="402"/>
      <c r="Q76" s="402"/>
      <c r="R76" s="402"/>
    </row>
    <row r="77" spans="1:18" ht="13.5">
      <c r="A77" s="401"/>
      <c r="B77" s="401"/>
      <c r="C77" s="401"/>
      <c r="D77" s="276"/>
      <c r="E77" s="402" t="s">
        <v>997</v>
      </c>
      <c r="F77" s="402"/>
      <c r="G77" s="402"/>
      <c r="H77" s="402"/>
      <c r="I77" s="402"/>
      <c r="J77" s="402"/>
      <c r="K77" s="276"/>
      <c r="L77" s="402"/>
      <c r="M77" s="402"/>
      <c r="N77" s="402"/>
      <c r="O77" s="402"/>
      <c r="P77" s="402"/>
      <c r="Q77" s="402"/>
      <c r="R77" s="402"/>
    </row>
    <row r="78" spans="1:18" ht="27">
      <c r="A78" s="401"/>
      <c r="B78" s="401"/>
      <c r="C78" s="401"/>
      <c r="D78" s="276"/>
      <c r="E78" s="591" t="s">
        <v>618</v>
      </c>
      <c r="F78" s="591" t="s">
        <v>998</v>
      </c>
      <c r="G78" s="591" t="s">
        <v>999</v>
      </c>
      <c r="H78" s="591" t="s">
        <v>1000</v>
      </c>
      <c r="I78" s="591" t="s">
        <v>1001</v>
      </c>
      <c r="J78" s="591" t="s">
        <v>1002</v>
      </c>
      <c r="K78" s="423"/>
      <c r="L78" s="402"/>
      <c r="M78" s="1263" t="s">
        <v>1093</v>
      </c>
      <c r="N78" s="440"/>
      <c r="O78" s="402"/>
      <c r="P78" s="402"/>
      <c r="Q78" s="402"/>
      <c r="R78" s="402"/>
    </row>
    <row r="79" spans="1:18" ht="16.5">
      <c r="A79" s="401"/>
      <c r="B79" s="401"/>
      <c r="C79" s="401"/>
      <c r="D79" s="276"/>
      <c r="E79" s="1413" t="s">
        <v>625</v>
      </c>
      <c r="F79" s="1409">
        <v>0.72620013877217626</v>
      </c>
      <c r="G79" s="1419">
        <f>'WKSHT4 - Monthly Tx System Peak'!C34</f>
        <v>706</v>
      </c>
      <c r="H79" s="1411">
        <f t="shared" ref="H79:H90" si="5">+F79*G79*1000</f>
        <v>512697.29797315644</v>
      </c>
      <c r="I79" s="1410">
        <f>-227403.427247108/12</f>
        <v>-18950.285603925666</v>
      </c>
      <c r="J79" s="1411">
        <f t="shared" ref="J79:J90" si="6">+H79-I79</f>
        <v>531647.58357708214</v>
      </c>
      <c r="K79" s="1421"/>
      <c r="L79" s="402"/>
      <c r="M79" s="979"/>
      <c r="N79" s="1560"/>
      <c r="O79" s="402"/>
      <c r="P79" s="402"/>
      <c r="Q79" s="402"/>
      <c r="R79" s="402"/>
    </row>
    <row r="80" spans="1:18" ht="16.5">
      <c r="A80" s="401"/>
      <c r="B80" s="401"/>
      <c r="C80" s="401"/>
      <c r="D80" s="276"/>
      <c r="E80" s="1413" t="s">
        <v>626</v>
      </c>
      <c r="F80" s="1409">
        <v>0.72620013877217626</v>
      </c>
      <c r="G80" s="1419">
        <f>'WKSHT4 - Monthly Tx System Peak'!C35</f>
        <v>706</v>
      </c>
      <c r="H80" s="1411">
        <f t="shared" si="5"/>
        <v>512697.29797315644</v>
      </c>
      <c r="I80" s="1410">
        <f>-227403.427247108/12</f>
        <v>-18950.285603925666</v>
      </c>
      <c r="J80" s="1411">
        <f t="shared" si="6"/>
        <v>531647.58357708214</v>
      </c>
      <c r="K80" s="1421"/>
      <c r="L80" s="402"/>
      <c r="M80" s="1281"/>
      <c r="N80" s="1560"/>
      <c r="O80" s="402"/>
      <c r="P80" s="402"/>
      <c r="Q80" s="402"/>
      <c r="R80" s="402"/>
    </row>
    <row r="81" spans="1:18" ht="16.5">
      <c r="A81" s="401"/>
      <c r="B81" s="401"/>
      <c r="C81" s="401"/>
      <c r="D81" s="276"/>
      <c r="E81" s="1413" t="s">
        <v>627</v>
      </c>
      <c r="F81" s="1409">
        <v>0.72620013877217626</v>
      </c>
      <c r="G81" s="1419">
        <f>'WKSHT4 - Monthly Tx System Peak'!C36</f>
        <v>706</v>
      </c>
      <c r="H81" s="1411">
        <f t="shared" si="5"/>
        <v>512697.29797315644</v>
      </c>
      <c r="I81" s="1410">
        <f>-227403.427247108/12</f>
        <v>-18950.285603925666</v>
      </c>
      <c r="J81" s="1411">
        <f t="shared" si="6"/>
        <v>531647.58357708214</v>
      </c>
      <c r="K81" s="1421"/>
      <c r="L81" s="402"/>
      <c r="M81" s="429"/>
      <c r="N81" s="429"/>
      <c r="O81" s="402"/>
      <c r="P81" s="402"/>
      <c r="Q81" s="402"/>
      <c r="R81" s="402"/>
    </row>
    <row r="82" spans="1:18" ht="16.5">
      <c r="A82" s="401"/>
      <c r="B82" s="401"/>
      <c r="C82" s="401"/>
      <c r="D82" s="276"/>
      <c r="E82" s="1413" t="s">
        <v>628</v>
      </c>
      <c r="F82" s="1409">
        <v>0.72620013877217626</v>
      </c>
      <c r="G82" s="1419">
        <f>'WKSHT4 - Monthly Tx System Peak'!C38</f>
        <v>706</v>
      </c>
      <c r="H82" s="1411">
        <f t="shared" si="5"/>
        <v>512697.29797315644</v>
      </c>
      <c r="I82" s="1410">
        <f>-227403.427247108/12</f>
        <v>-18950.285603925666</v>
      </c>
      <c r="J82" s="1411">
        <f t="shared" si="6"/>
        <v>531647.58357708214</v>
      </c>
      <c r="K82" s="1421"/>
      <c r="L82" s="402"/>
      <c r="M82" s="429"/>
      <c r="N82" s="429"/>
      <c r="O82" s="402"/>
      <c r="P82" s="402"/>
      <c r="Q82" s="402"/>
      <c r="R82" s="402"/>
    </row>
    <row r="83" spans="1:18" ht="16.5">
      <c r="A83" s="401"/>
      <c r="B83" s="401"/>
      <c r="C83" s="401"/>
      <c r="D83" s="276"/>
      <c r="E83" s="1413" t="s">
        <v>623</v>
      </c>
      <c r="F83" s="1409">
        <v>0.72620013877217626</v>
      </c>
      <c r="G83" s="1419">
        <f>'WKSHT4 - Monthly Tx System Peak'!C39</f>
        <v>706</v>
      </c>
      <c r="H83" s="1411">
        <f t="shared" si="5"/>
        <v>512697.29797315644</v>
      </c>
      <c r="I83" s="1410">
        <f>-227403.427247108/12</f>
        <v>-18950.285603925666</v>
      </c>
      <c r="J83" s="1411">
        <f t="shared" si="6"/>
        <v>531647.58357708214</v>
      </c>
      <c r="K83" s="1421"/>
      <c r="L83" s="402"/>
      <c r="M83" s="429"/>
      <c r="N83" s="429"/>
      <c r="O83" s="402"/>
      <c r="P83" s="402"/>
      <c r="Q83" s="402"/>
      <c r="R83" s="402"/>
    </row>
    <row r="84" spans="1:18" ht="16.5">
      <c r="A84" s="401"/>
      <c r="B84" s="401"/>
      <c r="C84" s="401"/>
      <c r="D84" s="276"/>
      <c r="E84" s="1413" t="s">
        <v>629</v>
      </c>
      <c r="F84" s="1409">
        <v>1.0760210348825017</v>
      </c>
      <c r="G84" s="1419">
        <f>'WKSHT4 - Monthly Tx System Peak'!C40</f>
        <v>706</v>
      </c>
      <c r="H84" s="1411">
        <f t="shared" si="5"/>
        <v>759670.85062704619</v>
      </c>
      <c r="I84" s="1410">
        <f>1331239.61904355/12</f>
        <v>110936.63492029584</v>
      </c>
      <c r="J84" s="1411">
        <f t="shared" si="6"/>
        <v>648734.2157067504</v>
      </c>
      <c r="K84" s="1421"/>
      <c r="L84" s="402"/>
      <c r="M84" s="1264">
        <f>SUM(M79:M83)</f>
        <v>0</v>
      </c>
      <c r="N84" s="402" t="s">
        <v>1094</v>
      </c>
      <c r="O84" s="402"/>
      <c r="P84" s="402"/>
      <c r="Q84" s="402"/>
      <c r="R84" s="402"/>
    </row>
    <row r="85" spans="1:18" ht="16.5">
      <c r="A85" s="401"/>
      <c r="B85" s="401"/>
      <c r="C85" s="401"/>
      <c r="D85" s="276"/>
      <c r="E85" s="1413" t="s">
        <v>630</v>
      </c>
      <c r="F85" s="1409">
        <v>1.0760210348825017</v>
      </c>
      <c r="G85" s="1419">
        <f>'WKSHT4 - Monthly Tx System Peak'!C42</f>
        <v>706</v>
      </c>
      <c r="H85" s="1411">
        <f t="shared" si="5"/>
        <v>759670.85062704619</v>
      </c>
      <c r="I85" s="1410">
        <f t="shared" ref="I85:I90" si="7">1331239.61904355/12</f>
        <v>110936.63492029584</v>
      </c>
      <c r="J85" s="1411">
        <f t="shared" si="6"/>
        <v>648734.2157067504</v>
      </c>
      <c r="K85" s="1421"/>
      <c r="L85" s="402"/>
      <c r="M85" s="402"/>
      <c r="N85" s="402"/>
      <c r="O85" s="402"/>
      <c r="P85" s="402"/>
      <c r="Q85" s="402"/>
      <c r="R85" s="402"/>
    </row>
    <row r="86" spans="1:18" ht="16.5">
      <c r="A86" s="401"/>
      <c r="B86" s="401"/>
      <c r="C86" s="401"/>
      <c r="D86" s="276"/>
      <c r="E86" s="1413" t="s">
        <v>631</v>
      </c>
      <c r="F86" s="1409">
        <v>1.0760210348825017</v>
      </c>
      <c r="G86" s="1419">
        <f>'WKSHT4 - Monthly Tx System Peak'!C43</f>
        <v>706</v>
      </c>
      <c r="H86" s="1411">
        <f t="shared" si="5"/>
        <v>759670.85062704619</v>
      </c>
      <c r="I86" s="1410">
        <f t="shared" si="7"/>
        <v>110936.63492029584</v>
      </c>
      <c r="J86" s="1411">
        <f t="shared" si="6"/>
        <v>648734.2157067504</v>
      </c>
      <c r="K86" s="1421"/>
      <c r="L86" s="402"/>
      <c r="M86" s="402"/>
      <c r="N86" s="402"/>
      <c r="O86" s="402"/>
      <c r="P86" s="402"/>
      <c r="Q86" s="402"/>
      <c r="R86" s="402"/>
    </row>
    <row r="87" spans="1:18" ht="16.5">
      <c r="A87" s="401"/>
      <c r="B87" s="401"/>
      <c r="C87" s="401"/>
      <c r="D87" s="276"/>
      <c r="E87" s="1413" t="s">
        <v>632</v>
      </c>
      <c r="F87" s="1409">
        <v>1.0760210348825017</v>
      </c>
      <c r="G87" s="1419">
        <f>'WKSHT4 - Monthly Tx System Peak'!C44</f>
        <v>706</v>
      </c>
      <c r="H87" s="1411">
        <f t="shared" si="5"/>
        <v>759670.85062704619</v>
      </c>
      <c r="I87" s="1410">
        <f t="shared" si="7"/>
        <v>110936.63492029584</v>
      </c>
      <c r="J87" s="1411">
        <f t="shared" si="6"/>
        <v>648734.2157067504</v>
      </c>
      <c r="K87" s="1421"/>
      <c r="L87" s="402"/>
      <c r="M87" s="402"/>
      <c r="N87" s="402"/>
      <c r="O87" s="402"/>
      <c r="P87" s="402"/>
      <c r="Q87" s="402"/>
      <c r="R87" s="402"/>
    </row>
    <row r="88" spans="1:18" ht="16.5">
      <c r="A88" s="401"/>
      <c r="B88" s="401"/>
      <c r="C88" s="401"/>
      <c r="D88" s="276"/>
      <c r="E88" s="1413" t="s">
        <v>633</v>
      </c>
      <c r="F88" s="1409">
        <v>1.0760210348825017</v>
      </c>
      <c r="G88" s="1419">
        <f>'WKSHT4 - Monthly Tx System Peak'!C46</f>
        <v>706</v>
      </c>
      <c r="H88" s="1411">
        <f t="shared" si="5"/>
        <v>759670.85062704619</v>
      </c>
      <c r="I88" s="1410">
        <f t="shared" si="7"/>
        <v>110936.63492029584</v>
      </c>
      <c r="J88" s="1411">
        <f t="shared" si="6"/>
        <v>648734.2157067504</v>
      </c>
      <c r="K88" s="1421"/>
      <c r="L88" s="402"/>
      <c r="M88" s="402"/>
      <c r="N88" s="402"/>
      <c r="O88" s="402"/>
      <c r="P88" s="402"/>
      <c r="Q88" s="402"/>
      <c r="R88" s="402"/>
    </row>
    <row r="89" spans="1:18" ht="16.5">
      <c r="A89" s="401"/>
      <c r="B89" s="401"/>
      <c r="C89" s="401"/>
      <c r="D89" s="276"/>
      <c r="E89" s="1413" t="s">
        <v>634</v>
      </c>
      <c r="F89" s="1409">
        <v>1.0760210348825017</v>
      </c>
      <c r="G89" s="1419">
        <f>'WKSHT4 - Monthly Tx System Peak'!C47</f>
        <v>706</v>
      </c>
      <c r="H89" s="1411">
        <f t="shared" si="5"/>
        <v>759670.85062704619</v>
      </c>
      <c r="I89" s="1410">
        <f t="shared" si="7"/>
        <v>110936.63492029584</v>
      </c>
      <c r="J89" s="1411">
        <f t="shared" si="6"/>
        <v>648734.2157067504</v>
      </c>
      <c r="K89" s="1421"/>
      <c r="L89" s="402"/>
      <c r="M89" s="402"/>
      <c r="N89" s="402"/>
      <c r="O89" s="402"/>
      <c r="P89" s="402"/>
      <c r="Q89" s="402"/>
      <c r="R89" s="402"/>
    </row>
    <row r="90" spans="1:18" ht="16.5">
      <c r="A90" s="401"/>
      <c r="B90" s="401"/>
      <c r="C90" s="401"/>
      <c r="D90" s="276"/>
      <c r="E90" s="1413" t="s">
        <v>635</v>
      </c>
      <c r="F90" s="1409">
        <v>1.0760210348825017</v>
      </c>
      <c r="G90" s="1419">
        <f>'WKSHT4 - Monthly Tx System Peak'!C48</f>
        <v>706</v>
      </c>
      <c r="H90" s="1411">
        <f t="shared" si="5"/>
        <v>759670.85062704619</v>
      </c>
      <c r="I90" s="1410">
        <f t="shared" si="7"/>
        <v>110936.63492029584</v>
      </c>
      <c r="J90" s="1411">
        <f t="shared" si="6"/>
        <v>648734.2157067504</v>
      </c>
      <c r="K90" s="1421"/>
      <c r="L90" s="402"/>
      <c r="M90" s="402"/>
      <c r="N90" s="402"/>
      <c r="O90" s="402"/>
      <c r="P90" s="402"/>
      <c r="Q90" s="402"/>
      <c r="R90" s="402"/>
    </row>
    <row r="91" spans="1:18" ht="16.5">
      <c r="A91" s="401"/>
      <c r="B91" s="401"/>
      <c r="C91" s="401"/>
      <c r="D91" s="402"/>
      <c r="E91" s="1413" t="s">
        <v>1003</v>
      </c>
      <c r="F91" s="1412"/>
      <c r="G91" s="1412"/>
      <c r="H91" s="1412"/>
      <c r="I91" s="1412"/>
      <c r="J91" s="1412">
        <f>SUM(J79:J90)</f>
        <v>7199377.4278326649</v>
      </c>
      <c r="K91" s="1421"/>
      <c r="L91" s="402"/>
      <c r="M91" s="402"/>
      <c r="N91" s="402"/>
      <c r="O91" s="402"/>
      <c r="P91" s="402"/>
      <c r="Q91" s="402"/>
      <c r="R91" s="402"/>
    </row>
    <row r="92" spans="1:18" ht="16.5">
      <c r="A92" s="401"/>
      <c r="B92" s="401"/>
      <c r="C92" s="401"/>
      <c r="D92" s="402"/>
      <c r="E92" s="1412"/>
      <c r="F92" s="1412"/>
      <c r="G92" s="1412"/>
      <c r="H92" s="1412"/>
      <c r="I92" s="1412"/>
      <c r="J92" s="1421"/>
      <c r="K92" s="1421"/>
      <c r="L92" s="402"/>
      <c r="M92" s="402"/>
      <c r="N92" s="402"/>
      <c r="O92" s="402"/>
      <c r="P92" s="402"/>
      <c r="Q92" s="402"/>
      <c r="R92" s="402"/>
    </row>
    <row r="93" spans="1:18" ht="13.5">
      <c r="A93" s="401"/>
      <c r="B93" s="401"/>
      <c r="C93" s="401"/>
      <c r="D93" s="404"/>
      <c r="E93" s="402"/>
      <c r="F93" s="276"/>
      <c r="G93" s="402"/>
      <c r="H93" s="402"/>
      <c r="I93" s="402"/>
      <c r="J93" s="402"/>
      <c r="K93" s="402"/>
      <c r="L93" s="402"/>
      <c r="M93" s="402"/>
      <c r="N93" s="402"/>
      <c r="O93" s="402"/>
      <c r="P93" s="402"/>
      <c r="Q93" s="402"/>
      <c r="R93" s="402"/>
    </row>
    <row r="94" spans="1:18" ht="31.5">
      <c r="A94" s="401"/>
      <c r="B94" s="401"/>
      <c r="C94" s="401"/>
      <c r="D94" s="1265" t="s">
        <v>1004</v>
      </c>
      <c r="E94" s="1269"/>
      <c r="F94" s="1269" t="s">
        <v>979</v>
      </c>
      <c r="G94" s="402"/>
      <c r="H94" s="1267" t="s">
        <v>1095</v>
      </c>
      <c r="I94" s="102"/>
      <c r="J94" s="1268" t="s">
        <v>1096</v>
      </c>
      <c r="K94" s="102"/>
      <c r="L94" s="1269" t="s">
        <v>1097</v>
      </c>
      <c r="M94" s="402"/>
      <c r="N94" s="402"/>
      <c r="O94" s="402"/>
      <c r="P94" s="402"/>
      <c r="Q94" s="402"/>
      <c r="R94" s="402"/>
    </row>
    <row r="95" spans="1:18" ht="16.5">
      <c r="A95" s="401"/>
      <c r="B95" s="401"/>
      <c r="C95" s="404" t="s">
        <v>1005</v>
      </c>
      <c r="D95" s="1414">
        <f>D68</f>
        <v>7075099</v>
      </c>
      <c r="E95" s="1415" t="s">
        <v>421</v>
      </c>
      <c r="F95" s="1414">
        <f>J91</f>
        <v>7199377.4278326649</v>
      </c>
      <c r="G95" s="1415" t="s">
        <v>422</v>
      </c>
      <c r="H95" s="1414">
        <f>D95-F95</f>
        <v>-124278.42783266492</v>
      </c>
      <c r="I95" s="1415" t="s">
        <v>421</v>
      </c>
      <c r="J95" s="1422">
        <f>M84</f>
        <v>0</v>
      </c>
      <c r="K95" s="1415" t="s">
        <v>422</v>
      </c>
      <c r="L95" s="1414">
        <f>H95-J95</f>
        <v>-124278.42783266492</v>
      </c>
      <c r="M95" s="102"/>
      <c r="N95" s="402"/>
      <c r="O95" s="402"/>
      <c r="P95" s="402"/>
      <c r="Q95" s="402"/>
      <c r="R95" s="402"/>
    </row>
    <row r="96" spans="1:18" ht="15.75">
      <c r="A96" s="401"/>
      <c r="B96" s="401"/>
      <c r="C96" s="401"/>
      <c r="D96" s="431"/>
      <c r="E96" s="401"/>
      <c r="F96" s="411"/>
      <c r="G96" s="401"/>
      <c r="H96" s="411"/>
      <c r="I96" s="402"/>
      <c r="J96" s="102"/>
      <c r="K96" s="3"/>
      <c r="L96" s="3"/>
      <c r="M96" s="102"/>
      <c r="N96" s="402"/>
      <c r="O96" s="402"/>
      <c r="P96" s="402"/>
      <c r="Q96" s="402"/>
      <c r="R96" s="402"/>
    </row>
    <row r="97" spans="1:18" ht="15.75">
      <c r="A97" s="401"/>
      <c r="B97" s="401"/>
      <c r="C97" s="401"/>
      <c r="D97" s="431"/>
      <c r="E97" s="401"/>
      <c r="F97" s="411"/>
      <c r="G97" s="401"/>
      <c r="H97" s="411"/>
      <c r="I97" s="402"/>
      <c r="J97" s="102"/>
      <c r="K97" s="3"/>
      <c r="L97" s="3"/>
      <c r="M97" s="102"/>
      <c r="N97" s="402"/>
      <c r="O97" s="402"/>
      <c r="P97" s="402"/>
      <c r="Q97" s="402"/>
      <c r="R97" s="402"/>
    </row>
    <row r="98" spans="1:18" ht="15.75">
      <c r="A98" s="401"/>
      <c r="B98" s="401"/>
      <c r="C98" s="401"/>
      <c r="D98" s="404" t="s">
        <v>636</v>
      </c>
      <c r="E98" s="401"/>
      <c r="F98" s="411"/>
      <c r="G98" s="401"/>
      <c r="H98" s="411"/>
      <c r="I98" s="402"/>
      <c r="J98" s="102"/>
      <c r="K98" s="3"/>
      <c r="L98" s="3"/>
      <c r="M98" s="102"/>
      <c r="N98" s="402"/>
      <c r="O98" s="402"/>
      <c r="P98" s="402"/>
      <c r="Q98" s="402"/>
      <c r="R98" s="402"/>
    </row>
    <row r="99" spans="1:18" ht="15.75">
      <c r="A99" s="401"/>
      <c r="B99" s="401"/>
      <c r="C99" s="401"/>
      <c r="D99" s="1558" t="s">
        <v>1006</v>
      </c>
      <c r="E99" s="1558"/>
      <c r="F99" s="102">
        <f>'6 - Est and True up'!F119</f>
        <v>6.0000000000000001E-3</v>
      </c>
      <c r="G99" s="401"/>
      <c r="H99" s="411"/>
      <c r="I99" s="402"/>
      <c r="J99" s="102"/>
      <c r="K99" s="3"/>
      <c r="L99" s="3"/>
      <c r="M99" s="102"/>
      <c r="N99" s="402"/>
      <c r="O99" s="402"/>
      <c r="P99" s="402"/>
      <c r="Q99" s="402"/>
      <c r="R99" s="402"/>
    </row>
    <row r="100" spans="1:18" ht="13.5">
      <c r="A100" s="401"/>
      <c r="B100" s="401"/>
      <c r="C100" s="401"/>
      <c r="D100" s="425" t="s">
        <v>618</v>
      </c>
      <c r="E100" s="401" t="s">
        <v>637</v>
      </c>
      <c r="F100" s="401" t="s">
        <v>1007</v>
      </c>
      <c r="G100" s="425" t="s">
        <v>1008</v>
      </c>
      <c r="H100" s="401"/>
      <c r="I100" s="425" t="s">
        <v>638</v>
      </c>
      <c r="J100" s="404" t="s">
        <v>1009</v>
      </c>
      <c r="K100" s="402"/>
      <c r="L100" s="402"/>
      <c r="M100" s="402"/>
      <c r="N100" s="402"/>
      <c r="O100" s="402"/>
      <c r="P100" s="402"/>
      <c r="Q100" s="402"/>
      <c r="R100" s="402"/>
    </row>
    <row r="101" spans="1:18" ht="13.5">
      <c r="A101" s="401"/>
      <c r="B101" s="401"/>
      <c r="C101" s="401"/>
      <c r="D101" s="401"/>
      <c r="E101" s="401"/>
      <c r="F101" s="401" t="s">
        <v>1010</v>
      </c>
      <c r="G101" s="401" t="s">
        <v>1011</v>
      </c>
      <c r="H101" s="401" t="s">
        <v>639</v>
      </c>
      <c r="I101" s="401"/>
      <c r="J101" s="401"/>
      <c r="K101" s="402" t="s">
        <v>1012</v>
      </c>
      <c r="L101" s="402"/>
      <c r="M101" s="402"/>
      <c r="N101" s="402"/>
      <c r="O101" s="402"/>
      <c r="P101" s="402"/>
      <c r="Q101" s="402"/>
      <c r="R101" s="402"/>
    </row>
    <row r="102" spans="1:18" ht="13.5">
      <c r="A102" s="401"/>
      <c r="B102" s="401"/>
      <c r="C102" s="401"/>
      <c r="D102" s="402" t="s">
        <v>625</v>
      </c>
      <c r="E102" s="402" t="s">
        <v>366</v>
      </c>
      <c r="F102" s="1252">
        <f>L95/12</f>
        <v>-10356.535652722077</v>
      </c>
      <c r="G102" s="1249">
        <f>+F99</f>
        <v>6.0000000000000001E-3</v>
      </c>
      <c r="H102" s="402">
        <v>12</v>
      </c>
      <c r="I102" s="406">
        <f>+F102*G102*H102</f>
        <v>-745.67056699598959</v>
      </c>
      <c r="J102" s="406">
        <f>+F102+I102</f>
        <v>-11102.206219718068</v>
      </c>
      <c r="K102" s="402" t="s">
        <v>1013</v>
      </c>
      <c r="L102" s="402"/>
      <c r="M102" s="402"/>
      <c r="N102" s="402"/>
      <c r="O102" s="402"/>
      <c r="P102" s="402"/>
      <c r="Q102" s="402"/>
      <c r="R102" s="402"/>
    </row>
    <row r="103" spans="1:18" ht="13.5">
      <c r="A103" s="401"/>
      <c r="B103" s="401"/>
      <c r="C103" s="401"/>
      <c r="D103" s="402" t="s">
        <v>626</v>
      </c>
      <c r="E103" s="402" t="s">
        <v>366</v>
      </c>
      <c r="F103" s="411">
        <f t="shared" ref="F103:G113" si="8">+F102</f>
        <v>-10356.535652722077</v>
      </c>
      <c r="G103" s="432">
        <f>+G102</f>
        <v>6.0000000000000001E-3</v>
      </c>
      <c r="H103" s="402">
        <v>11</v>
      </c>
      <c r="I103" s="406">
        <f t="shared" ref="I103:I113" si="9">+F103*G103*H103</f>
        <v>-683.53135307965715</v>
      </c>
      <c r="J103" s="406">
        <f t="shared" ref="J103:J113" si="10">+F103+I103</f>
        <v>-11040.067005801735</v>
      </c>
      <c r="K103" s="402" t="s">
        <v>1014</v>
      </c>
      <c r="L103" s="402"/>
      <c r="M103" s="402"/>
      <c r="N103" s="402"/>
      <c r="O103" s="402"/>
      <c r="P103" s="402"/>
      <c r="Q103" s="402"/>
      <c r="R103" s="402"/>
    </row>
    <row r="104" spans="1:18" ht="13.5">
      <c r="A104" s="401"/>
      <c r="B104" s="401"/>
      <c r="C104" s="401"/>
      <c r="D104" s="402" t="s">
        <v>627</v>
      </c>
      <c r="E104" s="402" t="s">
        <v>366</v>
      </c>
      <c r="F104" s="411">
        <f t="shared" si="8"/>
        <v>-10356.535652722077</v>
      </c>
      <c r="G104" s="432">
        <f t="shared" si="8"/>
        <v>6.0000000000000001E-3</v>
      </c>
      <c r="H104" s="402">
        <v>10</v>
      </c>
      <c r="I104" s="406">
        <f t="shared" si="9"/>
        <v>-621.3921391633246</v>
      </c>
      <c r="J104" s="406">
        <f t="shared" si="10"/>
        <v>-10977.927791885402</v>
      </c>
      <c r="K104" s="402"/>
      <c r="L104" s="402"/>
      <c r="M104" s="402"/>
      <c r="N104" s="402"/>
      <c r="O104" s="402"/>
      <c r="P104" s="402"/>
      <c r="Q104" s="402"/>
      <c r="R104" s="402"/>
    </row>
    <row r="105" spans="1:18" ht="13.5">
      <c r="A105" s="401"/>
      <c r="B105" s="401"/>
      <c r="C105" s="401"/>
      <c r="D105" s="402" t="s">
        <v>628</v>
      </c>
      <c r="E105" s="402" t="s">
        <v>366</v>
      </c>
      <c r="F105" s="411">
        <f t="shared" si="8"/>
        <v>-10356.535652722077</v>
      </c>
      <c r="G105" s="432">
        <f t="shared" si="8"/>
        <v>6.0000000000000001E-3</v>
      </c>
      <c r="H105" s="402">
        <v>9</v>
      </c>
      <c r="I105" s="406">
        <f t="shared" si="9"/>
        <v>-559.25292524699216</v>
      </c>
      <c r="J105" s="406">
        <f t="shared" si="10"/>
        <v>-10915.78857796907</v>
      </c>
      <c r="K105" s="402"/>
      <c r="L105" s="402"/>
      <c r="M105" s="402"/>
      <c r="N105" s="402"/>
      <c r="O105" s="402"/>
      <c r="P105" s="402"/>
      <c r="Q105" s="402"/>
      <c r="R105" s="402"/>
    </row>
    <row r="106" spans="1:18" ht="13.5">
      <c r="A106" s="401"/>
      <c r="B106" s="401"/>
      <c r="C106" s="401"/>
      <c r="D106" s="402" t="s">
        <v>623</v>
      </c>
      <c r="E106" s="402" t="s">
        <v>366</v>
      </c>
      <c r="F106" s="411">
        <f t="shared" si="8"/>
        <v>-10356.535652722077</v>
      </c>
      <c r="G106" s="432">
        <f t="shared" si="8"/>
        <v>6.0000000000000001E-3</v>
      </c>
      <c r="H106" s="402">
        <v>8</v>
      </c>
      <c r="I106" s="406">
        <f t="shared" si="9"/>
        <v>-497.11371133065973</v>
      </c>
      <c r="J106" s="406">
        <f t="shared" si="10"/>
        <v>-10853.649364052737</v>
      </c>
      <c r="K106" s="402"/>
      <c r="L106" s="402"/>
      <c r="M106" s="402"/>
      <c r="N106" s="402"/>
      <c r="O106" s="402"/>
      <c r="P106" s="402"/>
      <c r="Q106" s="402"/>
      <c r="R106" s="402"/>
    </row>
    <row r="107" spans="1:18" ht="13.5">
      <c r="A107" s="401"/>
      <c r="B107" s="401"/>
      <c r="C107" s="401"/>
      <c r="D107" s="402" t="s">
        <v>629</v>
      </c>
      <c r="E107" s="402" t="s">
        <v>366</v>
      </c>
      <c r="F107" s="411">
        <f t="shared" si="8"/>
        <v>-10356.535652722077</v>
      </c>
      <c r="G107" s="432">
        <f t="shared" si="8"/>
        <v>6.0000000000000001E-3</v>
      </c>
      <c r="H107" s="402">
        <v>7</v>
      </c>
      <c r="I107" s="406">
        <f t="shared" si="9"/>
        <v>-434.97449741432729</v>
      </c>
      <c r="J107" s="406">
        <f t="shared" si="10"/>
        <v>-10791.510150136404</v>
      </c>
      <c r="K107" s="402"/>
      <c r="L107" s="402"/>
      <c r="M107" s="402"/>
      <c r="N107" s="402"/>
      <c r="O107" s="402"/>
      <c r="P107" s="402"/>
      <c r="Q107" s="402"/>
      <c r="R107" s="402"/>
    </row>
    <row r="108" spans="1:18" ht="13.5">
      <c r="A108" s="401"/>
      <c r="B108" s="401"/>
      <c r="C108" s="401"/>
      <c r="D108" s="402" t="s">
        <v>630</v>
      </c>
      <c r="E108" s="402" t="s">
        <v>366</v>
      </c>
      <c r="F108" s="411">
        <f t="shared" si="8"/>
        <v>-10356.535652722077</v>
      </c>
      <c r="G108" s="432">
        <f t="shared" si="8"/>
        <v>6.0000000000000001E-3</v>
      </c>
      <c r="H108" s="402">
        <v>6</v>
      </c>
      <c r="I108" s="406">
        <f t="shared" si="9"/>
        <v>-372.83528349799479</v>
      </c>
      <c r="J108" s="406">
        <f t="shared" si="10"/>
        <v>-10729.370936220072</v>
      </c>
      <c r="K108" s="402"/>
      <c r="L108" s="402"/>
      <c r="M108" s="402"/>
      <c r="N108" s="402"/>
      <c r="O108" s="402"/>
      <c r="P108" s="402"/>
      <c r="Q108" s="402"/>
      <c r="R108" s="402"/>
    </row>
    <row r="109" spans="1:18" ht="13.5">
      <c r="A109" s="401"/>
      <c r="B109" s="401"/>
      <c r="C109" s="401"/>
      <c r="D109" s="402" t="s">
        <v>631</v>
      </c>
      <c r="E109" s="402" t="s">
        <v>597</v>
      </c>
      <c r="F109" s="411">
        <f t="shared" si="8"/>
        <v>-10356.535652722077</v>
      </c>
      <c r="G109" s="432">
        <f t="shared" si="8"/>
        <v>6.0000000000000001E-3</v>
      </c>
      <c r="H109" s="402">
        <v>5</v>
      </c>
      <c r="I109" s="406">
        <f t="shared" si="9"/>
        <v>-310.6960695816623</v>
      </c>
      <c r="J109" s="406">
        <f t="shared" si="10"/>
        <v>-10667.231722303739</v>
      </c>
      <c r="K109" s="402"/>
      <c r="L109" s="402"/>
      <c r="M109" s="402"/>
      <c r="N109" s="402"/>
      <c r="O109" s="402"/>
      <c r="P109" s="402"/>
      <c r="Q109" s="402"/>
      <c r="R109" s="402"/>
    </row>
    <row r="110" spans="1:18" ht="13.5">
      <c r="A110" s="401"/>
      <c r="B110" s="401"/>
      <c r="C110" s="401"/>
      <c r="D110" s="402" t="s">
        <v>632</v>
      </c>
      <c r="E110" s="402" t="s">
        <v>597</v>
      </c>
      <c r="F110" s="411">
        <f t="shared" si="8"/>
        <v>-10356.535652722077</v>
      </c>
      <c r="G110" s="432">
        <f t="shared" si="8"/>
        <v>6.0000000000000001E-3</v>
      </c>
      <c r="H110" s="402">
        <v>4</v>
      </c>
      <c r="I110" s="406">
        <f t="shared" si="9"/>
        <v>-248.55685566532986</v>
      </c>
      <c r="J110" s="406">
        <f t="shared" si="10"/>
        <v>-10605.092508387408</v>
      </c>
      <c r="K110" s="402"/>
      <c r="L110" s="402"/>
      <c r="M110" s="402"/>
      <c r="N110" s="402"/>
      <c r="O110" s="402"/>
      <c r="P110" s="402"/>
      <c r="Q110" s="402"/>
      <c r="R110" s="402"/>
    </row>
    <row r="111" spans="1:18" ht="13.5">
      <c r="A111" s="401"/>
      <c r="B111" s="401"/>
      <c r="C111" s="401"/>
      <c r="D111" s="402" t="s">
        <v>633</v>
      </c>
      <c r="E111" s="402" t="s">
        <v>597</v>
      </c>
      <c r="F111" s="411">
        <f t="shared" si="8"/>
        <v>-10356.535652722077</v>
      </c>
      <c r="G111" s="432">
        <f t="shared" si="8"/>
        <v>6.0000000000000001E-3</v>
      </c>
      <c r="H111" s="402">
        <v>3</v>
      </c>
      <c r="I111" s="406">
        <f t="shared" si="9"/>
        <v>-186.4176417489974</v>
      </c>
      <c r="J111" s="406">
        <f t="shared" si="10"/>
        <v>-10542.953294471075</v>
      </c>
      <c r="K111" s="402"/>
      <c r="L111" s="402"/>
      <c r="M111" s="402"/>
      <c r="N111" s="402"/>
      <c r="O111" s="402"/>
      <c r="P111" s="402"/>
      <c r="Q111" s="402"/>
      <c r="R111" s="402"/>
    </row>
    <row r="112" spans="1:18" ht="13.5">
      <c r="A112" s="401"/>
      <c r="B112" s="401"/>
      <c r="C112" s="401"/>
      <c r="D112" s="402" t="s">
        <v>634</v>
      </c>
      <c r="E112" s="402" t="s">
        <v>597</v>
      </c>
      <c r="F112" s="411">
        <f t="shared" si="8"/>
        <v>-10356.535652722077</v>
      </c>
      <c r="G112" s="432">
        <f t="shared" si="8"/>
        <v>6.0000000000000001E-3</v>
      </c>
      <c r="H112" s="402">
        <v>2</v>
      </c>
      <c r="I112" s="406">
        <f t="shared" si="9"/>
        <v>-124.27842783266493</v>
      </c>
      <c r="J112" s="406">
        <f t="shared" si="10"/>
        <v>-10480.814080554743</v>
      </c>
      <c r="K112" s="402"/>
      <c r="L112" s="402"/>
      <c r="M112" s="402"/>
      <c r="N112" s="402"/>
      <c r="O112" s="402"/>
      <c r="P112" s="402"/>
      <c r="Q112" s="402"/>
      <c r="R112" s="402"/>
    </row>
    <row r="113" spans="1:18" ht="13.5">
      <c r="A113" s="401"/>
      <c r="B113" s="401"/>
      <c r="C113" s="401"/>
      <c r="D113" s="402" t="s">
        <v>635</v>
      </c>
      <c r="E113" s="402" t="s">
        <v>597</v>
      </c>
      <c r="F113" s="411">
        <f t="shared" si="8"/>
        <v>-10356.535652722077</v>
      </c>
      <c r="G113" s="432">
        <f t="shared" si="8"/>
        <v>6.0000000000000001E-3</v>
      </c>
      <c r="H113" s="402">
        <v>1</v>
      </c>
      <c r="I113" s="406">
        <f t="shared" si="9"/>
        <v>-62.139213916332466</v>
      </c>
      <c r="J113" s="406">
        <f t="shared" si="10"/>
        <v>-10418.67486663841</v>
      </c>
      <c r="K113" s="402"/>
      <c r="L113" s="402"/>
      <c r="M113" s="402"/>
      <c r="N113" s="402"/>
      <c r="O113" s="402"/>
      <c r="P113" s="402"/>
      <c r="Q113" s="402"/>
      <c r="R113" s="402"/>
    </row>
    <row r="114" spans="1:18" ht="13.5">
      <c r="A114" s="401"/>
      <c r="B114" s="401"/>
      <c r="C114" s="401"/>
      <c r="D114" s="402" t="s">
        <v>847</v>
      </c>
      <c r="E114" s="402"/>
      <c r="F114" s="411">
        <v>0</v>
      </c>
      <c r="G114" s="402"/>
      <c r="H114" s="402"/>
      <c r="I114" s="402"/>
      <c r="J114" s="406">
        <f>SUM(J102:J113)</f>
        <v>-129125.28651813886</v>
      </c>
      <c r="K114" s="402"/>
      <c r="L114" s="402"/>
      <c r="M114" s="402"/>
      <c r="N114" s="402"/>
      <c r="O114" s="402"/>
      <c r="P114" s="402"/>
      <c r="Q114" s="402"/>
      <c r="R114" s="402"/>
    </row>
    <row r="115" spans="1:18" ht="13.5">
      <c r="A115" s="401"/>
      <c r="B115" s="401"/>
      <c r="C115" s="401"/>
      <c r="D115" s="402"/>
      <c r="E115" s="402"/>
      <c r="F115" s="425" t="s">
        <v>640</v>
      </c>
      <c r="G115" s="1250" t="s">
        <v>1015</v>
      </c>
      <c r="H115" s="1250" t="s">
        <v>1016</v>
      </c>
      <c r="I115" s="425" t="s">
        <v>638</v>
      </c>
      <c r="J115" s="406" t="str">
        <f>+J100</f>
        <v>Surcharge (Refund) Owed</v>
      </c>
      <c r="K115" s="402"/>
      <c r="L115" s="402"/>
      <c r="M115" s="402"/>
      <c r="N115" s="402"/>
      <c r="O115" s="402"/>
      <c r="P115" s="402"/>
      <c r="Q115" s="402"/>
      <c r="R115" s="402"/>
    </row>
    <row r="116" spans="1:18" ht="13.5">
      <c r="A116" s="401"/>
      <c r="B116" s="401"/>
      <c r="C116" s="401"/>
      <c r="D116" s="402" t="s">
        <v>625</v>
      </c>
      <c r="E116" s="402" t="s">
        <v>597</v>
      </c>
      <c r="F116" s="411">
        <f>+J114</f>
        <v>-129125.28651813886</v>
      </c>
      <c r="G116" s="432">
        <f>+G113</f>
        <v>6.0000000000000001E-3</v>
      </c>
      <c r="H116" s="413">
        <v>0</v>
      </c>
      <c r="I116" s="406">
        <f t="shared" ref="I116:I132" si="11">+F116*G116</f>
        <v>-774.75171910883319</v>
      </c>
      <c r="J116" s="406">
        <f>+F116+I116-H116</f>
        <v>-129900.03823724769</v>
      </c>
      <c r="K116" s="402"/>
      <c r="L116" s="402"/>
      <c r="M116" s="402"/>
      <c r="N116" s="402"/>
      <c r="O116" s="402"/>
      <c r="P116" s="402"/>
      <c r="Q116" s="402"/>
      <c r="R116" s="402"/>
    </row>
    <row r="117" spans="1:18" ht="13.5">
      <c r="A117" s="401"/>
      <c r="B117" s="401"/>
      <c r="C117" s="401"/>
      <c r="D117" s="402" t="s">
        <v>626</v>
      </c>
      <c r="E117" s="402" t="s">
        <v>597</v>
      </c>
      <c r="F117" s="411">
        <f>+J116</f>
        <v>-129900.03823724769</v>
      </c>
      <c r="G117" s="432">
        <f>+G116</f>
        <v>6.0000000000000001E-3</v>
      </c>
      <c r="H117" s="1253">
        <v>0</v>
      </c>
      <c r="I117" s="406">
        <f t="shared" si="11"/>
        <v>-779.40022942348617</v>
      </c>
      <c r="J117" s="406">
        <f t="shared" ref="J117:J132" si="12">+F117+I117-H117</f>
        <v>-130679.43846667117</v>
      </c>
      <c r="K117" s="402"/>
      <c r="L117" s="402"/>
      <c r="M117" s="402"/>
      <c r="N117" s="402"/>
      <c r="O117" s="402"/>
      <c r="P117" s="402"/>
      <c r="Q117" s="402"/>
      <c r="R117" s="402"/>
    </row>
    <row r="118" spans="1:18" ht="13.5">
      <c r="A118" s="401"/>
      <c r="B118" s="401"/>
      <c r="C118" s="401"/>
      <c r="D118" s="402" t="s">
        <v>627</v>
      </c>
      <c r="E118" s="402" t="s">
        <v>597</v>
      </c>
      <c r="F118" s="411">
        <f t="shared" ref="F118:F132" si="13">+J117</f>
        <v>-130679.43846667117</v>
      </c>
      <c r="G118" s="432">
        <f t="shared" ref="G118:G132" si="14">+G117</f>
        <v>6.0000000000000001E-3</v>
      </c>
      <c r="H118" s="1253">
        <f t="shared" ref="H118:H132" si="15">H117</f>
        <v>0</v>
      </c>
      <c r="I118" s="406">
        <f t="shared" si="11"/>
        <v>-784.07663080002703</v>
      </c>
      <c r="J118" s="406">
        <f t="shared" si="12"/>
        <v>-131463.51509747119</v>
      </c>
      <c r="K118" s="402"/>
      <c r="L118" s="402"/>
      <c r="M118" s="402"/>
      <c r="N118" s="402"/>
      <c r="O118" s="402"/>
      <c r="P118" s="402"/>
      <c r="Q118" s="402"/>
      <c r="R118" s="402"/>
    </row>
    <row r="119" spans="1:18" ht="13.5">
      <c r="A119" s="401"/>
      <c r="B119" s="401"/>
      <c r="C119" s="401"/>
      <c r="D119" s="402" t="s">
        <v>628</v>
      </c>
      <c r="E119" s="402" t="s">
        <v>597</v>
      </c>
      <c r="F119" s="411">
        <f t="shared" si="13"/>
        <v>-131463.51509747119</v>
      </c>
      <c r="G119" s="432">
        <f t="shared" si="14"/>
        <v>6.0000000000000001E-3</v>
      </c>
      <c r="H119" s="1253">
        <f t="shared" si="15"/>
        <v>0</v>
      </c>
      <c r="I119" s="406">
        <f t="shared" si="11"/>
        <v>-788.7810905848271</v>
      </c>
      <c r="J119" s="406">
        <f t="shared" si="12"/>
        <v>-132252.296188056</v>
      </c>
      <c r="K119" s="433"/>
      <c r="L119" s="402"/>
      <c r="M119" s="402"/>
      <c r="N119" s="402"/>
      <c r="O119" s="402"/>
      <c r="P119" s="402"/>
      <c r="Q119" s="402"/>
      <c r="R119" s="402"/>
    </row>
    <row r="120" spans="1:18" ht="13.5">
      <c r="A120" s="401"/>
      <c r="B120" s="401"/>
      <c r="C120" s="401"/>
      <c r="D120" s="402" t="s">
        <v>623</v>
      </c>
      <c r="E120" s="402" t="s">
        <v>597</v>
      </c>
      <c r="F120" s="411">
        <f t="shared" si="13"/>
        <v>-132252.296188056</v>
      </c>
      <c r="G120" s="432">
        <f t="shared" si="14"/>
        <v>6.0000000000000001E-3</v>
      </c>
      <c r="H120" s="1253">
        <f t="shared" si="15"/>
        <v>0</v>
      </c>
      <c r="I120" s="406">
        <f t="shared" si="11"/>
        <v>-793.51377712833607</v>
      </c>
      <c r="J120" s="406">
        <f t="shared" si="12"/>
        <v>-133045.80996518434</v>
      </c>
      <c r="K120" s="432"/>
      <c r="L120" s="402"/>
      <c r="M120" s="402"/>
      <c r="N120" s="402"/>
      <c r="O120" s="402"/>
      <c r="P120" s="402"/>
      <c r="Q120" s="402"/>
      <c r="R120" s="402"/>
    </row>
    <row r="121" spans="1:18" ht="13.5">
      <c r="A121" s="401"/>
      <c r="B121" s="401"/>
      <c r="C121" s="401"/>
      <c r="D121" s="402" t="s">
        <v>629</v>
      </c>
      <c r="E121" s="402" t="s">
        <v>597</v>
      </c>
      <c r="F121" s="411">
        <f t="shared" si="13"/>
        <v>-133045.80996518434</v>
      </c>
      <c r="G121" s="432">
        <f t="shared" si="14"/>
        <v>6.0000000000000001E-3</v>
      </c>
      <c r="H121" s="413">
        <f>-PMT(G121,12,J120)</f>
        <v>-11524.291478125979</v>
      </c>
      <c r="I121" s="406">
        <f t="shared" si="11"/>
        <v>-798.274859791106</v>
      </c>
      <c r="J121" s="406">
        <f t="shared" si="12"/>
        <v>-122319.79334684946</v>
      </c>
      <c r="K121" s="402"/>
      <c r="L121" s="402"/>
      <c r="M121" s="402"/>
      <c r="N121" s="402"/>
      <c r="O121" s="402"/>
      <c r="P121" s="402"/>
      <c r="Q121" s="402"/>
      <c r="R121" s="402"/>
    </row>
    <row r="122" spans="1:18" ht="13.5">
      <c r="A122" s="401"/>
      <c r="B122" s="401"/>
      <c r="C122" s="401"/>
      <c r="D122" s="402" t="s">
        <v>630</v>
      </c>
      <c r="E122" s="402" t="s">
        <v>597</v>
      </c>
      <c r="F122" s="411">
        <f t="shared" si="13"/>
        <v>-122319.79334684946</v>
      </c>
      <c r="G122" s="432">
        <f t="shared" si="14"/>
        <v>6.0000000000000001E-3</v>
      </c>
      <c r="H122" s="1253">
        <f t="shared" si="15"/>
        <v>-11524.291478125979</v>
      </c>
      <c r="I122" s="406">
        <f t="shared" si="11"/>
        <v>-733.91876008109682</v>
      </c>
      <c r="J122" s="406">
        <f t="shared" si="12"/>
        <v>-111529.42062880458</v>
      </c>
      <c r="K122" s="402"/>
      <c r="L122" s="402"/>
      <c r="M122" s="402"/>
      <c r="N122" s="402"/>
      <c r="O122" s="402"/>
      <c r="P122" s="402"/>
      <c r="Q122" s="402"/>
      <c r="R122" s="402"/>
    </row>
    <row r="123" spans="1:18" ht="13.5">
      <c r="A123" s="401"/>
      <c r="B123" s="401"/>
      <c r="C123" s="401"/>
      <c r="D123" s="402" t="s">
        <v>631</v>
      </c>
      <c r="E123" s="402" t="s">
        <v>597</v>
      </c>
      <c r="F123" s="411">
        <f t="shared" si="13"/>
        <v>-111529.42062880458</v>
      </c>
      <c r="G123" s="432">
        <f t="shared" si="14"/>
        <v>6.0000000000000001E-3</v>
      </c>
      <c r="H123" s="1253">
        <f t="shared" si="15"/>
        <v>-11524.291478125979</v>
      </c>
      <c r="I123" s="406">
        <f t="shared" si="11"/>
        <v>-669.17652377282752</v>
      </c>
      <c r="J123" s="406">
        <f t="shared" si="12"/>
        <v>-100674.30567445143</v>
      </c>
      <c r="K123" s="402"/>
      <c r="L123" s="402"/>
      <c r="M123" s="402"/>
      <c r="N123" s="402"/>
      <c r="O123" s="402"/>
      <c r="P123" s="402"/>
      <c r="Q123" s="402"/>
      <c r="R123" s="402"/>
    </row>
    <row r="124" spans="1:18" ht="13.5">
      <c r="A124" s="401"/>
      <c r="B124" s="401"/>
      <c r="C124" s="401"/>
      <c r="D124" s="402" t="s">
        <v>632</v>
      </c>
      <c r="E124" s="402" t="s">
        <v>597</v>
      </c>
      <c r="F124" s="411">
        <f t="shared" si="13"/>
        <v>-100674.30567445143</v>
      </c>
      <c r="G124" s="432">
        <f t="shared" si="14"/>
        <v>6.0000000000000001E-3</v>
      </c>
      <c r="H124" s="1253">
        <f t="shared" si="15"/>
        <v>-11524.291478125979</v>
      </c>
      <c r="I124" s="406">
        <f t="shared" si="11"/>
        <v>-604.04583404670859</v>
      </c>
      <c r="J124" s="406">
        <f t="shared" si="12"/>
        <v>-89754.060030372173</v>
      </c>
      <c r="K124" s="402"/>
      <c r="L124" s="402"/>
      <c r="M124" s="402"/>
      <c r="N124" s="402"/>
      <c r="O124" s="402"/>
      <c r="P124" s="402"/>
      <c r="Q124" s="402"/>
      <c r="R124" s="402"/>
    </row>
    <row r="125" spans="1:18" ht="13.5">
      <c r="A125" s="401"/>
      <c r="B125" s="401"/>
      <c r="C125" s="401"/>
      <c r="D125" s="402" t="s">
        <v>633</v>
      </c>
      <c r="E125" s="402" t="s">
        <v>597</v>
      </c>
      <c r="F125" s="411">
        <f t="shared" si="13"/>
        <v>-89754.060030372173</v>
      </c>
      <c r="G125" s="432">
        <f t="shared" si="14"/>
        <v>6.0000000000000001E-3</v>
      </c>
      <c r="H125" s="1253">
        <f t="shared" si="15"/>
        <v>-11524.291478125979</v>
      </c>
      <c r="I125" s="406">
        <f t="shared" si="11"/>
        <v>-538.52436018223307</v>
      </c>
      <c r="J125" s="406">
        <f t="shared" si="12"/>
        <v>-78768.292912428427</v>
      </c>
      <c r="K125" s="402"/>
      <c r="L125" s="402"/>
      <c r="M125" s="402"/>
      <c r="N125" s="402"/>
      <c r="O125" s="402"/>
      <c r="P125" s="402"/>
      <c r="Q125" s="402"/>
      <c r="R125" s="402"/>
    </row>
    <row r="126" spans="1:18" ht="13.5">
      <c r="A126" s="401"/>
      <c r="B126" s="401"/>
      <c r="C126" s="401"/>
      <c r="D126" s="402" t="s">
        <v>634</v>
      </c>
      <c r="E126" s="402" t="s">
        <v>597</v>
      </c>
      <c r="F126" s="411">
        <f t="shared" si="13"/>
        <v>-78768.292912428427</v>
      </c>
      <c r="G126" s="432">
        <f t="shared" si="14"/>
        <v>6.0000000000000001E-3</v>
      </c>
      <c r="H126" s="1253">
        <f t="shared" si="15"/>
        <v>-11524.291478125979</v>
      </c>
      <c r="I126" s="406">
        <f t="shared" si="11"/>
        <v>-472.60975747457059</v>
      </c>
      <c r="J126" s="406">
        <f t="shared" si="12"/>
        <v>-67716.611191777018</v>
      </c>
      <c r="K126" s="402"/>
      <c r="L126" s="402"/>
      <c r="M126" s="402"/>
      <c r="N126" s="402"/>
      <c r="O126" s="402"/>
      <c r="P126" s="402"/>
      <c r="Q126" s="402"/>
      <c r="R126" s="402"/>
    </row>
    <row r="127" spans="1:18" ht="13.5">
      <c r="A127" s="401"/>
      <c r="B127" s="401"/>
      <c r="C127" s="401"/>
      <c r="D127" s="402" t="s">
        <v>635</v>
      </c>
      <c r="E127" s="402" t="s">
        <v>597</v>
      </c>
      <c r="F127" s="411">
        <f t="shared" si="13"/>
        <v>-67716.611191777018</v>
      </c>
      <c r="G127" s="432">
        <f t="shared" si="14"/>
        <v>6.0000000000000001E-3</v>
      </c>
      <c r="H127" s="1253">
        <f t="shared" si="15"/>
        <v>-11524.291478125979</v>
      </c>
      <c r="I127" s="406">
        <f t="shared" si="11"/>
        <v>-406.29966715066212</v>
      </c>
      <c r="J127" s="406">
        <f t="shared" si="12"/>
        <v>-56598.619380801698</v>
      </c>
      <c r="K127" s="402"/>
      <c r="L127" s="402"/>
      <c r="M127" s="402"/>
      <c r="N127" s="402"/>
      <c r="O127" s="402"/>
      <c r="P127" s="402"/>
      <c r="Q127" s="402"/>
      <c r="R127" s="402"/>
    </row>
    <row r="128" spans="1:18" ht="13.5">
      <c r="A128" s="401"/>
      <c r="B128" s="401"/>
      <c r="C128" s="401"/>
      <c r="D128" s="402" t="s">
        <v>625</v>
      </c>
      <c r="E128" s="402" t="s">
        <v>598</v>
      </c>
      <c r="F128" s="411">
        <f t="shared" si="13"/>
        <v>-56598.619380801698</v>
      </c>
      <c r="G128" s="432">
        <f t="shared" si="14"/>
        <v>6.0000000000000001E-3</v>
      </c>
      <c r="H128" s="1253">
        <f t="shared" si="15"/>
        <v>-11524.291478125979</v>
      </c>
      <c r="I128" s="406">
        <f t="shared" si="11"/>
        <v>-339.59171628481022</v>
      </c>
      <c r="J128" s="406">
        <f t="shared" si="12"/>
        <v>-45413.919618960528</v>
      </c>
      <c r="K128" s="402"/>
      <c r="L128" s="402"/>
      <c r="M128" s="402"/>
      <c r="N128" s="402"/>
      <c r="O128" s="402"/>
      <c r="P128" s="402"/>
      <c r="Q128" s="402"/>
      <c r="R128" s="402"/>
    </row>
    <row r="129" spans="1:18" ht="13.5">
      <c r="A129" s="401"/>
      <c r="B129" s="401"/>
      <c r="C129" s="401"/>
      <c r="D129" s="402" t="s">
        <v>626</v>
      </c>
      <c r="E129" s="402" t="s">
        <v>598</v>
      </c>
      <c r="F129" s="411">
        <f t="shared" si="13"/>
        <v>-45413.919618960528</v>
      </c>
      <c r="G129" s="432">
        <f t="shared" si="14"/>
        <v>6.0000000000000001E-3</v>
      </c>
      <c r="H129" s="1253">
        <f t="shared" si="15"/>
        <v>-11524.291478125979</v>
      </c>
      <c r="I129" s="406">
        <f t="shared" si="11"/>
        <v>-272.48351771376315</v>
      </c>
      <c r="J129" s="406">
        <f t="shared" si="12"/>
        <v>-34162.111658548311</v>
      </c>
      <c r="K129" s="402"/>
      <c r="L129" s="402"/>
      <c r="M129" s="402"/>
      <c r="N129" s="402"/>
      <c r="O129" s="402"/>
      <c r="P129" s="402"/>
      <c r="Q129" s="402"/>
      <c r="R129" s="402"/>
    </row>
    <row r="130" spans="1:18" ht="13.5">
      <c r="A130" s="401"/>
      <c r="B130" s="401"/>
      <c r="C130" s="401"/>
      <c r="D130" s="402" t="s">
        <v>627</v>
      </c>
      <c r="E130" s="402" t="s">
        <v>598</v>
      </c>
      <c r="F130" s="411">
        <f t="shared" si="13"/>
        <v>-34162.111658548311</v>
      </c>
      <c r="G130" s="432">
        <f t="shared" si="14"/>
        <v>6.0000000000000001E-3</v>
      </c>
      <c r="H130" s="1253">
        <f t="shared" si="15"/>
        <v>-11524.291478125979</v>
      </c>
      <c r="I130" s="406">
        <f t="shared" si="11"/>
        <v>-204.97266995128987</v>
      </c>
      <c r="J130" s="406">
        <f t="shared" si="12"/>
        <v>-22842.792850373622</v>
      </c>
      <c r="K130" s="402"/>
      <c r="L130" s="402"/>
      <c r="M130" s="402"/>
      <c r="N130" s="402"/>
      <c r="O130" s="402"/>
      <c r="P130" s="402"/>
      <c r="Q130" s="402"/>
      <c r="R130" s="402"/>
    </row>
    <row r="131" spans="1:18" ht="13.5">
      <c r="A131" s="401"/>
      <c r="B131" s="401"/>
      <c r="C131" s="401"/>
      <c r="D131" s="402" t="s">
        <v>628</v>
      </c>
      <c r="E131" s="402" t="s">
        <v>598</v>
      </c>
      <c r="F131" s="411">
        <f t="shared" si="13"/>
        <v>-22842.792850373622</v>
      </c>
      <c r="G131" s="432">
        <f t="shared" si="14"/>
        <v>6.0000000000000001E-3</v>
      </c>
      <c r="H131" s="1253">
        <f t="shared" si="15"/>
        <v>-11524.291478125979</v>
      </c>
      <c r="I131" s="406">
        <f t="shared" si="11"/>
        <v>-137.05675710224173</v>
      </c>
      <c r="J131" s="406">
        <f t="shared" si="12"/>
        <v>-11455.558129349884</v>
      </c>
      <c r="K131" s="402"/>
      <c r="L131" s="402"/>
      <c r="M131" s="402"/>
      <c r="N131" s="402"/>
      <c r="O131" s="402"/>
      <c r="P131" s="402"/>
      <c r="Q131" s="402"/>
      <c r="R131" s="402"/>
    </row>
    <row r="132" spans="1:18" ht="13.5">
      <c r="A132" s="401"/>
      <c r="B132" s="401"/>
      <c r="C132" s="401"/>
      <c r="D132" s="402" t="s">
        <v>623</v>
      </c>
      <c r="E132" s="402" t="s">
        <v>598</v>
      </c>
      <c r="F132" s="411">
        <f t="shared" si="13"/>
        <v>-11455.558129349884</v>
      </c>
      <c r="G132" s="432">
        <f t="shared" si="14"/>
        <v>6.0000000000000001E-3</v>
      </c>
      <c r="H132" s="1253">
        <f t="shared" si="15"/>
        <v>-11524.291478125979</v>
      </c>
      <c r="I132" s="406">
        <f t="shared" si="11"/>
        <v>-68.733348776099305</v>
      </c>
      <c r="J132" s="406">
        <f t="shared" si="12"/>
        <v>0</v>
      </c>
      <c r="K132" s="402"/>
      <c r="L132" s="402"/>
      <c r="M132" s="402"/>
      <c r="N132" s="402"/>
      <c r="O132" s="402"/>
      <c r="P132" s="402"/>
      <c r="Q132" s="402"/>
      <c r="R132" s="402"/>
    </row>
    <row r="133" spans="1:18" ht="13.5">
      <c r="A133" s="401"/>
      <c r="B133" s="401"/>
      <c r="C133" s="401"/>
      <c r="D133" s="402" t="s">
        <v>654</v>
      </c>
      <c r="E133" s="402"/>
      <c r="F133" s="402"/>
      <c r="G133" s="402"/>
      <c r="H133" s="411">
        <f>SUM(H116:H132)</f>
        <v>-138291.49773751173</v>
      </c>
      <c r="I133" s="402"/>
      <c r="J133" s="402"/>
      <c r="K133" s="402"/>
      <c r="L133" s="402"/>
      <c r="M133" s="402"/>
      <c r="N133" s="402"/>
      <c r="O133" s="402"/>
      <c r="P133" s="402"/>
      <c r="Q133" s="402"/>
      <c r="R133" s="402"/>
    </row>
    <row r="134" spans="1:18" ht="13.5">
      <c r="A134" s="401"/>
      <c r="B134" s="401"/>
      <c r="C134" s="401"/>
      <c r="D134" s="402"/>
      <c r="E134" s="402"/>
      <c r="F134" s="402"/>
      <c r="G134" s="402"/>
      <c r="H134" s="402"/>
      <c r="I134" s="402"/>
      <c r="J134" s="402"/>
      <c r="K134" s="402"/>
      <c r="L134" s="402"/>
      <c r="M134" s="402"/>
      <c r="N134" s="402"/>
      <c r="O134" s="402"/>
      <c r="P134" s="402"/>
      <c r="Q134" s="402"/>
      <c r="R134" s="402"/>
    </row>
    <row r="135" spans="1:18" ht="13.5">
      <c r="A135" s="277"/>
      <c r="B135" s="401"/>
      <c r="C135" s="401"/>
      <c r="D135" s="404" t="str">
        <f>+D133</f>
        <v>Total with interest</v>
      </c>
      <c r="E135" s="401"/>
      <c r="F135" s="276"/>
      <c r="G135" s="401"/>
      <c r="H135" s="411">
        <f>+H133</f>
        <v>-138291.49773751173</v>
      </c>
      <c r="I135" s="401"/>
      <c r="J135" s="411"/>
      <c r="K135" s="402"/>
      <c r="L135" s="402"/>
      <c r="M135" s="402"/>
      <c r="N135" s="402"/>
      <c r="O135" s="402"/>
      <c r="P135" s="402"/>
      <c r="Q135" s="402"/>
      <c r="R135" s="402"/>
    </row>
    <row r="136" spans="1:18" ht="13.5">
      <c r="A136" s="277"/>
      <c r="B136" s="401"/>
      <c r="C136" s="401"/>
      <c r="D136" s="404" t="s">
        <v>66</v>
      </c>
      <c r="E136" s="401"/>
      <c r="F136" s="276"/>
      <c r="G136" s="401"/>
      <c r="H136" s="417">
        <f>'ATT H-1 '!L286</f>
        <v>7076208.1635396574</v>
      </c>
      <c r="I136" s="408"/>
      <c r="J136" s="411"/>
      <c r="K136" s="402"/>
      <c r="L136" s="402"/>
      <c r="M136" s="402"/>
      <c r="N136" s="402"/>
      <c r="O136" s="402"/>
      <c r="P136" s="402"/>
      <c r="Q136" s="402"/>
      <c r="R136" s="402"/>
    </row>
    <row r="137" spans="1:18" ht="13.5">
      <c r="A137" s="277"/>
      <c r="B137" s="401"/>
      <c r="C137" s="401"/>
      <c r="D137" s="404" t="s">
        <v>67</v>
      </c>
      <c r="E137" s="401"/>
      <c r="F137" s="276"/>
      <c r="G137" s="401"/>
      <c r="H137" s="411">
        <f>+H135+H136</f>
        <v>6937916.6658021454</v>
      </c>
      <c r="I137" s="404"/>
      <c r="J137" s="411"/>
      <c r="K137" s="402"/>
      <c r="L137" s="402"/>
      <c r="M137" s="402"/>
      <c r="N137" s="402"/>
      <c r="O137" s="402"/>
      <c r="P137" s="402"/>
      <c r="Q137" s="402"/>
      <c r="R137" s="402"/>
    </row>
    <row r="138" spans="1:18" ht="13.5">
      <c r="A138" s="401"/>
      <c r="B138" s="401"/>
      <c r="C138" s="401"/>
      <c r="D138" s="424"/>
      <c r="E138" s="402"/>
      <c r="F138" s="402"/>
      <c r="G138" s="402"/>
      <c r="H138" s="411"/>
      <c r="I138" s="402"/>
      <c r="J138" s="402"/>
      <c r="K138" s="402"/>
      <c r="L138" s="402"/>
      <c r="M138" s="402"/>
      <c r="N138" s="402"/>
      <c r="O138" s="402"/>
      <c r="P138" s="402"/>
      <c r="Q138" s="402"/>
      <c r="R138" s="402"/>
    </row>
    <row r="139" spans="1:18" ht="13.5">
      <c r="A139" s="401">
        <v>9</v>
      </c>
      <c r="B139" s="401" t="s">
        <v>622</v>
      </c>
      <c r="C139" s="401" t="s">
        <v>598</v>
      </c>
      <c r="D139" s="404" t="s">
        <v>1101</v>
      </c>
      <c r="E139" s="402"/>
      <c r="F139" s="402"/>
      <c r="G139" s="402"/>
      <c r="H139" s="402"/>
      <c r="I139" s="402"/>
      <c r="J139" s="276"/>
      <c r="K139" s="402"/>
      <c r="L139" s="402"/>
      <c r="M139" s="402"/>
      <c r="N139" s="402"/>
      <c r="O139" s="402"/>
      <c r="P139" s="402"/>
      <c r="Q139" s="402"/>
      <c r="R139" s="402"/>
    </row>
    <row r="140" spans="1:18" ht="13.5">
      <c r="A140" s="401"/>
      <c r="B140" s="401"/>
      <c r="C140" s="401"/>
      <c r="D140" s="404"/>
      <c r="E140" s="402"/>
      <c r="F140" s="402"/>
      <c r="G140" s="402"/>
      <c r="H140" s="402"/>
      <c r="I140" s="402"/>
      <c r="J140" s="276"/>
      <c r="K140" s="402"/>
      <c r="L140" s="402"/>
      <c r="M140" s="402"/>
      <c r="N140" s="402"/>
      <c r="O140" s="402"/>
      <c r="P140" s="402"/>
      <c r="Q140" s="402"/>
      <c r="R140" s="402"/>
    </row>
    <row r="141" spans="1:18" ht="13.5">
      <c r="A141" s="401"/>
      <c r="B141" s="276"/>
      <c r="C141" s="324" t="s">
        <v>262</v>
      </c>
      <c r="D141" s="324" t="s">
        <v>263</v>
      </c>
      <c r="E141" s="324" t="s">
        <v>355</v>
      </c>
      <c r="F141" s="324" t="s">
        <v>264</v>
      </c>
      <c r="G141" s="324" t="s">
        <v>265</v>
      </c>
      <c r="H141" s="324" t="s">
        <v>261</v>
      </c>
      <c r="I141" s="324"/>
      <c r="J141" s="324" t="s">
        <v>566</v>
      </c>
      <c r="K141" s="324" t="s">
        <v>567</v>
      </c>
      <c r="L141" s="324" t="s">
        <v>959</v>
      </c>
      <c r="M141" s="401" t="s">
        <v>960</v>
      </c>
      <c r="N141" s="401" t="s">
        <v>961</v>
      </c>
      <c r="O141" s="401" t="s">
        <v>962</v>
      </c>
      <c r="P141" s="401"/>
      <c r="Q141" s="401"/>
      <c r="R141" s="401"/>
    </row>
    <row r="142" spans="1:18" ht="13.5">
      <c r="A142" s="401"/>
      <c r="B142" s="276"/>
      <c r="C142" s="401" t="s">
        <v>218</v>
      </c>
      <c r="D142" s="401" t="s">
        <v>218</v>
      </c>
      <c r="E142" s="401" t="s">
        <v>218</v>
      </c>
      <c r="F142" s="401" t="s">
        <v>218</v>
      </c>
      <c r="G142" s="401" t="s">
        <v>218</v>
      </c>
      <c r="H142" s="401" t="s">
        <v>218</v>
      </c>
      <c r="I142" s="401"/>
      <c r="J142" s="401" t="s">
        <v>72</v>
      </c>
      <c r="K142" s="401" t="s">
        <v>72</v>
      </c>
      <c r="L142" s="401" t="s">
        <v>72</v>
      </c>
      <c r="M142" s="401" t="s">
        <v>72</v>
      </c>
      <c r="N142" s="401" t="s">
        <v>72</v>
      </c>
      <c r="O142" s="401" t="s">
        <v>72</v>
      </c>
      <c r="P142" s="401"/>
      <c r="Q142" s="401"/>
      <c r="R142" s="401"/>
    </row>
    <row r="143" spans="1:18" ht="13.5">
      <c r="A143" s="401"/>
      <c r="B143" s="402"/>
      <c r="C143" s="401" t="s">
        <v>68</v>
      </c>
      <c r="D143" s="401" t="s">
        <v>68</v>
      </c>
      <c r="E143" s="401" t="s">
        <v>68</v>
      </c>
      <c r="F143" s="438"/>
      <c r="G143" s="438"/>
      <c r="H143" s="438"/>
      <c r="I143" s="401"/>
      <c r="J143" s="401" t="s">
        <v>73</v>
      </c>
      <c r="K143" s="401" t="s">
        <v>74</v>
      </c>
      <c r="L143" s="401" t="s">
        <v>75</v>
      </c>
      <c r="M143" s="401" t="s">
        <v>76</v>
      </c>
      <c r="N143" s="401" t="s">
        <v>77</v>
      </c>
      <c r="O143" s="401" t="s">
        <v>78</v>
      </c>
      <c r="P143" s="401"/>
      <c r="Q143" s="401"/>
      <c r="R143" s="401"/>
    </row>
    <row r="144" spans="1:18" ht="13.5">
      <c r="A144" s="401"/>
      <c r="B144" s="402"/>
      <c r="C144" s="401"/>
      <c r="D144" s="401"/>
      <c r="E144" s="401"/>
      <c r="F144" s="401" t="s">
        <v>69</v>
      </c>
      <c r="G144" s="401" t="s">
        <v>70</v>
      </c>
      <c r="H144" s="401" t="s">
        <v>71</v>
      </c>
      <c r="I144" s="401"/>
      <c r="J144" s="401"/>
      <c r="K144" s="401"/>
      <c r="L144" s="401"/>
      <c r="M144" s="401"/>
      <c r="N144" s="401"/>
      <c r="O144" s="401"/>
      <c r="P144" s="401"/>
      <c r="Q144" s="401"/>
      <c r="R144" s="401"/>
    </row>
    <row r="145" spans="1:18" ht="13.5">
      <c r="A145" s="401"/>
      <c r="B145" s="402"/>
      <c r="C145" s="401"/>
      <c r="D145" s="410"/>
      <c r="E145" s="410"/>
      <c r="F145" s="410"/>
      <c r="G145" s="401"/>
      <c r="H145" s="401"/>
      <c r="I145" s="437"/>
      <c r="J145" s="401"/>
      <c r="K145" s="401"/>
      <c r="L145" s="411"/>
      <c r="M145" s="401"/>
      <c r="N145" s="401"/>
      <c r="O145" s="406"/>
      <c r="P145" s="401"/>
      <c r="Q145" s="425"/>
      <c r="R145" s="411"/>
    </row>
    <row r="146" spans="1:18" ht="13.5">
      <c r="A146" s="401"/>
      <c r="B146" s="402" t="s">
        <v>625</v>
      </c>
      <c r="C146" s="412"/>
      <c r="D146" s="412"/>
      <c r="E146" s="412"/>
      <c r="F146" s="412"/>
      <c r="G146" s="412"/>
      <c r="H146" s="412"/>
      <c r="I146" s="437"/>
      <c r="J146" s="411">
        <f t="shared" ref="J146:O146" si="16">C146</f>
        <v>0</v>
      </c>
      <c r="K146" s="411">
        <f t="shared" si="16"/>
        <v>0</v>
      </c>
      <c r="L146" s="411">
        <f t="shared" si="16"/>
        <v>0</v>
      </c>
      <c r="M146" s="411">
        <f t="shared" si="16"/>
        <v>0</v>
      </c>
      <c r="N146" s="411">
        <f t="shared" si="16"/>
        <v>0</v>
      </c>
      <c r="O146" s="411">
        <f t="shared" si="16"/>
        <v>0</v>
      </c>
      <c r="P146" s="411"/>
      <c r="Q146" s="411"/>
      <c r="R146" s="411"/>
    </row>
    <row r="147" spans="1:18" ht="13.5">
      <c r="A147" s="401"/>
      <c r="B147" s="402" t="s">
        <v>626</v>
      </c>
      <c r="C147" s="412"/>
      <c r="D147" s="412"/>
      <c r="E147" s="412"/>
      <c r="F147" s="412"/>
      <c r="G147" s="412"/>
      <c r="H147" s="412"/>
      <c r="I147" s="437"/>
      <c r="J147" s="411">
        <f>J146+C147</f>
        <v>0</v>
      </c>
      <c r="K147" s="411">
        <f t="shared" ref="K147:K157" si="17">K146+D147</f>
        <v>0</v>
      </c>
      <c r="L147" s="411">
        <f t="shared" ref="L147:L157" si="18">L146+E147</f>
        <v>0</v>
      </c>
      <c r="M147" s="411">
        <f t="shared" ref="M147:M157" si="19">M146+F147</f>
        <v>0</v>
      </c>
      <c r="N147" s="411">
        <f t="shared" ref="N147:N157" si="20">N146+G147</f>
        <v>0</v>
      </c>
      <c r="O147" s="411">
        <f t="shared" ref="O147:O157" si="21">O146+H147</f>
        <v>0</v>
      </c>
      <c r="P147" s="411"/>
      <c r="Q147" s="411"/>
      <c r="R147" s="411"/>
    </row>
    <row r="148" spans="1:18" ht="13.5">
      <c r="A148" s="401"/>
      <c r="B148" s="402" t="s">
        <v>627</v>
      </c>
      <c r="C148" s="412"/>
      <c r="D148" s="412"/>
      <c r="E148" s="412"/>
      <c r="F148" s="412"/>
      <c r="G148" s="412"/>
      <c r="H148" s="412"/>
      <c r="I148" s="437"/>
      <c r="J148" s="411">
        <f t="shared" ref="J148:J157" si="22">J147+C148</f>
        <v>0</v>
      </c>
      <c r="K148" s="411">
        <f t="shared" si="17"/>
        <v>0</v>
      </c>
      <c r="L148" s="411">
        <f t="shared" si="18"/>
        <v>0</v>
      </c>
      <c r="M148" s="411">
        <f t="shared" si="19"/>
        <v>0</v>
      </c>
      <c r="N148" s="411">
        <f t="shared" si="20"/>
        <v>0</v>
      </c>
      <c r="O148" s="411">
        <f t="shared" si="21"/>
        <v>0</v>
      </c>
      <c r="P148" s="411"/>
      <c r="Q148" s="411"/>
      <c r="R148" s="411"/>
    </row>
    <row r="149" spans="1:18" ht="13.5">
      <c r="A149" s="401"/>
      <c r="B149" s="402" t="s">
        <v>628</v>
      </c>
      <c r="C149" s="412"/>
      <c r="D149" s="412"/>
      <c r="E149" s="412"/>
      <c r="F149" s="412"/>
      <c r="G149" s="412"/>
      <c r="H149" s="412"/>
      <c r="I149" s="437"/>
      <c r="J149" s="411">
        <f t="shared" si="22"/>
        <v>0</v>
      </c>
      <c r="K149" s="411">
        <f t="shared" si="17"/>
        <v>0</v>
      </c>
      <c r="L149" s="411">
        <f t="shared" si="18"/>
        <v>0</v>
      </c>
      <c r="M149" s="411">
        <f t="shared" si="19"/>
        <v>0</v>
      </c>
      <c r="N149" s="411">
        <f t="shared" si="20"/>
        <v>0</v>
      </c>
      <c r="O149" s="411">
        <f t="shared" si="21"/>
        <v>0</v>
      </c>
      <c r="P149" s="411"/>
      <c r="Q149" s="411"/>
      <c r="R149" s="411"/>
    </row>
    <row r="150" spans="1:18" ht="13.5">
      <c r="A150" s="401"/>
      <c r="B150" s="402" t="s">
        <v>623</v>
      </c>
      <c r="C150" s="412"/>
      <c r="D150" s="412"/>
      <c r="E150" s="412"/>
      <c r="F150" s="412"/>
      <c r="G150" s="412"/>
      <c r="H150" s="412"/>
      <c r="I150" s="437"/>
      <c r="J150" s="411">
        <f t="shared" si="22"/>
        <v>0</v>
      </c>
      <c r="K150" s="411">
        <f t="shared" si="17"/>
        <v>0</v>
      </c>
      <c r="L150" s="411">
        <f t="shared" si="18"/>
        <v>0</v>
      </c>
      <c r="M150" s="411">
        <f t="shared" si="19"/>
        <v>0</v>
      </c>
      <c r="N150" s="411">
        <f t="shared" si="20"/>
        <v>0</v>
      </c>
      <c r="O150" s="411">
        <f t="shared" si="21"/>
        <v>0</v>
      </c>
      <c r="P150" s="411"/>
      <c r="Q150" s="411"/>
      <c r="R150" s="411"/>
    </row>
    <row r="151" spans="1:18" ht="13.5">
      <c r="A151" s="401"/>
      <c r="B151" s="402" t="s">
        <v>629</v>
      </c>
      <c r="C151" s="412"/>
      <c r="D151" s="412"/>
      <c r="E151" s="412"/>
      <c r="F151" s="412"/>
      <c r="G151" s="412"/>
      <c r="H151" s="412"/>
      <c r="I151" s="437"/>
      <c r="J151" s="411">
        <f t="shared" si="22"/>
        <v>0</v>
      </c>
      <c r="K151" s="411">
        <f t="shared" si="17"/>
        <v>0</v>
      </c>
      <c r="L151" s="411">
        <f t="shared" si="18"/>
        <v>0</v>
      </c>
      <c r="M151" s="411">
        <f t="shared" si="19"/>
        <v>0</v>
      </c>
      <c r="N151" s="411">
        <f t="shared" si="20"/>
        <v>0</v>
      </c>
      <c r="O151" s="411">
        <f t="shared" si="21"/>
        <v>0</v>
      </c>
      <c r="P151" s="411"/>
      <c r="Q151" s="411"/>
      <c r="R151" s="411"/>
    </row>
    <row r="152" spans="1:18" ht="13.5">
      <c r="A152" s="401"/>
      <c r="B152" s="402" t="s">
        <v>630</v>
      </c>
      <c r="C152" s="412"/>
      <c r="D152" s="412"/>
      <c r="E152" s="412"/>
      <c r="F152" s="412"/>
      <c r="G152" s="412"/>
      <c r="H152" s="412"/>
      <c r="I152" s="437"/>
      <c r="J152" s="411">
        <f t="shared" si="22"/>
        <v>0</v>
      </c>
      <c r="K152" s="411">
        <f t="shared" si="17"/>
        <v>0</v>
      </c>
      <c r="L152" s="411">
        <f t="shared" si="18"/>
        <v>0</v>
      </c>
      <c r="M152" s="411">
        <f t="shared" si="19"/>
        <v>0</v>
      </c>
      <c r="N152" s="411">
        <f t="shared" si="20"/>
        <v>0</v>
      </c>
      <c r="O152" s="411">
        <f t="shared" si="21"/>
        <v>0</v>
      </c>
      <c r="P152" s="411"/>
      <c r="Q152" s="411"/>
      <c r="R152" s="411"/>
    </row>
    <row r="153" spans="1:18" ht="13.5">
      <c r="A153" s="401"/>
      <c r="B153" s="402" t="s">
        <v>631</v>
      </c>
      <c r="C153" s="412"/>
      <c r="D153" s="412"/>
      <c r="E153" s="412"/>
      <c r="F153" s="412"/>
      <c r="G153" s="412"/>
      <c r="H153" s="412"/>
      <c r="I153" s="437"/>
      <c r="J153" s="411">
        <f t="shared" si="22"/>
        <v>0</v>
      </c>
      <c r="K153" s="411">
        <f t="shared" si="17"/>
        <v>0</v>
      </c>
      <c r="L153" s="411">
        <f t="shared" si="18"/>
        <v>0</v>
      </c>
      <c r="M153" s="411">
        <f t="shared" si="19"/>
        <v>0</v>
      </c>
      <c r="N153" s="411">
        <f t="shared" si="20"/>
        <v>0</v>
      </c>
      <c r="O153" s="411">
        <f t="shared" si="21"/>
        <v>0</v>
      </c>
      <c r="P153" s="411"/>
      <c r="Q153" s="411"/>
      <c r="R153" s="411"/>
    </row>
    <row r="154" spans="1:18" ht="13.5">
      <c r="A154" s="401"/>
      <c r="B154" s="402" t="s">
        <v>632</v>
      </c>
      <c r="C154" s="412"/>
      <c r="D154" s="412"/>
      <c r="E154" s="412"/>
      <c r="F154" s="412"/>
      <c r="G154" s="412"/>
      <c r="H154" s="412"/>
      <c r="I154" s="437"/>
      <c r="J154" s="411">
        <f t="shared" si="22"/>
        <v>0</v>
      </c>
      <c r="K154" s="411">
        <f t="shared" si="17"/>
        <v>0</v>
      </c>
      <c r="L154" s="411">
        <f t="shared" si="18"/>
        <v>0</v>
      </c>
      <c r="M154" s="411">
        <f t="shared" si="19"/>
        <v>0</v>
      </c>
      <c r="N154" s="411">
        <f t="shared" si="20"/>
        <v>0</v>
      </c>
      <c r="O154" s="411">
        <f t="shared" si="21"/>
        <v>0</v>
      </c>
      <c r="P154" s="411"/>
      <c r="Q154" s="411"/>
      <c r="R154" s="411"/>
    </row>
    <row r="155" spans="1:18" ht="13.5">
      <c r="A155" s="401"/>
      <c r="B155" s="402" t="s">
        <v>633</v>
      </c>
      <c r="C155" s="412"/>
      <c r="D155" s="412"/>
      <c r="E155" s="412"/>
      <c r="F155" s="412"/>
      <c r="G155" s="412"/>
      <c r="H155" s="412"/>
      <c r="I155" s="437"/>
      <c r="J155" s="411">
        <f t="shared" si="22"/>
        <v>0</v>
      </c>
      <c r="K155" s="411">
        <f t="shared" si="17"/>
        <v>0</v>
      </c>
      <c r="L155" s="411">
        <f t="shared" si="18"/>
        <v>0</v>
      </c>
      <c r="M155" s="411">
        <f t="shared" si="19"/>
        <v>0</v>
      </c>
      <c r="N155" s="411">
        <f t="shared" si="20"/>
        <v>0</v>
      </c>
      <c r="O155" s="411">
        <f t="shared" si="21"/>
        <v>0</v>
      </c>
      <c r="P155" s="411"/>
      <c r="Q155" s="411"/>
      <c r="R155" s="411"/>
    </row>
    <row r="156" spans="1:18" ht="13.5">
      <c r="A156" s="401"/>
      <c r="B156" s="402" t="s">
        <v>634</v>
      </c>
      <c r="C156" s="412"/>
      <c r="D156" s="412"/>
      <c r="E156" s="412"/>
      <c r="F156" s="412"/>
      <c r="G156" s="412"/>
      <c r="H156" s="412"/>
      <c r="I156" s="437"/>
      <c r="J156" s="411">
        <f t="shared" si="22"/>
        <v>0</v>
      </c>
      <c r="K156" s="411">
        <f t="shared" si="17"/>
        <v>0</v>
      </c>
      <c r="L156" s="411">
        <f t="shared" si="18"/>
        <v>0</v>
      </c>
      <c r="M156" s="411">
        <f t="shared" si="19"/>
        <v>0</v>
      </c>
      <c r="N156" s="411">
        <f t="shared" si="20"/>
        <v>0</v>
      </c>
      <c r="O156" s="411">
        <f t="shared" si="21"/>
        <v>0</v>
      </c>
      <c r="P156" s="411"/>
      <c r="Q156" s="411"/>
      <c r="R156" s="411"/>
    </row>
    <row r="157" spans="1:18" ht="13.5">
      <c r="A157" s="401"/>
      <c r="B157" s="402" t="s">
        <v>635</v>
      </c>
      <c r="C157" s="412"/>
      <c r="D157" s="412"/>
      <c r="E157" s="412"/>
      <c r="F157" s="412"/>
      <c r="G157" s="412"/>
      <c r="H157" s="412"/>
      <c r="I157" s="437"/>
      <c r="J157" s="411">
        <f t="shared" si="22"/>
        <v>0</v>
      </c>
      <c r="K157" s="411">
        <f t="shared" si="17"/>
        <v>0</v>
      </c>
      <c r="L157" s="411">
        <f t="shared" si="18"/>
        <v>0</v>
      </c>
      <c r="M157" s="411">
        <f t="shared" si="19"/>
        <v>0</v>
      </c>
      <c r="N157" s="411">
        <f t="shared" si="20"/>
        <v>0</v>
      </c>
      <c r="O157" s="411">
        <f t="shared" si="21"/>
        <v>0</v>
      </c>
      <c r="P157" s="411"/>
      <c r="Q157" s="411"/>
      <c r="R157" s="411"/>
    </row>
    <row r="158" spans="1:18" ht="13.5">
      <c r="A158" s="401"/>
      <c r="B158" s="402" t="s">
        <v>847</v>
      </c>
      <c r="C158" s="411">
        <f t="shared" ref="C158:H158" si="23">SUM(C146:C157)</f>
        <v>0</v>
      </c>
      <c r="D158" s="411">
        <f t="shared" si="23"/>
        <v>0</v>
      </c>
      <c r="E158" s="411">
        <f t="shared" si="23"/>
        <v>0</v>
      </c>
      <c r="F158" s="411">
        <f t="shared" si="23"/>
        <v>0</v>
      </c>
      <c r="G158" s="411">
        <f t="shared" si="23"/>
        <v>0</v>
      </c>
      <c r="H158" s="411">
        <f t="shared" si="23"/>
        <v>0</v>
      </c>
      <c r="I158" s="411" t="s">
        <v>79</v>
      </c>
      <c r="J158" s="411">
        <f t="shared" ref="J158:O158" si="24">AVERAGE(J146:J157)</f>
        <v>0</v>
      </c>
      <c r="K158" s="411">
        <f t="shared" si="24"/>
        <v>0</v>
      </c>
      <c r="L158" s="411">
        <f t="shared" si="24"/>
        <v>0</v>
      </c>
      <c r="M158" s="411">
        <f t="shared" si="24"/>
        <v>0</v>
      </c>
      <c r="N158" s="411">
        <f t="shared" si="24"/>
        <v>0</v>
      </c>
      <c r="O158" s="411">
        <f t="shared" si="24"/>
        <v>0</v>
      </c>
      <c r="P158" s="411"/>
      <c r="Q158" s="411"/>
      <c r="R158" s="411"/>
    </row>
    <row r="159" spans="1:18" ht="13.5">
      <c r="A159" s="401"/>
      <c r="C159" s="402"/>
      <c r="D159" s="276"/>
      <c r="E159" s="276"/>
      <c r="F159" s="276"/>
      <c r="G159" s="276"/>
      <c r="H159" s="276"/>
      <c r="I159" s="276"/>
      <c r="J159" s="276"/>
      <c r="K159" s="276"/>
      <c r="L159" s="413"/>
      <c r="M159" s="402"/>
      <c r="N159" s="402"/>
      <c r="O159" s="402"/>
      <c r="P159" s="276"/>
      <c r="Q159" s="413"/>
      <c r="R159" s="402"/>
    </row>
    <row r="160" spans="1:18" ht="15.75">
      <c r="A160" s="401" t="s">
        <v>756</v>
      </c>
      <c r="B160" s="402" t="s">
        <v>81</v>
      </c>
      <c r="C160" s="402"/>
      <c r="D160" s="276"/>
      <c r="E160" s="276"/>
      <c r="F160" s="276"/>
      <c r="G160" s="276"/>
      <c r="H160" s="276"/>
      <c r="I160" s="276"/>
      <c r="J160" s="402"/>
      <c r="K160" s="439" t="s">
        <v>80</v>
      </c>
      <c r="L160" s="276"/>
      <c r="M160" s="411">
        <f>SUM(J158:O158)</f>
        <v>0</v>
      </c>
      <c r="N160" s="411"/>
      <c r="O160" s="1274" t="s">
        <v>1102</v>
      </c>
      <c r="P160" s="402"/>
      <c r="Q160" s="413"/>
      <c r="R160" s="411"/>
    </row>
    <row r="161" spans="1:18" ht="13.5">
      <c r="A161" s="401"/>
      <c r="B161" s="402"/>
      <c r="C161" s="402"/>
      <c r="D161" s="276"/>
      <c r="E161" s="276"/>
      <c r="F161" s="276"/>
      <c r="G161" s="276"/>
      <c r="H161" s="276"/>
      <c r="I161" s="276"/>
      <c r="J161" s="402"/>
      <c r="K161" s="402"/>
      <c r="L161" s="411"/>
      <c r="M161" s="402"/>
      <c r="N161" s="276"/>
      <c r="O161" s="402"/>
      <c r="P161" s="402"/>
      <c r="Q161" s="402"/>
      <c r="R161" s="402"/>
    </row>
    <row r="162" spans="1:18" ht="13.5">
      <c r="A162" s="401"/>
      <c r="B162" s="401"/>
      <c r="C162" s="401"/>
      <c r="D162" s="402"/>
      <c r="E162" s="402"/>
      <c r="F162" s="276"/>
      <c r="G162" s="402"/>
      <c r="H162" s="402"/>
      <c r="I162" s="411"/>
      <c r="J162" s="402"/>
      <c r="K162" s="276"/>
      <c r="L162" s="402"/>
      <c r="M162" s="402"/>
      <c r="N162" s="414"/>
      <c r="O162" s="414"/>
      <c r="P162" s="402"/>
      <c r="Q162" s="402"/>
      <c r="R162" s="414"/>
    </row>
    <row r="163" spans="1:18" ht="13.5">
      <c r="A163" s="277"/>
      <c r="B163" s="401"/>
      <c r="C163" s="401"/>
      <c r="D163" s="417"/>
      <c r="E163" s="401"/>
      <c r="F163" s="276"/>
      <c r="G163" s="401"/>
      <c r="H163" s="411"/>
      <c r="I163" s="404"/>
      <c r="J163" s="411"/>
      <c r="K163" s="402"/>
      <c r="L163" s="402"/>
      <c r="M163" s="402"/>
      <c r="N163" s="402"/>
      <c r="O163" s="402"/>
      <c r="P163" s="402"/>
      <c r="Q163" s="402"/>
      <c r="R163" s="402"/>
    </row>
    <row r="164" spans="1:18" ht="13.5">
      <c r="A164" s="401"/>
      <c r="B164" s="401"/>
      <c r="C164" s="401"/>
      <c r="D164" s="417"/>
      <c r="E164" s="401"/>
      <c r="F164" s="411"/>
      <c r="G164" s="401"/>
      <c r="H164" s="411"/>
      <c r="I164" s="404"/>
      <c r="J164" s="411"/>
      <c r="K164" s="402"/>
      <c r="L164" s="402"/>
      <c r="M164" s="402"/>
      <c r="N164" s="402"/>
      <c r="O164" s="402"/>
      <c r="P164" s="402"/>
      <c r="Q164" s="402"/>
      <c r="R164" s="402"/>
    </row>
    <row r="165" spans="1:18" ht="13.5">
      <c r="A165" s="401">
        <v>10</v>
      </c>
      <c r="B165" s="401" t="s">
        <v>623</v>
      </c>
      <c r="C165" s="401" t="s">
        <v>598</v>
      </c>
      <c r="D165" s="404" t="s">
        <v>459</v>
      </c>
      <c r="E165" s="402"/>
      <c r="F165" s="402"/>
      <c r="G165" s="402"/>
      <c r="H165" s="402"/>
      <c r="I165" s="404"/>
      <c r="J165" s="402"/>
      <c r="K165" s="402"/>
      <c r="L165" s="402"/>
      <c r="M165" s="402"/>
      <c r="N165" s="402"/>
      <c r="O165" s="402"/>
      <c r="P165" s="402"/>
      <c r="Q165" s="402"/>
      <c r="R165" s="414"/>
    </row>
    <row r="166" spans="1:18" ht="13.5">
      <c r="A166" s="401"/>
      <c r="B166" s="401"/>
      <c r="C166" s="401"/>
      <c r="D166" s="418"/>
      <c r="E166" s="402" t="s">
        <v>958</v>
      </c>
      <c r="F166" s="402"/>
      <c r="G166" s="402"/>
      <c r="H166" s="402"/>
      <c r="I166" s="402"/>
      <c r="J166" s="402"/>
      <c r="K166" s="402"/>
      <c r="L166" s="402"/>
      <c r="M166" s="402"/>
      <c r="N166" s="402"/>
      <c r="O166" s="402"/>
      <c r="P166" s="402"/>
      <c r="Q166" s="402"/>
      <c r="R166" s="402"/>
    </row>
    <row r="167" spans="1:18" ht="13.5">
      <c r="A167" s="401"/>
      <c r="B167" s="401"/>
      <c r="C167" s="401"/>
      <c r="D167" s="422"/>
      <c r="E167" s="417"/>
      <c r="F167" s="402"/>
      <c r="G167" s="402"/>
      <c r="H167" s="402"/>
      <c r="I167" s="402"/>
      <c r="J167" s="402"/>
      <c r="K167" s="402"/>
      <c r="L167" s="402"/>
      <c r="M167" s="402"/>
      <c r="N167" s="402"/>
      <c r="O167" s="402"/>
      <c r="P167" s="402"/>
      <c r="Q167" s="402"/>
      <c r="R167" s="402"/>
    </row>
    <row r="168" spans="1:18" ht="13.5">
      <c r="A168" s="401"/>
      <c r="B168" s="401"/>
      <c r="C168" s="401"/>
      <c r="D168" s="418"/>
      <c r="E168" s="402"/>
      <c r="F168" s="402"/>
      <c r="G168" s="402"/>
      <c r="H168" s="402"/>
      <c r="I168" s="402"/>
      <c r="J168" s="402"/>
      <c r="K168" s="402"/>
      <c r="L168" s="402"/>
      <c r="M168" s="402"/>
      <c r="N168" s="402"/>
      <c r="O168" s="402"/>
      <c r="P168" s="402"/>
      <c r="Q168" s="402"/>
      <c r="R168" s="402"/>
    </row>
    <row r="169" spans="1:18" ht="13.5">
      <c r="A169" s="401">
        <v>11</v>
      </c>
      <c r="B169" s="401" t="s">
        <v>624</v>
      </c>
      <c r="C169" s="401" t="s">
        <v>598</v>
      </c>
      <c r="D169" s="402" t="s">
        <v>1091</v>
      </c>
      <c r="E169" s="402"/>
      <c r="F169" s="402"/>
      <c r="G169" s="402"/>
      <c r="H169" s="402"/>
      <c r="I169" s="402"/>
      <c r="J169" s="402"/>
      <c r="K169" s="402"/>
      <c r="L169" s="402"/>
      <c r="M169" s="402"/>
      <c r="N169" s="402"/>
      <c r="O169" s="402"/>
      <c r="P169" s="402"/>
      <c r="Q169" s="402"/>
      <c r="R169" s="402"/>
    </row>
    <row r="170" spans="1:18" ht="13.5">
      <c r="A170" s="401"/>
      <c r="B170" s="401"/>
      <c r="C170" s="401"/>
      <c r="D170" s="434">
        <v>0</v>
      </c>
      <c r="E170" s="402"/>
      <c r="F170" s="402"/>
      <c r="G170" s="402"/>
      <c r="H170" s="402"/>
      <c r="I170" s="402"/>
      <c r="J170" s="402"/>
      <c r="K170" s="402"/>
      <c r="L170" s="402"/>
      <c r="M170" s="402"/>
      <c r="N170" s="402"/>
      <c r="O170" s="402"/>
      <c r="P170" s="402"/>
      <c r="Q170" s="402"/>
      <c r="R170" s="402"/>
    </row>
    <row r="171" spans="1:18" ht="13.5">
      <c r="A171" s="401"/>
      <c r="B171" s="401"/>
      <c r="C171" s="401"/>
      <c r="D171" s="402"/>
      <c r="E171" s="402"/>
      <c r="F171" s="402"/>
      <c r="G171" s="402"/>
      <c r="H171" s="402"/>
      <c r="I171" s="402"/>
      <c r="J171" s="402"/>
      <c r="K171" s="402"/>
      <c r="L171" s="402"/>
      <c r="M171" s="402"/>
      <c r="N171" s="402"/>
      <c r="O171" s="402"/>
      <c r="P171" s="402"/>
      <c r="Q171" s="402"/>
      <c r="R171" s="402"/>
    </row>
    <row r="172" spans="1:18" ht="13.5">
      <c r="A172" s="401"/>
      <c r="B172" s="402"/>
      <c r="C172" s="401"/>
      <c r="D172" s="417"/>
      <c r="E172" s="402"/>
      <c r="F172" s="402"/>
      <c r="G172" s="402"/>
      <c r="H172" s="402"/>
      <c r="I172" s="402"/>
      <c r="J172" s="402"/>
      <c r="K172" s="402"/>
      <c r="L172" s="402"/>
      <c r="M172" s="402"/>
      <c r="N172" s="402"/>
      <c r="O172" s="402"/>
      <c r="P172" s="402"/>
      <c r="Q172" s="402"/>
      <c r="R172" s="402"/>
    </row>
    <row r="173" spans="1:18" ht="13.5">
      <c r="A173" s="401"/>
      <c r="B173" s="401"/>
      <c r="C173" s="401"/>
      <c r="D173" s="402"/>
      <c r="E173" s="402"/>
      <c r="F173" s="402"/>
      <c r="G173" s="402"/>
      <c r="H173" s="402"/>
      <c r="I173" s="402"/>
      <c r="J173" s="402"/>
      <c r="K173" s="402"/>
      <c r="L173" s="402"/>
      <c r="M173" s="402"/>
      <c r="N173" s="402"/>
      <c r="O173" s="402"/>
      <c r="P173" s="402"/>
      <c r="Q173" s="402"/>
      <c r="R173" s="402"/>
    </row>
    <row r="174" spans="1:18" ht="13.5">
      <c r="A174" s="401"/>
      <c r="B174" s="401"/>
      <c r="C174" s="401"/>
      <c r="D174" s="402"/>
      <c r="E174" s="402"/>
      <c r="F174" s="402"/>
      <c r="G174" s="402"/>
      <c r="H174" s="402"/>
      <c r="I174" s="402"/>
      <c r="J174" s="402"/>
      <c r="K174" s="402"/>
      <c r="L174" s="402"/>
      <c r="M174" s="402"/>
      <c r="N174" s="402"/>
      <c r="O174" s="402"/>
      <c r="P174" s="402"/>
      <c r="Q174" s="402"/>
      <c r="R174" s="402"/>
    </row>
    <row r="175" spans="1:18" ht="13.5">
      <c r="A175" s="401"/>
      <c r="B175" s="401"/>
      <c r="C175" s="401"/>
      <c r="D175" s="402"/>
      <c r="E175" s="402"/>
      <c r="F175" s="402"/>
      <c r="G175" s="402"/>
      <c r="H175" s="402"/>
      <c r="I175" s="402"/>
      <c r="J175" s="402"/>
      <c r="K175" s="402"/>
      <c r="L175" s="402"/>
      <c r="M175" s="402"/>
      <c r="N175" s="402"/>
      <c r="O175" s="402"/>
      <c r="P175" s="402"/>
      <c r="Q175" s="402"/>
      <c r="R175" s="402"/>
    </row>
    <row r="176" spans="1:18" ht="13.5">
      <c r="A176" s="401"/>
      <c r="B176" s="401"/>
      <c r="C176" s="401"/>
      <c r="D176" s="402"/>
      <c r="E176" s="402"/>
      <c r="F176" s="402"/>
      <c r="G176" s="402"/>
      <c r="H176" s="402"/>
      <c r="I176" s="402"/>
      <c r="J176" s="402"/>
      <c r="K176" s="402"/>
      <c r="L176" s="402"/>
      <c r="M176" s="402"/>
      <c r="N176" s="402"/>
      <c r="O176" s="402"/>
      <c r="P176" s="402"/>
      <c r="Q176" s="402"/>
      <c r="R176" s="402"/>
    </row>
    <row r="177" spans="1:18" ht="13.5">
      <c r="A177" s="401"/>
      <c r="B177" s="401"/>
      <c r="C177" s="401"/>
      <c r="D177" s="402"/>
      <c r="E177" s="402"/>
      <c r="F177" s="402"/>
      <c r="G177" s="402"/>
      <c r="H177" s="402"/>
      <c r="I177" s="402"/>
      <c r="J177" s="402"/>
      <c r="K177" s="402"/>
      <c r="L177" s="402"/>
      <c r="M177" s="402"/>
      <c r="N177" s="402"/>
      <c r="O177" s="402"/>
      <c r="P177" s="402"/>
      <c r="Q177" s="402"/>
      <c r="R177" s="402"/>
    </row>
    <row r="178" spans="1:18" ht="13.5">
      <c r="A178" s="401"/>
      <c r="B178" s="401"/>
      <c r="C178" s="401"/>
      <c r="D178" s="402"/>
      <c r="E178" s="402"/>
      <c r="F178" s="402"/>
      <c r="G178" s="402"/>
      <c r="H178" s="402"/>
      <c r="I178" s="402"/>
      <c r="J178" s="402"/>
      <c r="K178" s="402"/>
      <c r="L178" s="402"/>
      <c r="M178" s="402"/>
      <c r="N178" s="402"/>
      <c r="O178" s="402"/>
      <c r="P178" s="402"/>
      <c r="Q178" s="402"/>
      <c r="R178" s="402"/>
    </row>
    <row r="179" spans="1:18" ht="13.5">
      <c r="A179" s="401"/>
      <c r="B179" s="401"/>
      <c r="C179" s="401"/>
      <c r="D179" s="402"/>
      <c r="E179" s="402"/>
      <c r="F179" s="402"/>
      <c r="G179" s="402"/>
      <c r="H179" s="402"/>
      <c r="I179" s="402"/>
      <c r="J179" s="402"/>
      <c r="K179" s="402"/>
      <c r="L179" s="402"/>
      <c r="M179" s="402"/>
      <c r="N179" s="402"/>
      <c r="O179" s="402"/>
      <c r="P179" s="402"/>
      <c r="Q179" s="402"/>
      <c r="R179" s="402"/>
    </row>
    <row r="180" spans="1:18" ht="13.5">
      <c r="A180" s="401"/>
      <c r="B180" s="401"/>
      <c r="C180" s="401"/>
      <c r="D180" s="402"/>
      <c r="E180" s="402"/>
      <c r="F180" s="402"/>
      <c r="G180" s="402"/>
      <c r="H180" s="402"/>
      <c r="I180" s="402"/>
      <c r="J180" s="402"/>
      <c r="K180" s="402"/>
      <c r="L180" s="402"/>
      <c r="M180" s="402"/>
      <c r="N180" s="402"/>
      <c r="O180" s="402"/>
      <c r="P180" s="402"/>
      <c r="Q180" s="402"/>
      <c r="R180" s="402"/>
    </row>
    <row r="181" spans="1:18" ht="13.5">
      <c r="A181" s="401"/>
      <c r="B181" s="401"/>
      <c r="C181" s="401"/>
      <c r="D181" s="402"/>
      <c r="E181" s="402"/>
      <c r="F181" s="402"/>
      <c r="G181" s="402"/>
      <c r="H181" s="402"/>
      <c r="I181" s="402"/>
      <c r="J181" s="402"/>
      <c r="K181" s="402"/>
      <c r="L181" s="402"/>
      <c r="M181" s="402"/>
      <c r="N181" s="402"/>
      <c r="O181" s="402"/>
      <c r="P181" s="402"/>
      <c r="Q181" s="402"/>
      <c r="R181" s="402"/>
    </row>
    <row r="182" spans="1:18" ht="13.5">
      <c r="A182" s="401"/>
      <c r="B182" s="401"/>
      <c r="C182" s="401"/>
      <c r="D182" s="402"/>
      <c r="E182" s="402"/>
      <c r="F182" s="402"/>
      <c r="G182" s="402"/>
      <c r="H182" s="402"/>
      <c r="I182" s="402"/>
      <c r="J182" s="402"/>
      <c r="K182" s="402"/>
      <c r="L182" s="402"/>
      <c r="M182" s="402"/>
      <c r="N182" s="402"/>
      <c r="O182" s="402"/>
      <c r="P182" s="402"/>
      <c r="Q182" s="402"/>
      <c r="R182" s="402"/>
    </row>
    <row r="183" spans="1:18" ht="13.5">
      <c r="A183" s="401"/>
      <c r="B183" s="401"/>
      <c r="C183" s="401"/>
      <c r="D183" s="402"/>
      <c r="E183" s="402"/>
      <c r="F183" s="402"/>
      <c r="G183" s="402"/>
      <c r="H183" s="402"/>
      <c r="I183" s="402"/>
      <c r="J183" s="402"/>
      <c r="K183" s="402"/>
      <c r="L183" s="402"/>
      <c r="M183" s="402"/>
      <c r="N183" s="402"/>
      <c r="O183" s="402"/>
      <c r="P183" s="402"/>
      <c r="Q183" s="402"/>
      <c r="R183" s="402"/>
    </row>
    <row r="184" spans="1:18" ht="13.5">
      <c r="A184" s="401"/>
      <c r="B184" s="401"/>
      <c r="C184" s="401"/>
      <c r="D184" s="402"/>
      <c r="E184" s="402"/>
      <c r="F184" s="402"/>
      <c r="G184" s="402"/>
      <c r="H184" s="402"/>
      <c r="I184" s="402"/>
      <c r="J184" s="402"/>
      <c r="K184" s="402"/>
      <c r="L184" s="402"/>
      <c r="M184" s="402"/>
      <c r="N184" s="402"/>
      <c r="O184" s="402"/>
      <c r="P184" s="402"/>
      <c r="Q184" s="402"/>
      <c r="R184" s="402"/>
    </row>
    <row r="185" spans="1:18" ht="13.5">
      <c r="A185" s="401"/>
      <c r="B185" s="401"/>
      <c r="C185" s="401"/>
      <c r="D185" s="402"/>
      <c r="E185" s="402"/>
      <c r="F185" s="402"/>
      <c r="G185" s="402"/>
      <c r="H185" s="402"/>
      <c r="I185" s="402"/>
      <c r="J185" s="402"/>
      <c r="K185" s="402"/>
      <c r="L185" s="402"/>
      <c r="M185" s="402"/>
      <c r="N185" s="402"/>
      <c r="O185" s="402"/>
      <c r="P185" s="402"/>
      <c r="Q185" s="402"/>
      <c r="R185" s="402"/>
    </row>
    <row r="186" spans="1:18" ht="13.5">
      <c r="A186" s="401"/>
      <c r="B186" s="401"/>
      <c r="C186" s="401"/>
      <c r="D186" s="402"/>
      <c r="E186" s="402"/>
      <c r="F186" s="402"/>
      <c r="G186" s="402"/>
      <c r="H186" s="402"/>
      <c r="I186" s="402"/>
      <c r="J186" s="402"/>
      <c r="K186" s="402"/>
      <c r="L186" s="402"/>
      <c r="M186" s="402"/>
      <c r="N186" s="402"/>
      <c r="O186" s="402"/>
      <c r="P186" s="402"/>
      <c r="Q186" s="402"/>
      <c r="R186" s="402"/>
    </row>
    <row r="187" spans="1:18" ht="13.5">
      <c r="A187" s="401"/>
      <c r="B187" s="401"/>
      <c r="C187" s="401"/>
      <c r="D187" s="402"/>
      <c r="E187" s="402"/>
      <c r="F187" s="402"/>
      <c r="G187" s="402"/>
      <c r="H187" s="402"/>
      <c r="I187" s="402"/>
      <c r="J187" s="402"/>
      <c r="K187" s="402"/>
      <c r="L187" s="402"/>
      <c r="M187" s="402"/>
      <c r="N187" s="402"/>
      <c r="O187" s="402"/>
      <c r="P187" s="402"/>
      <c r="Q187" s="402"/>
      <c r="R187" s="402"/>
    </row>
    <row r="188" spans="1:18" ht="15.75">
      <c r="A188" s="435"/>
      <c r="B188" s="401"/>
      <c r="C188" s="401"/>
      <c r="D188" s="402"/>
      <c r="E188" s="402"/>
      <c r="F188" s="402"/>
      <c r="G188" s="402"/>
      <c r="H188" s="402"/>
      <c r="I188" s="402"/>
      <c r="J188" s="402"/>
      <c r="K188" s="402"/>
      <c r="L188" s="402"/>
      <c r="M188" s="402"/>
      <c r="N188" s="402"/>
      <c r="O188" s="402"/>
      <c r="P188" s="402"/>
      <c r="Q188" s="402"/>
      <c r="R188" s="402"/>
    </row>
    <row r="189" spans="1:18" ht="15.75">
      <c r="A189" s="435"/>
      <c r="B189" s="401"/>
      <c r="C189" s="401"/>
      <c r="D189" s="402"/>
      <c r="E189" s="402"/>
      <c r="F189" s="402"/>
      <c r="G189" s="402"/>
      <c r="H189" s="402"/>
      <c r="I189" s="402"/>
      <c r="J189" s="402"/>
      <c r="K189" s="402"/>
      <c r="L189" s="402"/>
      <c r="M189" s="402"/>
      <c r="N189" s="402"/>
      <c r="O189" s="402"/>
      <c r="P189" s="402"/>
      <c r="Q189" s="402"/>
      <c r="R189" s="402"/>
    </row>
    <row r="190" spans="1:18" ht="15.75">
      <c r="A190" s="435"/>
      <c r="B190" s="435"/>
      <c r="C190" s="435"/>
      <c r="D190" s="436"/>
      <c r="E190" s="436"/>
      <c r="F190" s="436"/>
      <c r="G190" s="436"/>
      <c r="H190" s="436"/>
      <c r="I190" s="436"/>
      <c r="J190" s="436"/>
      <c r="K190" s="436"/>
      <c r="L190" s="436"/>
      <c r="M190" s="436"/>
      <c r="N190" s="436"/>
      <c r="O190" s="436"/>
      <c r="P190" s="436"/>
      <c r="Q190" s="436"/>
      <c r="R190" s="436"/>
    </row>
  </sheetData>
  <mergeCells count="3">
    <mergeCell ref="D99:E99"/>
    <mergeCell ref="A2:R2"/>
    <mergeCell ref="N79:N80"/>
  </mergeCells>
  <phoneticPr fontId="73" type="noConversion"/>
  <pageMargins left="0.75" right="0.75" top="1" bottom="1" header="0.5" footer="0.5"/>
  <pageSetup scale="46" fitToHeight="8" orientation="landscape" r:id="rId1"/>
  <headerFooter alignWithMargins="0"/>
  <rowBreaks count="2" manualBreakCount="2">
    <brk id="73" max="20" man="1"/>
    <brk id="138" max="2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14"/>
  <sheetViews>
    <sheetView zoomScaleNormal="100" zoomScaleSheetLayoutView="75" workbookViewId="0">
      <selection activeCell="F27" sqref="F27"/>
    </sheetView>
  </sheetViews>
  <sheetFormatPr defaultColWidth="9.140625" defaultRowHeight="12.75"/>
  <cols>
    <col min="1" max="1" width="7" style="277" customWidth="1"/>
    <col min="2" max="2" width="18.140625" style="276" customWidth="1"/>
    <col min="3" max="3" width="13.5703125" style="277" customWidth="1"/>
    <col min="4" max="4" width="11.5703125" style="276" customWidth="1"/>
    <col min="5" max="5" width="17" style="276" customWidth="1"/>
    <col min="6" max="6" width="24" style="108" customWidth="1"/>
    <col min="7" max="7" width="10.7109375" style="276" customWidth="1"/>
    <col min="8" max="8" width="17.42578125" style="276" customWidth="1"/>
    <col min="9" max="9" width="25.140625" style="108" customWidth="1"/>
    <col min="10" max="12" width="11.5703125" style="276" bestFit="1" customWidth="1"/>
    <col min="13" max="13" width="10.85546875" style="276" bestFit="1" customWidth="1"/>
    <col min="14" max="16384" width="9.140625" style="276"/>
  </cols>
  <sheetData>
    <row r="1" spans="1:13" ht="18">
      <c r="A1" s="1522" t="s">
        <v>446</v>
      </c>
      <c r="B1" s="1522"/>
      <c r="C1" s="1522"/>
      <c r="D1" s="1522"/>
      <c r="E1" s="1522"/>
      <c r="F1" s="1522"/>
      <c r="G1" s="1522"/>
      <c r="H1" s="1522"/>
      <c r="I1" s="1522"/>
      <c r="J1" s="1522"/>
      <c r="K1" s="1522"/>
      <c r="L1" s="1522"/>
      <c r="M1"/>
    </row>
    <row r="2" spans="1:13" ht="10.5" customHeight="1">
      <c r="B2" s="466"/>
      <c r="C2" s="467"/>
      <c r="D2" s="467"/>
      <c r="E2" s="467"/>
      <c r="F2" s="467"/>
      <c r="G2" s="467"/>
      <c r="H2" s="467"/>
      <c r="I2" s="467"/>
      <c r="M2"/>
    </row>
    <row r="3" spans="1:13" ht="18.75" customHeight="1">
      <c r="A3" s="1563" t="s">
        <v>483</v>
      </c>
      <c r="B3" s="1563"/>
      <c r="C3" s="1563"/>
      <c r="D3" s="1563"/>
      <c r="E3" s="1563"/>
      <c r="F3" s="1563"/>
      <c r="G3" s="1563"/>
      <c r="H3" s="1563"/>
      <c r="I3" s="1563"/>
      <c r="J3" s="1563"/>
      <c r="K3" s="1563"/>
      <c r="L3" s="1563"/>
      <c r="M3"/>
    </row>
    <row r="4" spans="1:13" ht="13.5" thickBot="1">
      <c r="A4" s="277" t="s">
        <v>484</v>
      </c>
      <c r="C4" s="276" t="s">
        <v>535</v>
      </c>
      <c r="M4"/>
    </row>
    <row r="5" spans="1:13" ht="31.5">
      <c r="I5" s="1016" t="s">
        <v>473</v>
      </c>
      <c r="J5" s="1017" t="s">
        <v>970</v>
      </c>
      <c r="K5" s="1017" t="s">
        <v>436</v>
      </c>
      <c r="L5" s="1018" t="s">
        <v>437</v>
      </c>
    </row>
    <row r="6" spans="1:13">
      <c r="I6" s="276"/>
      <c r="L6"/>
    </row>
    <row r="7" spans="1:13">
      <c r="B7" s="468" t="s">
        <v>536</v>
      </c>
      <c r="C7" s="469"/>
      <c r="I7" s="276"/>
      <c r="L7"/>
    </row>
    <row r="8" spans="1:13">
      <c r="A8" s="277">
        <v>1</v>
      </c>
      <c r="B8" s="277" t="s">
        <v>758</v>
      </c>
      <c r="C8" s="277">
        <f>+'ATT H-1 '!A275</f>
        <v>169</v>
      </c>
      <c r="D8" s="469" t="s">
        <v>937</v>
      </c>
      <c r="F8" s="470"/>
      <c r="G8" s="469"/>
      <c r="H8" s="469"/>
      <c r="I8" s="1019">
        <f>+'ATT H-1 '!H275</f>
        <v>0.12479924055144014</v>
      </c>
      <c r="J8" s="1019">
        <f>+'ATT H-1 '!J275</f>
        <v>0.10846502778691948</v>
      </c>
      <c r="K8" s="1019">
        <f>+'ATT H-1 '!K275</f>
        <v>0.23202105375079543</v>
      </c>
      <c r="L8" s="1019">
        <f>+'ATT H-1 '!L275</f>
        <v>0.15618325577514128</v>
      </c>
    </row>
    <row r="9" spans="1:13">
      <c r="A9" s="277">
        <v>2</v>
      </c>
      <c r="B9" s="277" t="s">
        <v>848</v>
      </c>
      <c r="C9" s="277">
        <f>+'ATT H-1 '!A284</f>
        <v>176</v>
      </c>
      <c r="D9" s="469" t="s">
        <v>935</v>
      </c>
      <c r="F9" s="470"/>
      <c r="I9" s="1019">
        <f>+'ATT H-1 '!H284</f>
        <v>0.13079243691343156</v>
      </c>
      <c r="J9" s="1019">
        <f>+'ATT H-1 '!J284</f>
        <v>0.11444967063333782</v>
      </c>
      <c r="K9" s="1019">
        <f>+'ATT H-1 '!K284</f>
        <v>0.23823109563788075</v>
      </c>
      <c r="L9" s="1019">
        <f>+'ATT H-1 '!L284</f>
        <v>0.1623932976622266</v>
      </c>
    </row>
    <row r="10" spans="1:13">
      <c r="A10" s="277">
        <v>3</v>
      </c>
      <c r="B10" s="277" t="s">
        <v>739</v>
      </c>
      <c r="D10" s="276" t="s">
        <v>537</v>
      </c>
      <c r="F10" s="470"/>
      <c r="I10" s="1019">
        <f>+I9-I8</f>
        <v>5.9931963619914291E-3</v>
      </c>
      <c r="J10" s="1019">
        <f>+J9-J8</f>
        <v>5.9846428464183365E-3</v>
      </c>
      <c r="K10" s="1019">
        <f>+K9-K8</f>
        <v>6.2100418870853213E-3</v>
      </c>
      <c r="L10" s="1019">
        <f>+L9-L8</f>
        <v>6.2100418870853213E-3</v>
      </c>
    </row>
    <row r="11" spans="1:13">
      <c r="B11" s="468" t="s">
        <v>546</v>
      </c>
      <c r="F11" s="470"/>
      <c r="I11" s="1019"/>
      <c r="J11" s="1019"/>
      <c r="K11" s="1019"/>
      <c r="L11" s="1019"/>
    </row>
    <row r="12" spans="1:13">
      <c r="A12" s="277">
        <v>4</v>
      </c>
      <c r="B12" s="277" t="s">
        <v>759</v>
      </c>
      <c r="C12" s="277">
        <f>+'ATT H-1 '!A276</f>
        <v>170</v>
      </c>
      <c r="D12" s="469" t="s">
        <v>938</v>
      </c>
      <c r="F12" s="470"/>
      <c r="I12" s="1019">
        <f>+'ATT H-1 '!H276</f>
        <v>4.3454903849097164E-2</v>
      </c>
      <c r="J12" s="1019">
        <f>+'ATT H-1 '!J276</f>
        <v>2.7236786071081348E-2</v>
      </c>
      <c r="K12" s="1019">
        <f>+'ATT H-1 '!K276</f>
        <v>0.14773352040675725</v>
      </c>
      <c r="L12" s="1019">
        <f>+'ATT H-1 '!L276</f>
        <v>7.1895722431103079E-2</v>
      </c>
    </row>
    <row r="13" spans="1:13">
      <c r="B13" s="277"/>
      <c r="D13" s="469"/>
      <c r="F13" s="470"/>
      <c r="M13"/>
    </row>
    <row r="14" spans="1:13">
      <c r="B14" s="276" t="s">
        <v>547</v>
      </c>
      <c r="M14"/>
    </row>
    <row r="15" spans="1:13">
      <c r="B15" s="276" t="s">
        <v>548</v>
      </c>
      <c r="F15" s="470"/>
      <c r="I15" s="470"/>
      <c r="M15"/>
    </row>
    <row r="16" spans="1:13">
      <c r="B16" s="471"/>
      <c r="F16" s="502"/>
      <c r="I16" s="502"/>
      <c r="M16"/>
    </row>
    <row r="17" spans="1:13">
      <c r="F17" s="502"/>
      <c r="M17"/>
    </row>
    <row r="18" spans="1:13">
      <c r="D18" s="276" t="s">
        <v>470</v>
      </c>
      <c r="F18" s="502"/>
      <c r="I18" s="276" t="s">
        <v>775</v>
      </c>
      <c r="M18"/>
    </row>
    <row r="19" spans="1:13">
      <c r="D19" s="276" t="s">
        <v>554</v>
      </c>
      <c r="F19" s="502"/>
      <c r="I19" s="276" t="s">
        <v>773</v>
      </c>
      <c r="M19"/>
    </row>
    <row r="20" spans="1:13" ht="13.5" thickBot="1">
      <c r="B20" s="471"/>
      <c r="D20" s="473" t="s">
        <v>767</v>
      </c>
      <c r="E20" s="473"/>
      <c r="F20" s="957"/>
      <c r="I20" s="276" t="s">
        <v>774</v>
      </c>
      <c r="M20"/>
    </row>
    <row r="21" spans="1:13">
      <c r="B21" s="474" t="s">
        <v>139</v>
      </c>
      <c r="C21" s="958"/>
      <c r="D21" s="1565" t="s">
        <v>419</v>
      </c>
      <c r="E21" s="1566"/>
      <c r="F21" s="1567"/>
      <c r="G21" s="1568" t="s">
        <v>555</v>
      </c>
      <c r="H21" s="1569"/>
      <c r="I21" s="1570"/>
      <c r="J21" s="960"/>
      <c r="K21" s="474"/>
      <c r="L21" s="1040"/>
      <c r="M21" s="1042"/>
    </row>
    <row r="22" spans="1:13">
      <c r="B22" s="475"/>
      <c r="C22" s="478"/>
      <c r="D22" s="476"/>
      <c r="E22" s="277"/>
      <c r="F22" s="959"/>
      <c r="G22" s="477"/>
      <c r="H22" s="277"/>
      <c r="I22" s="959"/>
      <c r="J22" s="961"/>
      <c r="K22" s="475"/>
      <c r="L22" s="480"/>
      <c r="M22" s="287"/>
    </row>
    <row r="23" spans="1:13">
      <c r="A23" s="277">
        <v>5</v>
      </c>
      <c r="B23" s="475" t="s">
        <v>556</v>
      </c>
      <c r="C23" s="478"/>
      <c r="D23" s="1013">
        <v>0</v>
      </c>
      <c r="E23" s="478"/>
      <c r="F23" s="479"/>
      <c r="G23" s="1013">
        <v>0</v>
      </c>
      <c r="H23" s="478"/>
      <c r="I23" s="479"/>
      <c r="J23" s="961"/>
      <c r="K23" s="475"/>
      <c r="L23" s="480"/>
      <c r="M23" s="287"/>
    </row>
    <row r="24" spans="1:13">
      <c r="A24" s="277">
        <v>6</v>
      </c>
      <c r="B24" s="475" t="s">
        <v>557</v>
      </c>
      <c r="C24" s="478"/>
      <c r="D24" s="1013">
        <v>0</v>
      </c>
      <c r="E24" s="478"/>
      <c r="F24" s="479"/>
      <c r="G24" s="1013">
        <v>0</v>
      </c>
      <c r="H24" s="478"/>
      <c r="I24" s="479"/>
      <c r="J24" s="961"/>
      <c r="K24" s="475"/>
      <c r="L24" s="480"/>
      <c r="M24" s="287"/>
    </row>
    <row r="25" spans="1:13">
      <c r="A25" s="277">
        <v>7</v>
      </c>
      <c r="B25" s="475" t="s">
        <v>558</v>
      </c>
      <c r="C25" s="478"/>
      <c r="D25" s="1014">
        <v>50</v>
      </c>
      <c r="E25" s="540"/>
      <c r="F25" s="541"/>
      <c r="G25" s="1013">
        <v>0</v>
      </c>
      <c r="H25" s="478"/>
      <c r="I25" s="479"/>
      <c r="J25" s="961"/>
      <c r="K25" s="475"/>
      <c r="L25" s="480"/>
      <c r="M25" s="287"/>
    </row>
    <row r="26" spans="1:13">
      <c r="A26" s="277">
        <v>8</v>
      </c>
      <c r="B26" s="475" t="s">
        <v>423</v>
      </c>
      <c r="C26" s="478"/>
      <c r="D26" s="1015">
        <f>+J8</f>
        <v>0.10846502778691948</v>
      </c>
      <c r="E26" s="480"/>
      <c r="F26" s="481"/>
      <c r="G26" s="1015">
        <f>+J8</f>
        <v>0.10846502778691948</v>
      </c>
      <c r="H26" s="480"/>
      <c r="I26" s="481"/>
      <c r="J26" s="961"/>
      <c r="K26" s="475"/>
      <c r="L26" s="480"/>
      <c r="M26" s="287"/>
    </row>
    <row r="27" spans="1:13">
      <c r="A27" s="277">
        <v>9</v>
      </c>
      <c r="B27" s="475" t="s">
        <v>559</v>
      </c>
      <c r="C27" s="478"/>
      <c r="D27" s="1015">
        <f>+D25/100*J10+D26</f>
        <v>0.11145734921012865</v>
      </c>
      <c r="E27" s="480"/>
      <c r="F27" s="481"/>
      <c r="G27" s="1015">
        <f>+G25/100*J10+G26</f>
        <v>0.10846502778691948</v>
      </c>
      <c r="H27" s="480"/>
      <c r="I27" s="481"/>
      <c r="J27" s="961"/>
      <c r="K27" s="475"/>
      <c r="L27" s="480"/>
      <c r="M27" s="287"/>
    </row>
    <row r="28" spans="1:13">
      <c r="A28" s="277">
        <v>10</v>
      </c>
      <c r="B28" s="475" t="s">
        <v>776</v>
      </c>
      <c r="C28" s="478"/>
      <c r="D28" s="482">
        <v>0</v>
      </c>
      <c r="E28" s="459"/>
      <c r="F28" s="481"/>
      <c r="G28" s="482"/>
      <c r="H28" s="459"/>
      <c r="I28" s="481"/>
      <c r="J28" s="961"/>
      <c r="K28" s="475"/>
      <c r="L28" s="480"/>
      <c r="M28" s="287"/>
    </row>
    <row r="29" spans="1:13">
      <c r="A29" s="277">
        <v>11</v>
      </c>
      <c r="B29" s="475" t="s">
        <v>560</v>
      </c>
      <c r="C29" s="478"/>
      <c r="D29" s="482">
        <v>0</v>
      </c>
      <c r="E29" s="459"/>
      <c r="F29" s="481"/>
      <c r="G29" s="482">
        <v>0</v>
      </c>
      <c r="H29" s="459"/>
      <c r="I29" s="481"/>
      <c r="J29" s="961"/>
      <c r="K29" s="475"/>
      <c r="L29" s="480"/>
      <c r="M29" s="287"/>
    </row>
    <row r="30" spans="1:13" ht="13.5" thickBot="1">
      <c r="B30" s="483"/>
      <c r="C30" s="963"/>
      <c r="D30" s="484"/>
      <c r="E30" s="459"/>
      <c r="F30" s="486"/>
      <c r="G30" s="484"/>
      <c r="H30" s="485"/>
      <c r="I30" s="486"/>
      <c r="J30" s="964"/>
      <c r="K30" s="483"/>
      <c r="L30" s="1041"/>
      <c r="M30" s="930"/>
    </row>
    <row r="31" spans="1:13" ht="25.5">
      <c r="A31" s="277">
        <f>+A29+1</f>
        <v>12</v>
      </c>
      <c r="B31" s="474"/>
      <c r="C31" s="488" t="s">
        <v>561</v>
      </c>
      <c r="D31" s="965" t="s">
        <v>776</v>
      </c>
      <c r="E31" s="965" t="s">
        <v>429</v>
      </c>
      <c r="F31" s="487" t="s">
        <v>768</v>
      </c>
      <c r="G31" s="965" t="s">
        <v>776</v>
      </c>
      <c r="H31" s="965" t="s">
        <v>429</v>
      </c>
      <c r="I31" s="487" t="s">
        <v>768</v>
      </c>
      <c r="J31" s="488" t="s">
        <v>847</v>
      </c>
      <c r="K31" s="1043" t="s">
        <v>769</v>
      </c>
      <c r="L31" s="965" t="s">
        <v>770</v>
      </c>
      <c r="M31" s="1047" t="s">
        <v>771</v>
      </c>
    </row>
    <row r="32" spans="1:13">
      <c r="A32" s="277">
        <f>+A31+1</f>
        <v>13</v>
      </c>
      <c r="B32" s="475" t="s">
        <v>423</v>
      </c>
      <c r="C32" s="489">
        <v>2010</v>
      </c>
      <c r="D32" s="490">
        <f>+D28</f>
        <v>0</v>
      </c>
      <c r="E32" s="459">
        <v>0</v>
      </c>
      <c r="F32" s="481">
        <f>+D32*D$26+E32</f>
        <v>0</v>
      </c>
      <c r="G32" s="490">
        <f>+G28</f>
        <v>0</v>
      </c>
      <c r="H32" s="459">
        <v>0</v>
      </c>
      <c r="I32" s="481">
        <f>+G32*G$26+H32</f>
        <v>0</v>
      </c>
      <c r="J32" s="966">
        <f>+F32+I32</f>
        <v>0</v>
      </c>
      <c r="K32" s="475"/>
      <c r="L32" s="967">
        <f>J32</f>
        <v>0</v>
      </c>
      <c r="M32" s="1045">
        <f>+L32-K33</f>
        <v>0</v>
      </c>
    </row>
    <row r="33" spans="1:13">
      <c r="A33" s="277">
        <f t="shared" ref="A33:A73" si="0">+A32+1</f>
        <v>14</v>
      </c>
      <c r="B33" s="475" t="s">
        <v>562</v>
      </c>
      <c r="C33" s="489">
        <v>2010</v>
      </c>
      <c r="D33" s="490">
        <f>+D32</f>
        <v>0</v>
      </c>
      <c r="E33" s="459">
        <v>0</v>
      </c>
      <c r="F33" s="481">
        <f>+D33*D$27+E33</f>
        <v>0</v>
      </c>
      <c r="G33" s="490">
        <f>+G32</f>
        <v>0</v>
      </c>
      <c r="H33" s="459">
        <v>0</v>
      </c>
      <c r="I33" s="481">
        <f>+G33*G$27+H33</f>
        <v>0</v>
      </c>
      <c r="J33" s="966">
        <f t="shared" ref="J33:J71" si="1">+F33+I33</f>
        <v>0</v>
      </c>
      <c r="K33" s="1044">
        <f>J33</f>
        <v>0</v>
      </c>
      <c r="L33" s="480"/>
      <c r="M33" s="1045"/>
    </row>
    <row r="34" spans="1:13">
      <c r="A34" s="277">
        <f t="shared" si="0"/>
        <v>15</v>
      </c>
      <c r="B34" s="475" t="s">
        <v>423</v>
      </c>
      <c r="C34" s="489">
        <f>+C32+1</f>
        <v>2011</v>
      </c>
      <c r="D34" s="490">
        <v>0</v>
      </c>
      <c r="E34" s="490">
        <v>0</v>
      </c>
      <c r="F34" s="481">
        <f>+D34*D$26+E34</f>
        <v>0</v>
      </c>
      <c r="G34" s="490">
        <v>0</v>
      </c>
      <c r="H34" s="490">
        <v>0</v>
      </c>
      <c r="I34" s="481">
        <f>+G34*G$26+H34</f>
        <v>0</v>
      </c>
      <c r="J34" s="966">
        <f t="shared" si="1"/>
        <v>0</v>
      </c>
      <c r="K34" s="475"/>
      <c r="L34" s="967">
        <f>J34</f>
        <v>0</v>
      </c>
      <c r="M34" s="1045">
        <f>+L34-K35</f>
        <v>0</v>
      </c>
    </row>
    <row r="35" spans="1:13">
      <c r="A35" s="277">
        <f t="shared" si="0"/>
        <v>16</v>
      </c>
      <c r="B35" s="475" t="s">
        <v>562</v>
      </c>
      <c r="C35" s="489">
        <f>+C34</f>
        <v>2011</v>
      </c>
      <c r="D35" s="490">
        <v>0</v>
      </c>
      <c r="E35" s="490">
        <v>0</v>
      </c>
      <c r="F35" s="481">
        <f>+D35*D$27+E35</f>
        <v>0</v>
      </c>
      <c r="G35" s="490">
        <v>0</v>
      </c>
      <c r="H35" s="490">
        <v>0</v>
      </c>
      <c r="I35" s="481">
        <f>+G35*G$27+H35</f>
        <v>0</v>
      </c>
      <c r="J35" s="966">
        <f t="shared" si="1"/>
        <v>0</v>
      </c>
      <c r="K35" s="1044">
        <f>J35</f>
        <v>0</v>
      </c>
      <c r="L35" s="480"/>
      <c r="M35" s="1045"/>
    </row>
    <row r="36" spans="1:13">
      <c r="A36" s="277">
        <f t="shared" si="0"/>
        <v>17</v>
      </c>
      <c r="B36" s="475" t="s">
        <v>423</v>
      </c>
      <c r="C36" s="489">
        <f>+C34+1</f>
        <v>2012</v>
      </c>
      <c r="D36" s="490">
        <v>0</v>
      </c>
      <c r="E36" s="490">
        <v>0</v>
      </c>
      <c r="F36" s="481">
        <f>+D36*D$26+E36</f>
        <v>0</v>
      </c>
      <c r="G36" s="490">
        <v>0</v>
      </c>
      <c r="H36" s="490">
        <v>0</v>
      </c>
      <c r="I36" s="481">
        <f>+G36*G$26+H36</f>
        <v>0</v>
      </c>
      <c r="J36" s="966">
        <f t="shared" si="1"/>
        <v>0</v>
      </c>
      <c r="K36" s="475"/>
      <c r="L36" s="967">
        <f>J36</f>
        <v>0</v>
      </c>
      <c r="M36" s="1045">
        <f>+K37-L36</f>
        <v>0</v>
      </c>
    </row>
    <row r="37" spans="1:13">
      <c r="A37" s="277">
        <f t="shared" si="0"/>
        <v>18</v>
      </c>
      <c r="B37" s="475" t="s">
        <v>562</v>
      </c>
      <c r="C37" s="489">
        <f>+C36</f>
        <v>2012</v>
      </c>
      <c r="D37" s="490">
        <v>0</v>
      </c>
      <c r="E37" s="490">
        <v>0</v>
      </c>
      <c r="F37" s="481">
        <f>+D37*D$27+E37</f>
        <v>0</v>
      </c>
      <c r="G37" s="490">
        <v>0</v>
      </c>
      <c r="H37" s="490">
        <v>0</v>
      </c>
      <c r="I37" s="481">
        <f>+G37*G$27+H37</f>
        <v>0</v>
      </c>
      <c r="J37" s="966">
        <f t="shared" si="1"/>
        <v>0</v>
      </c>
      <c r="K37" s="1044">
        <f>J37</f>
        <v>0</v>
      </c>
      <c r="L37" s="480"/>
      <c r="M37" s="1045"/>
    </row>
    <row r="38" spans="1:13">
      <c r="A38" s="277">
        <f t="shared" si="0"/>
        <v>19</v>
      </c>
      <c r="B38" s="475" t="s">
        <v>423</v>
      </c>
      <c r="C38" s="489">
        <f>+C36+1</f>
        <v>2013</v>
      </c>
      <c r="D38" s="490">
        <v>0</v>
      </c>
      <c r="E38" s="490">
        <v>0</v>
      </c>
      <c r="F38" s="481">
        <f>+D38*D$26+E38</f>
        <v>0</v>
      </c>
      <c r="G38" s="490">
        <v>0</v>
      </c>
      <c r="H38" s="490">
        <v>0</v>
      </c>
      <c r="I38" s="481">
        <f>+G38*G$26+H38</f>
        <v>0</v>
      </c>
      <c r="J38" s="966">
        <f t="shared" si="1"/>
        <v>0</v>
      </c>
      <c r="K38" s="475"/>
      <c r="L38" s="967">
        <f>J38</f>
        <v>0</v>
      </c>
      <c r="M38" s="1045">
        <f>+K39-L38</f>
        <v>0</v>
      </c>
    </row>
    <row r="39" spans="1:13">
      <c r="A39" s="277">
        <f t="shared" si="0"/>
        <v>20</v>
      </c>
      <c r="B39" s="475" t="s">
        <v>562</v>
      </c>
      <c r="C39" s="489">
        <f>+C38</f>
        <v>2013</v>
      </c>
      <c r="D39" s="490">
        <v>0</v>
      </c>
      <c r="E39" s="490">
        <v>0</v>
      </c>
      <c r="F39" s="481">
        <f>+D39*D$27+E39</f>
        <v>0</v>
      </c>
      <c r="G39" s="490">
        <v>0</v>
      </c>
      <c r="H39" s="490">
        <v>0</v>
      </c>
      <c r="I39" s="481">
        <f>+G39*G$27+H39</f>
        <v>0</v>
      </c>
      <c r="J39" s="966">
        <f t="shared" si="1"/>
        <v>0</v>
      </c>
      <c r="K39" s="1044">
        <f>J39</f>
        <v>0</v>
      </c>
      <c r="L39" s="480"/>
      <c r="M39" s="1045"/>
    </row>
    <row r="40" spans="1:13">
      <c r="A40" s="277">
        <f t="shared" si="0"/>
        <v>21</v>
      </c>
      <c r="B40" s="475" t="s">
        <v>423</v>
      </c>
      <c r="C40" s="489">
        <f>+C38+1</f>
        <v>2014</v>
      </c>
      <c r="D40" s="490">
        <v>0</v>
      </c>
      <c r="E40" s="490">
        <v>0</v>
      </c>
      <c r="F40" s="481">
        <f>+D40*D$26+E40</f>
        <v>0</v>
      </c>
      <c r="G40" s="490">
        <v>0</v>
      </c>
      <c r="H40" s="490">
        <v>0</v>
      </c>
      <c r="I40" s="481">
        <f>+G40*G$26+H40</f>
        <v>0</v>
      </c>
      <c r="J40" s="966">
        <f t="shared" si="1"/>
        <v>0</v>
      </c>
      <c r="K40" s="475"/>
      <c r="L40" s="967">
        <f>J40</f>
        <v>0</v>
      </c>
      <c r="M40" s="1045">
        <f>+K41-L40</f>
        <v>0</v>
      </c>
    </row>
    <row r="41" spans="1:13">
      <c r="A41" s="277">
        <f t="shared" si="0"/>
        <v>22</v>
      </c>
      <c r="B41" s="475" t="s">
        <v>562</v>
      </c>
      <c r="C41" s="489">
        <f>+C40</f>
        <v>2014</v>
      </c>
      <c r="D41" s="490">
        <v>0</v>
      </c>
      <c r="E41" s="490">
        <v>0</v>
      </c>
      <c r="F41" s="481">
        <f>+D41*D$27+E41</f>
        <v>0</v>
      </c>
      <c r="G41" s="490">
        <v>0</v>
      </c>
      <c r="H41" s="490">
        <v>0</v>
      </c>
      <c r="I41" s="481">
        <f>+G41*G$27+H41</f>
        <v>0</v>
      </c>
      <c r="J41" s="966">
        <f t="shared" si="1"/>
        <v>0</v>
      </c>
      <c r="K41" s="1044">
        <f>J41</f>
        <v>0</v>
      </c>
      <c r="L41" s="480"/>
      <c r="M41" s="1045"/>
    </row>
    <row r="42" spans="1:13">
      <c r="A42" s="277">
        <f t="shared" si="0"/>
        <v>23</v>
      </c>
      <c r="B42" s="475" t="s">
        <v>423</v>
      </c>
      <c r="C42" s="489">
        <f>+C40+1</f>
        <v>2015</v>
      </c>
      <c r="D42" s="490">
        <v>0</v>
      </c>
      <c r="E42" s="490">
        <v>0</v>
      </c>
      <c r="F42" s="481">
        <f>+D42*D$26+E42</f>
        <v>0</v>
      </c>
      <c r="G42" s="490">
        <v>0</v>
      </c>
      <c r="H42" s="490">
        <v>0</v>
      </c>
      <c r="I42" s="481">
        <f>+G42*G$26+H42</f>
        <v>0</v>
      </c>
      <c r="J42" s="966">
        <f t="shared" si="1"/>
        <v>0</v>
      </c>
      <c r="K42" s="475"/>
      <c r="L42" s="967">
        <f>J42</f>
        <v>0</v>
      </c>
      <c r="M42" s="1045">
        <f>+K43-L42</f>
        <v>0</v>
      </c>
    </row>
    <row r="43" spans="1:13">
      <c r="A43" s="277">
        <f t="shared" si="0"/>
        <v>24</v>
      </c>
      <c r="B43" s="475" t="s">
        <v>562</v>
      </c>
      <c r="C43" s="489">
        <f>+C42</f>
        <v>2015</v>
      </c>
      <c r="D43" s="490">
        <v>0</v>
      </c>
      <c r="E43" s="490">
        <v>0</v>
      </c>
      <c r="F43" s="481">
        <f>+D43*D$27+E43</f>
        <v>0</v>
      </c>
      <c r="G43" s="490">
        <v>0</v>
      </c>
      <c r="H43" s="490">
        <v>0</v>
      </c>
      <c r="I43" s="481">
        <f>+G43*G$27+H43</f>
        <v>0</v>
      </c>
      <c r="J43" s="966">
        <f t="shared" si="1"/>
        <v>0</v>
      </c>
      <c r="K43" s="1044">
        <f>J43</f>
        <v>0</v>
      </c>
      <c r="L43" s="480"/>
      <c r="M43" s="1045"/>
    </row>
    <row r="44" spans="1:13">
      <c r="A44" s="277">
        <f t="shared" si="0"/>
        <v>25</v>
      </c>
      <c r="B44" s="475" t="s">
        <v>423</v>
      </c>
      <c r="C44" s="489">
        <f>+C42+1</f>
        <v>2016</v>
      </c>
      <c r="D44" s="490">
        <v>0</v>
      </c>
      <c r="E44" s="490">
        <v>0</v>
      </c>
      <c r="F44" s="481">
        <f>+D44*D$26+E44</f>
        <v>0</v>
      </c>
      <c r="G44" s="490">
        <v>0</v>
      </c>
      <c r="H44" s="490">
        <v>0</v>
      </c>
      <c r="I44" s="481">
        <f>+G44*G$26+H44</f>
        <v>0</v>
      </c>
      <c r="J44" s="966">
        <f t="shared" si="1"/>
        <v>0</v>
      </c>
      <c r="K44" s="475"/>
      <c r="L44" s="967">
        <f>J44</f>
        <v>0</v>
      </c>
      <c r="M44" s="1045">
        <f>+K45-L44</f>
        <v>0</v>
      </c>
    </row>
    <row r="45" spans="1:13">
      <c r="A45" s="277">
        <f t="shared" si="0"/>
        <v>26</v>
      </c>
      <c r="B45" s="475" t="s">
        <v>562</v>
      </c>
      <c r="C45" s="489">
        <f>+C44</f>
        <v>2016</v>
      </c>
      <c r="D45" s="490">
        <v>0</v>
      </c>
      <c r="E45" s="490">
        <v>0</v>
      </c>
      <c r="F45" s="481">
        <f>+D45*D$27+E45</f>
        <v>0</v>
      </c>
      <c r="G45" s="490">
        <v>0</v>
      </c>
      <c r="H45" s="490">
        <v>0</v>
      </c>
      <c r="I45" s="481">
        <f>+G45*G$27+H45</f>
        <v>0</v>
      </c>
      <c r="J45" s="966">
        <f t="shared" si="1"/>
        <v>0</v>
      </c>
      <c r="K45" s="1044">
        <f>J45</f>
        <v>0</v>
      </c>
      <c r="L45" s="480"/>
      <c r="M45" s="1045"/>
    </row>
    <row r="46" spans="1:13">
      <c r="A46" s="277">
        <f t="shared" si="0"/>
        <v>27</v>
      </c>
      <c r="B46" s="475" t="s">
        <v>423</v>
      </c>
      <c r="C46" s="489">
        <f>+C44+1</f>
        <v>2017</v>
      </c>
      <c r="D46" s="490">
        <v>0</v>
      </c>
      <c r="E46" s="490">
        <v>0</v>
      </c>
      <c r="F46" s="481">
        <f>+D46*D$26+E46</f>
        <v>0</v>
      </c>
      <c r="G46" s="490">
        <v>0</v>
      </c>
      <c r="H46" s="490">
        <v>0</v>
      </c>
      <c r="I46" s="481">
        <f>+G46*G$26+H46</f>
        <v>0</v>
      </c>
      <c r="J46" s="966">
        <f t="shared" si="1"/>
        <v>0</v>
      </c>
      <c r="K46" s="475"/>
      <c r="L46" s="967">
        <f>J46</f>
        <v>0</v>
      </c>
      <c r="M46" s="1045">
        <f>+K47-L46</f>
        <v>0</v>
      </c>
    </row>
    <row r="47" spans="1:13">
      <c r="A47" s="277">
        <f t="shared" si="0"/>
        <v>28</v>
      </c>
      <c r="B47" s="475" t="s">
        <v>562</v>
      </c>
      <c r="C47" s="489">
        <f>+C46</f>
        <v>2017</v>
      </c>
      <c r="D47" s="490">
        <v>0</v>
      </c>
      <c r="E47" s="490">
        <v>0</v>
      </c>
      <c r="F47" s="481">
        <f>+D47*D$27+E47</f>
        <v>0</v>
      </c>
      <c r="G47" s="490">
        <v>0</v>
      </c>
      <c r="H47" s="490">
        <v>0</v>
      </c>
      <c r="I47" s="481">
        <f>+G47*G$27+H47</f>
        <v>0</v>
      </c>
      <c r="J47" s="966">
        <f t="shared" si="1"/>
        <v>0</v>
      </c>
      <c r="K47" s="1044">
        <f>J47</f>
        <v>0</v>
      </c>
      <c r="L47" s="480"/>
      <c r="M47" s="1045"/>
    </row>
    <row r="48" spans="1:13">
      <c r="A48" s="277">
        <f t="shared" si="0"/>
        <v>29</v>
      </c>
      <c r="B48" s="475" t="s">
        <v>423</v>
      </c>
      <c r="C48" s="489">
        <f>+C46+1</f>
        <v>2018</v>
      </c>
      <c r="D48" s="490">
        <v>0</v>
      </c>
      <c r="E48" s="490">
        <v>0</v>
      </c>
      <c r="F48" s="481">
        <f>+D48*D$26+E48</f>
        <v>0</v>
      </c>
      <c r="G48" s="490">
        <v>0</v>
      </c>
      <c r="H48" s="490">
        <v>0</v>
      </c>
      <c r="I48" s="481">
        <f>+G48*G$26+H48</f>
        <v>0</v>
      </c>
      <c r="J48" s="966">
        <f t="shared" si="1"/>
        <v>0</v>
      </c>
      <c r="K48" s="475"/>
      <c r="L48" s="967">
        <f>J48</f>
        <v>0</v>
      </c>
      <c r="M48" s="1045">
        <f>+K49-L48</f>
        <v>0</v>
      </c>
    </row>
    <row r="49" spans="1:13">
      <c r="A49" s="277">
        <f t="shared" si="0"/>
        <v>30</v>
      </c>
      <c r="B49" s="475" t="s">
        <v>562</v>
      </c>
      <c r="C49" s="489">
        <f>+C48</f>
        <v>2018</v>
      </c>
      <c r="D49" s="490">
        <v>0</v>
      </c>
      <c r="E49" s="490">
        <v>0</v>
      </c>
      <c r="F49" s="481">
        <f>+D49*D$27+E49</f>
        <v>0</v>
      </c>
      <c r="G49" s="490">
        <v>0</v>
      </c>
      <c r="H49" s="490">
        <v>0</v>
      </c>
      <c r="I49" s="481">
        <f>+G49*G$27+H49</f>
        <v>0</v>
      </c>
      <c r="J49" s="966">
        <f t="shared" si="1"/>
        <v>0</v>
      </c>
      <c r="K49" s="1044">
        <f>J49</f>
        <v>0</v>
      </c>
      <c r="L49" s="480"/>
      <c r="M49" s="1045"/>
    </row>
    <row r="50" spans="1:13">
      <c r="A50" s="277">
        <f t="shared" si="0"/>
        <v>31</v>
      </c>
      <c r="B50" s="475" t="s">
        <v>423</v>
      </c>
      <c r="C50" s="489">
        <f>+C48+1</f>
        <v>2019</v>
      </c>
      <c r="D50" s="490">
        <v>0</v>
      </c>
      <c r="E50" s="490">
        <v>0</v>
      </c>
      <c r="F50" s="481">
        <f>+D50*D$26+E50</f>
        <v>0</v>
      </c>
      <c r="G50" s="490">
        <v>0</v>
      </c>
      <c r="H50" s="490">
        <v>0</v>
      </c>
      <c r="I50" s="481">
        <f>+G50*G$26+H50</f>
        <v>0</v>
      </c>
      <c r="J50" s="966">
        <f t="shared" si="1"/>
        <v>0</v>
      </c>
      <c r="K50" s="475"/>
      <c r="L50" s="967">
        <f>J50</f>
        <v>0</v>
      </c>
      <c r="M50" s="1045">
        <f>+K51-L50</f>
        <v>0</v>
      </c>
    </row>
    <row r="51" spans="1:13">
      <c r="A51" s="277">
        <f t="shared" si="0"/>
        <v>32</v>
      </c>
      <c r="B51" s="475" t="s">
        <v>562</v>
      </c>
      <c r="C51" s="489">
        <f>+C50</f>
        <v>2019</v>
      </c>
      <c r="D51" s="490">
        <v>0</v>
      </c>
      <c r="E51" s="490">
        <v>0</v>
      </c>
      <c r="F51" s="481">
        <f>+D51*D$27+E51</f>
        <v>0</v>
      </c>
      <c r="G51" s="490">
        <v>0</v>
      </c>
      <c r="H51" s="490">
        <v>0</v>
      </c>
      <c r="I51" s="481">
        <f>+G51*G$27+H51</f>
        <v>0</v>
      </c>
      <c r="J51" s="966">
        <f t="shared" si="1"/>
        <v>0</v>
      </c>
      <c r="K51" s="1044">
        <f>J51</f>
        <v>0</v>
      </c>
      <c r="L51" s="480"/>
      <c r="M51" s="1045"/>
    </row>
    <row r="52" spans="1:13">
      <c r="A52" s="277">
        <f t="shared" si="0"/>
        <v>33</v>
      </c>
      <c r="B52" s="475" t="s">
        <v>423</v>
      </c>
      <c r="C52" s="489">
        <f>+C50+1</f>
        <v>2020</v>
      </c>
      <c r="D52" s="490">
        <v>0</v>
      </c>
      <c r="E52" s="490">
        <v>0</v>
      </c>
      <c r="F52" s="481">
        <f>+D52*D$26+E52</f>
        <v>0</v>
      </c>
      <c r="G52" s="490">
        <v>0</v>
      </c>
      <c r="H52" s="490">
        <v>0</v>
      </c>
      <c r="I52" s="481">
        <f>+G52*G$26+H52</f>
        <v>0</v>
      </c>
      <c r="J52" s="966">
        <f t="shared" si="1"/>
        <v>0</v>
      </c>
      <c r="K52" s="475"/>
      <c r="L52" s="967">
        <f>J52</f>
        <v>0</v>
      </c>
      <c r="M52" s="1045">
        <f>+K53-L52</f>
        <v>0</v>
      </c>
    </row>
    <row r="53" spans="1:13">
      <c r="A53" s="277">
        <f t="shared" si="0"/>
        <v>34</v>
      </c>
      <c r="B53" s="475" t="s">
        <v>562</v>
      </c>
      <c r="C53" s="489">
        <f>+C52</f>
        <v>2020</v>
      </c>
      <c r="D53" s="490">
        <v>0</v>
      </c>
      <c r="E53" s="490">
        <v>0</v>
      </c>
      <c r="F53" s="481">
        <f>+D53*D$27+E53</f>
        <v>0</v>
      </c>
      <c r="G53" s="490">
        <v>0</v>
      </c>
      <c r="H53" s="490">
        <v>0</v>
      </c>
      <c r="I53" s="481">
        <f>+G53*G$27+H53</f>
        <v>0</v>
      </c>
      <c r="J53" s="966">
        <f t="shared" si="1"/>
        <v>0</v>
      </c>
      <c r="K53" s="1044">
        <f>J53</f>
        <v>0</v>
      </c>
      <c r="L53" s="480"/>
      <c r="M53" s="1045"/>
    </row>
    <row r="54" spans="1:13">
      <c r="A54" s="277">
        <f t="shared" si="0"/>
        <v>35</v>
      </c>
      <c r="B54" s="475" t="s">
        <v>423</v>
      </c>
      <c r="C54" s="489">
        <f>+C52+1</f>
        <v>2021</v>
      </c>
      <c r="D54" s="490">
        <v>0</v>
      </c>
      <c r="E54" s="490">
        <v>0</v>
      </c>
      <c r="F54" s="481">
        <f>+D54*D$26+E54</f>
        <v>0</v>
      </c>
      <c r="G54" s="490">
        <v>0</v>
      </c>
      <c r="H54" s="490">
        <v>0</v>
      </c>
      <c r="I54" s="481">
        <f>+G54*G$26+H54</f>
        <v>0</v>
      </c>
      <c r="J54" s="966">
        <f t="shared" si="1"/>
        <v>0</v>
      </c>
      <c r="K54" s="475"/>
      <c r="L54" s="967">
        <f>J54</f>
        <v>0</v>
      </c>
      <c r="M54" s="1045">
        <f>+K55-L54</f>
        <v>0</v>
      </c>
    </row>
    <row r="55" spans="1:13">
      <c r="A55" s="277">
        <f t="shared" si="0"/>
        <v>36</v>
      </c>
      <c r="B55" s="475" t="s">
        <v>562</v>
      </c>
      <c r="C55" s="489">
        <f>+C54</f>
        <v>2021</v>
      </c>
      <c r="D55" s="490">
        <v>0</v>
      </c>
      <c r="E55" s="490">
        <v>0</v>
      </c>
      <c r="F55" s="481">
        <f>+D55*D$27+E55</f>
        <v>0</v>
      </c>
      <c r="G55" s="490">
        <v>0</v>
      </c>
      <c r="H55" s="490">
        <v>0</v>
      </c>
      <c r="I55" s="481">
        <f>+G55*G$27+H55</f>
        <v>0</v>
      </c>
      <c r="J55" s="966">
        <f t="shared" si="1"/>
        <v>0</v>
      </c>
      <c r="K55" s="1044">
        <f>J55</f>
        <v>0</v>
      </c>
      <c r="L55" s="480"/>
      <c r="M55" s="1045"/>
    </row>
    <row r="56" spans="1:13">
      <c r="A56" s="277">
        <f t="shared" si="0"/>
        <v>37</v>
      </c>
      <c r="B56" s="475" t="s">
        <v>423</v>
      </c>
      <c r="C56" s="489">
        <f>+C54+1</f>
        <v>2022</v>
      </c>
      <c r="D56" s="490">
        <v>0</v>
      </c>
      <c r="E56" s="490">
        <v>0</v>
      </c>
      <c r="F56" s="481">
        <f>+D56*D$26+E56</f>
        <v>0</v>
      </c>
      <c r="G56" s="490">
        <v>0</v>
      </c>
      <c r="H56" s="490">
        <v>0</v>
      </c>
      <c r="I56" s="481">
        <f>+G56*G$26+H56</f>
        <v>0</v>
      </c>
      <c r="J56" s="966">
        <f t="shared" si="1"/>
        <v>0</v>
      </c>
      <c r="K56" s="475"/>
      <c r="L56" s="967">
        <f>J56</f>
        <v>0</v>
      </c>
      <c r="M56" s="1045">
        <f>+K57-L56</f>
        <v>0</v>
      </c>
    </row>
    <row r="57" spans="1:13">
      <c r="A57" s="277">
        <f t="shared" si="0"/>
        <v>38</v>
      </c>
      <c r="B57" s="475" t="s">
        <v>562</v>
      </c>
      <c r="C57" s="489">
        <f>+C56</f>
        <v>2022</v>
      </c>
      <c r="D57" s="490">
        <v>0</v>
      </c>
      <c r="E57" s="490">
        <v>0</v>
      </c>
      <c r="F57" s="481">
        <f>+D57*D$27+E57</f>
        <v>0</v>
      </c>
      <c r="G57" s="490">
        <v>0</v>
      </c>
      <c r="H57" s="490">
        <v>0</v>
      </c>
      <c r="I57" s="481">
        <f>+G57*G$27+H57</f>
        <v>0</v>
      </c>
      <c r="J57" s="966">
        <f t="shared" si="1"/>
        <v>0</v>
      </c>
      <c r="K57" s="1044">
        <f>J57</f>
        <v>0</v>
      </c>
      <c r="L57" s="480"/>
      <c r="M57" s="1045"/>
    </row>
    <row r="58" spans="1:13">
      <c r="A58" s="277">
        <f t="shared" si="0"/>
        <v>39</v>
      </c>
      <c r="B58" s="475" t="s">
        <v>423</v>
      </c>
      <c r="C58" s="489">
        <f>+C56+1</f>
        <v>2023</v>
      </c>
      <c r="D58" s="490">
        <v>0</v>
      </c>
      <c r="E58" s="490">
        <v>0</v>
      </c>
      <c r="F58" s="481">
        <f>+D58*D$26+E58</f>
        <v>0</v>
      </c>
      <c r="G58" s="490">
        <v>0</v>
      </c>
      <c r="H58" s="490">
        <v>0</v>
      </c>
      <c r="I58" s="481">
        <f>+G58*G$26+H58</f>
        <v>0</v>
      </c>
      <c r="J58" s="966">
        <f t="shared" si="1"/>
        <v>0</v>
      </c>
      <c r="K58" s="475"/>
      <c r="L58" s="967">
        <f>J58</f>
        <v>0</v>
      </c>
      <c r="M58" s="1045">
        <f>+K59-L58</f>
        <v>0</v>
      </c>
    </row>
    <row r="59" spans="1:13">
      <c r="A59" s="277">
        <f t="shared" si="0"/>
        <v>40</v>
      </c>
      <c r="B59" s="475" t="s">
        <v>562</v>
      </c>
      <c r="C59" s="489">
        <f>+C58</f>
        <v>2023</v>
      </c>
      <c r="D59" s="490">
        <v>0</v>
      </c>
      <c r="E59" s="490">
        <v>0</v>
      </c>
      <c r="F59" s="481">
        <f>+D59*D$27+E59</f>
        <v>0</v>
      </c>
      <c r="G59" s="490">
        <v>0</v>
      </c>
      <c r="H59" s="490">
        <v>0</v>
      </c>
      <c r="I59" s="481">
        <f>+G59*G$27+H59</f>
        <v>0</v>
      </c>
      <c r="J59" s="966">
        <f t="shared" si="1"/>
        <v>0</v>
      </c>
      <c r="K59" s="1044">
        <f>J59</f>
        <v>0</v>
      </c>
      <c r="L59" s="480"/>
      <c r="M59" s="1045"/>
    </row>
    <row r="60" spans="1:13">
      <c r="A60" s="277">
        <f t="shared" si="0"/>
        <v>41</v>
      </c>
      <c r="B60" s="475" t="s">
        <v>423</v>
      </c>
      <c r="C60" s="489">
        <f>+C58+1</f>
        <v>2024</v>
      </c>
      <c r="D60" s="490">
        <v>0</v>
      </c>
      <c r="E60" s="490">
        <v>0</v>
      </c>
      <c r="F60" s="481">
        <f>+D60*D$26+E60</f>
        <v>0</v>
      </c>
      <c r="G60" s="490">
        <v>0</v>
      </c>
      <c r="H60" s="490">
        <v>0</v>
      </c>
      <c r="I60" s="481">
        <f>+G60*G$26+H60</f>
        <v>0</v>
      </c>
      <c r="J60" s="966">
        <f t="shared" si="1"/>
        <v>0</v>
      </c>
      <c r="K60" s="475"/>
      <c r="L60" s="967">
        <f>J60</f>
        <v>0</v>
      </c>
      <c r="M60" s="1045">
        <f>+K61-L60</f>
        <v>0</v>
      </c>
    </row>
    <row r="61" spans="1:13">
      <c r="A61" s="277">
        <f t="shared" si="0"/>
        <v>42</v>
      </c>
      <c r="B61" s="475" t="s">
        <v>562</v>
      </c>
      <c r="C61" s="489">
        <f>+C60</f>
        <v>2024</v>
      </c>
      <c r="D61" s="490">
        <v>0</v>
      </c>
      <c r="E61" s="490">
        <v>0</v>
      </c>
      <c r="F61" s="481">
        <f>+D61*D$27+E61</f>
        <v>0</v>
      </c>
      <c r="G61" s="490">
        <v>0</v>
      </c>
      <c r="H61" s="490">
        <v>0</v>
      </c>
      <c r="I61" s="481">
        <f>+G61*G$27+H61</f>
        <v>0</v>
      </c>
      <c r="J61" s="966">
        <f t="shared" si="1"/>
        <v>0</v>
      </c>
      <c r="K61" s="1044">
        <f>J61</f>
        <v>0</v>
      </c>
      <c r="L61" s="480"/>
      <c r="M61" s="1045"/>
    </row>
    <row r="62" spans="1:13">
      <c r="A62" s="277">
        <f t="shared" si="0"/>
        <v>43</v>
      </c>
      <c r="B62" s="475" t="s">
        <v>423</v>
      </c>
      <c r="C62" s="489">
        <f>+C60+1</f>
        <v>2025</v>
      </c>
      <c r="D62" s="490">
        <v>0</v>
      </c>
      <c r="E62" s="490">
        <v>0</v>
      </c>
      <c r="F62" s="481">
        <f>+D62*D$26+E62</f>
        <v>0</v>
      </c>
      <c r="G62" s="490">
        <v>0</v>
      </c>
      <c r="H62" s="490">
        <v>0</v>
      </c>
      <c r="I62" s="481">
        <f>+G62*G$26+H62</f>
        <v>0</v>
      </c>
      <c r="J62" s="966">
        <f t="shared" si="1"/>
        <v>0</v>
      </c>
      <c r="K62" s="475"/>
      <c r="L62" s="967">
        <f>J62</f>
        <v>0</v>
      </c>
      <c r="M62" s="1045">
        <f>+K63-L62</f>
        <v>0</v>
      </c>
    </row>
    <row r="63" spans="1:13">
      <c r="A63" s="277">
        <f t="shared" si="0"/>
        <v>44</v>
      </c>
      <c r="B63" s="475" t="s">
        <v>562</v>
      </c>
      <c r="C63" s="489">
        <f>+C62</f>
        <v>2025</v>
      </c>
      <c r="D63" s="490">
        <v>0</v>
      </c>
      <c r="E63" s="490">
        <v>0</v>
      </c>
      <c r="F63" s="481">
        <f>+D63*D$27+E63</f>
        <v>0</v>
      </c>
      <c r="G63" s="490">
        <v>0</v>
      </c>
      <c r="H63" s="490">
        <v>0</v>
      </c>
      <c r="I63" s="481">
        <f>+G63*G$27+H63</f>
        <v>0</v>
      </c>
      <c r="J63" s="966">
        <f t="shared" si="1"/>
        <v>0</v>
      </c>
      <c r="K63" s="1044">
        <f>J63</f>
        <v>0</v>
      </c>
      <c r="L63" s="480"/>
      <c r="M63" s="1045"/>
    </row>
    <row r="64" spans="1:13">
      <c r="A64" s="277">
        <f t="shared" si="0"/>
        <v>45</v>
      </c>
      <c r="B64" s="475" t="s">
        <v>423</v>
      </c>
      <c r="C64" s="489">
        <f>+C62+1</f>
        <v>2026</v>
      </c>
      <c r="D64" s="490">
        <v>0</v>
      </c>
      <c r="E64" s="490">
        <v>0</v>
      </c>
      <c r="F64" s="481">
        <f>+D64*D$26+E64</f>
        <v>0</v>
      </c>
      <c r="G64" s="490">
        <v>0</v>
      </c>
      <c r="H64" s="490">
        <v>0</v>
      </c>
      <c r="I64" s="481">
        <f>+G64*G$26+H64</f>
        <v>0</v>
      </c>
      <c r="J64" s="966">
        <f t="shared" si="1"/>
        <v>0</v>
      </c>
      <c r="K64" s="475"/>
      <c r="L64" s="967">
        <f>J64</f>
        <v>0</v>
      </c>
      <c r="M64" s="1045">
        <f>+K65-L64</f>
        <v>0</v>
      </c>
    </row>
    <row r="65" spans="1:13">
      <c r="A65" s="277">
        <f t="shared" si="0"/>
        <v>46</v>
      </c>
      <c r="B65" s="475" t="s">
        <v>562</v>
      </c>
      <c r="C65" s="489">
        <f>+C64</f>
        <v>2026</v>
      </c>
      <c r="D65" s="490">
        <v>0</v>
      </c>
      <c r="E65" s="490">
        <v>0</v>
      </c>
      <c r="F65" s="481">
        <f>+D65*D$27+E65</f>
        <v>0</v>
      </c>
      <c r="G65" s="490">
        <v>0</v>
      </c>
      <c r="H65" s="490">
        <v>0</v>
      </c>
      <c r="I65" s="481">
        <f>+G65*G$27+H65</f>
        <v>0</v>
      </c>
      <c r="J65" s="966">
        <f t="shared" si="1"/>
        <v>0</v>
      </c>
      <c r="K65" s="1044">
        <f>J65</f>
        <v>0</v>
      </c>
      <c r="L65" s="480"/>
      <c r="M65" s="1045"/>
    </row>
    <row r="66" spans="1:13">
      <c r="A66" s="277">
        <f t="shared" si="0"/>
        <v>47</v>
      </c>
      <c r="B66" s="475" t="s">
        <v>423</v>
      </c>
      <c r="C66" s="489">
        <f>+C64+1</f>
        <v>2027</v>
      </c>
      <c r="D66" s="490">
        <v>0</v>
      </c>
      <c r="E66" s="490">
        <v>0</v>
      </c>
      <c r="F66" s="481">
        <f>+D66*D$26+E66</f>
        <v>0</v>
      </c>
      <c r="G66" s="490">
        <v>0</v>
      </c>
      <c r="H66" s="490">
        <v>0</v>
      </c>
      <c r="I66" s="481">
        <f>+G66*G$26+H66</f>
        <v>0</v>
      </c>
      <c r="J66" s="966">
        <f t="shared" si="1"/>
        <v>0</v>
      </c>
      <c r="K66" s="475"/>
      <c r="L66" s="967">
        <f>J66</f>
        <v>0</v>
      </c>
      <c r="M66" s="1045">
        <f>+K67-L66</f>
        <v>0</v>
      </c>
    </row>
    <row r="67" spans="1:13">
      <c r="A67" s="277">
        <f t="shared" si="0"/>
        <v>48</v>
      </c>
      <c r="B67" s="475" t="s">
        <v>562</v>
      </c>
      <c r="C67" s="489">
        <f>+C66</f>
        <v>2027</v>
      </c>
      <c r="D67" s="490">
        <v>0</v>
      </c>
      <c r="E67" s="490">
        <v>0</v>
      </c>
      <c r="F67" s="481">
        <f>+D67*D$27+E67</f>
        <v>0</v>
      </c>
      <c r="G67" s="490">
        <v>0</v>
      </c>
      <c r="H67" s="490">
        <v>0</v>
      </c>
      <c r="I67" s="481">
        <f>+G67*G$27+H67</f>
        <v>0</v>
      </c>
      <c r="J67" s="966">
        <f t="shared" si="1"/>
        <v>0</v>
      </c>
      <c r="K67" s="1044">
        <f>J67</f>
        <v>0</v>
      </c>
      <c r="L67" s="480"/>
      <c r="M67" s="1045"/>
    </row>
    <row r="68" spans="1:13">
      <c r="A68" s="277">
        <f t="shared" si="0"/>
        <v>49</v>
      </c>
      <c r="B68" s="475" t="s">
        <v>423</v>
      </c>
      <c r="C68" s="489">
        <f>+C66+1</f>
        <v>2028</v>
      </c>
      <c r="D68" s="490">
        <v>0</v>
      </c>
      <c r="E68" s="490">
        <v>0</v>
      </c>
      <c r="F68" s="481">
        <f>+D68*D$26+E68</f>
        <v>0</v>
      </c>
      <c r="G68" s="490">
        <v>0</v>
      </c>
      <c r="H68" s="490">
        <v>0</v>
      </c>
      <c r="I68" s="481">
        <f>+G68*G$26+H68</f>
        <v>0</v>
      </c>
      <c r="J68" s="966">
        <f t="shared" si="1"/>
        <v>0</v>
      </c>
      <c r="K68" s="475"/>
      <c r="L68" s="967">
        <f>J68</f>
        <v>0</v>
      </c>
      <c r="M68" s="1045">
        <f>+K69-L68</f>
        <v>0</v>
      </c>
    </row>
    <row r="69" spans="1:13">
      <c r="A69" s="277">
        <f t="shared" si="0"/>
        <v>50</v>
      </c>
      <c r="B69" s="475" t="s">
        <v>562</v>
      </c>
      <c r="C69" s="489">
        <f>+C68</f>
        <v>2028</v>
      </c>
      <c r="D69" s="490">
        <v>0</v>
      </c>
      <c r="E69" s="490">
        <v>0</v>
      </c>
      <c r="F69" s="481">
        <f>+D69*D$27+E69</f>
        <v>0</v>
      </c>
      <c r="G69" s="490">
        <v>0</v>
      </c>
      <c r="H69" s="490">
        <v>0</v>
      </c>
      <c r="I69" s="481">
        <f>+G69*G$27+H69</f>
        <v>0</v>
      </c>
      <c r="J69" s="966">
        <f t="shared" si="1"/>
        <v>0</v>
      </c>
      <c r="K69" s="1044">
        <f>J69</f>
        <v>0</v>
      </c>
      <c r="L69" s="480"/>
      <c r="M69" s="1045"/>
    </row>
    <row r="70" spans="1:13">
      <c r="A70" s="277">
        <f t="shared" si="0"/>
        <v>51</v>
      </c>
      <c r="B70" s="475" t="s">
        <v>423</v>
      </c>
      <c r="C70" s="489">
        <f>+C68+1</f>
        <v>2029</v>
      </c>
      <c r="D70" s="490">
        <v>0</v>
      </c>
      <c r="E70" s="490">
        <v>0</v>
      </c>
      <c r="F70" s="481">
        <f>+D70*D$26+E70</f>
        <v>0</v>
      </c>
      <c r="G70" s="490">
        <v>0</v>
      </c>
      <c r="H70" s="490">
        <v>0</v>
      </c>
      <c r="I70" s="481">
        <f>+G70*G$26+H70</f>
        <v>0</v>
      </c>
      <c r="J70" s="966">
        <f t="shared" si="1"/>
        <v>0</v>
      </c>
      <c r="K70" s="475"/>
      <c r="L70" s="967">
        <f>J70</f>
        <v>0</v>
      </c>
      <c r="M70" s="1045">
        <f>+K71-L70</f>
        <v>0</v>
      </c>
    </row>
    <row r="71" spans="1:13">
      <c r="A71" s="277">
        <f t="shared" si="0"/>
        <v>52</v>
      </c>
      <c r="B71" s="475" t="s">
        <v>562</v>
      </c>
      <c r="C71" s="489">
        <f>+C70</f>
        <v>2029</v>
      </c>
      <c r="D71" s="490"/>
      <c r="E71" s="490">
        <v>0</v>
      </c>
      <c r="F71" s="481">
        <f>+D71*D$27+E71</f>
        <v>0</v>
      </c>
      <c r="G71" s="490"/>
      <c r="H71" s="490">
        <v>0</v>
      </c>
      <c r="I71" s="481">
        <f>+G71*G$27+H71</f>
        <v>0</v>
      </c>
      <c r="J71" s="966">
        <f t="shared" si="1"/>
        <v>0</v>
      </c>
      <c r="K71" s="1044">
        <f>J71</f>
        <v>0</v>
      </c>
      <c r="L71" s="480"/>
      <c r="M71" s="1045"/>
    </row>
    <row r="72" spans="1:13">
      <c r="A72" s="277">
        <f t="shared" si="0"/>
        <v>53</v>
      </c>
      <c r="B72" s="492"/>
      <c r="C72" s="489">
        <f>+C70+1</f>
        <v>2030</v>
      </c>
      <c r="D72" s="493" t="s">
        <v>563</v>
      </c>
      <c r="E72" s="493" t="s">
        <v>563</v>
      </c>
      <c r="F72" s="481" t="s">
        <v>772</v>
      </c>
      <c r="G72" s="493"/>
      <c r="H72" s="493"/>
      <c r="I72" s="494"/>
      <c r="J72" s="491"/>
      <c r="K72" s="475"/>
      <c r="L72" s="967"/>
      <c r="M72" s="1045"/>
    </row>
    <row r="73" spans="1:13" ht="13.5" thickBot="1">
      <c r="A73" s="277">
        <f t="shared" si="0"/>
        <v>54</v>
      </c>
      <c r="B73" s="495"/>
      <c r="C73" s="489">
        <f>+C72</f>
        <v>2030</v>
      </c>
      <c r="D73" s="496" t="s">
        <v>563</v>
      </c>
      <c r="E73" s="496" t="s">
        <v>564</v>
      </c>
      <c r="F73" s="497" t="s">
        <v>563</v>
      </c>
      <c r="G73" s="496"/>
      <c r="H73" s="496"/>
      <c r="I73" s="497"/>
      <c r="J73" s="498"/>
      <c r="K73" s="1046"/>
      <c r="L73" s="499"/>
      <c r="M73" s="930"/>
    </row>
    <row r="74" spans="1:13">
      <c r="B74" s="480"/>
      <c r="C74" s="478"/>
      <c r="D74" s="480"/>
      <c r="E74" s="480"/>
      <c r="F74" s="500"/>
      <c r="G74" s="480"/>
      <c r="H74" s="480"/>
      <c r="I74" s="500"/>
      <c r="J74" s="480"/>
      <c r="K74" s="501"/>
      <c r="L74" s="501"/>
      <c r="M74"/>
    </row>
    <row r="75" spans="1:13" ht="42.75" customHeight="1">
      <c r="A75" s="973" t="s">
        <v>418</v>
      </c>
      <c r="B75" s="1564" t="s">
        <v>24</v>
      </c>
      <c r="C75" s="1564"/>
      <c r="D75" s="1564"/>
      <c r="E75" s="1564"/>
      <c r="F75" s="1564"/>
      <c r="G75" s="1564"/>
      <c r="H75" s="1564"/>
      <c r="I75" s="1564"/>
      <c r="J75" s="1564"/>
      <c r="K75" s="1564"/>
      <c r="L75" s="1564"/>
      <c r="M75"/>
    </row>
    <row r="76" spans="1:13" ht="14.25">
      <c r="A76" s="277" t="s">
        <v>778</v>
      </c>
      <c r="B76" s="1564" t="s">
        <v>777</v>
      </c>
      <c r="C76" s="1564"/>
      <c r="D76" s="1564"/>
      <c r="E76" s="1564"/>
      <c r="F76" s="1564"/>
      <c r="G76" s="1564"/>
      <c r="H76" s="1564"/>
      <c r="I76" s="1564"/>
      <c r="J76" s="1564"/>
      <c r="K76" s="1564"/>
      <c r="L76" s="1564"/>
      <c r="M76"/>
    </row>
    <row r="77" spans="1:13">
      <c r="A77" t="s">
        <v>538</v>
      </c>
      <c r="B77" s="1562" t="s">
        <v>539</v>
      </c>
      <c r="C77" s="1562"/>
      <c r="D77" s="1562"/>
      <c r="E77" s="1562"/>
      <c r="F77" s="1562"/>
      <c r="G77" s="1562"/>
      <c r="H77" s="1562"/>
      <c r="I77" s="1562"/>
      <c r="J77" s="1562"/>
      <c r="K77" s="1562"/>
      <c r="L77" s="1562"/>
      <c r="M77"/>
    </row>
    <row r="78" spans="1:13">
      <c r="A78"/>
      <c r="B78"/>
      <c r="C78"/>
      <c r="D78"/>
      <c r="E78"/>
      <c r="F78"/>
      <c r="G78"/>
      <c r="H78"/>
      <c r="I78"/>
      <c r="J78"/>
      <c r="K78"/>
      <c r="L78"/>
      <c r="M78"/>
    </row>
    <row r="79" spans="1:13">
      <c r="A79"/>
      <c r="B79"/>
      <c r="C79"/>
      <c r="D79"/>
      <c r="E79"/>
      <c r="F79"/>
      <c r="G79"/>
      <c r="H79"/>
      <c r="I79"/>
      <c r="J79"/>
      <c r="K79"/>
      <c r="L79"/>
      <c r="M79"/>
    </row>
    <row r="80" spans="1:13">
      <c r="A80"/>
      <c r="B80"/>
      <c r="C80"/>
      <c r="D80"/>
      <c r="E80"/>
      <c r="F80"/>
      <c r="G80"/>
      <c r="H80"/>
      <c r="I80"/>
      <c r="J80"/>
      <c r="K80"/>
      <c r="L80"/>
      <c r="M80"/>
    </row>
    <row r="81" spans="1:13">
      <c r="A81"/>
      <c r="B81"/>
      <c r="C81"/>
      <c r="D81"/>
      <c r="E81"/>
      <c r="F81"/>
      <c r="G81"/>
      <c r="H81"/>
      <c r="I81"/>
      <c r="J81"/>
      <c r="K81"/>
      <c r="L81"/>
      <c r="M81"/>
    </row>
    <row r="82" spans="1:13">
      <c r="A82"/>
      <c r="B82"/>
      <c r="C82"/>
      <c r="D82"/>
      <c r="E82"/>
      <c r="F82"/>
      <c r="G82"/>
      <c r="H82"/>
      <c r="I82"/>
      <c r="J82"/>
      <c r="K82"/>
      <c r="L82"/>
      <c r="M82"/>
    </row>
    <row r="83" spans="1:13">
      <c r="A83"/>
      <c r="B83"/>
      <c r="C83"/>
      <c r="D83"/>
      <c r="E83"/>
      <c r="F83"/>
      <c r="G83"/>
      <c r="H83"/>
      <c r="I83"/>
      <c r="J83"/>
      <c r="K83"/>
      <c r="L83"/>
      <c r="M83"/>
    </row>
    <row r="84" spans="1:13">
      <c r="A84"/>
      <c r="B84"/>
      <c r="C84"/>
      <c r="D84"/>
      <c r="E84"/>
      <c r="F84"/>
      <c r="G84"/>
      <c r="H84"/>
      <c r="I84"/>
      <c r="J84"/>
      <c r="K84"/>
      <c r="L84"/>
      <c r="M84"/>
    </row>
    <row r="85" spans="1:13">
      <c r="A85"/>
      <c r="B85"/>
      <c r="C85"/>
      <c r="D85"/>
      <c r="E85"/>
      <c r="F85"/>
      <c r="G85"/>
      <c r="H85"/>
      <c r="I85"/>
      <c r="J85"/>
      <c r="K85"/>
      <c r="L85"/>
      <c r="M85"/>
    </row>
    <row r="86" spans="1:13">
      <c r="A86"/>
      <c r="B86"/>
      <c r="C86"/>
      <c r="D86"/>
      <c r="E86"/>
      <c r="F86"/>
      <c r="G86"/>
      <c r="H86"/>
      <c r="I86"/>
      <c r="J86"/>
      <c r="K86"/>
      <c r="L86"/>
      <c r="M86"/>
    </row>
    <row r="87" spans="1:13">
      <c r="A87"/>
      <c r="B87"/>
      <c r="C87"/>
      <c r="D87"/>
      <c r="E87"/>
      <c r="F87"/>
      <c r="G87"/>
      <c r="H87"/>
      <c r="I87"/>
      <c r="J87"/>
      <c r="K87"/>
      <c r="L87"/>
      <c r="M87"/>
    </row>
    <row r="88" spans="1:13">
      <c r="A88"/>
      <c r="B88"/>
      <c r="C88"/>
      <c r="D88"/>
      <c r="E88"/>
      <c r="F88"/>
      <c r="G88"/>
      <c r="H88"/>
      <c r="I88"/>
      <c r="J88"/>
      <c r="K88"/>
      <c r="L88"/>
      <c r="M88"/>
    </row>
    <row r="89" spans="1:13">
      <c r="A89"/>
      <c r="B89"/>
      <c r="C89"/>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c r="M98"/>
    </row>
    <row r="99" spans="1:13">
      <c r="A99"/>
      <c r="B99"/>
      <c r="C99"/>
      <c r="D99"/>
      <c r="E99"/>
      <c r="F99"/>
      <c r="G99"/>
      <c r="H99"/>
      <c r="I99"/>
      <c r="J99"/>
      <c r="K99"/>
      <c r="L99"/>
      <c r="M99"/>
    </row>
    <row r="100" spans="1:13">
      <c r="A100"/>
      <c r="B100"/>
      <c r="C100"/>
      <c r="D100"/>
      <c r="E100"/>
      <c r="F100"/>
      <c r="G100"/>
      <c r="H100"/>
      <c r="I100"/>
      <c r="J100"/>
      <c r="K100"/>
      <c r="L100"/>
      <c r="M100"/>
    </row>
    <row r="101" spans="1:13">
      <c r="A101"/>
      <c r="B101"/>
      <c r="C101"/>
      <c r="D101"/>
      <c r="E101"/>
      <c r="F101"/>
      <c r="G101"/>
      <c r="H101"/>
      <c r="I101"/>
      <c r="J101"/>
      <c r="K101"/>
      <c r="L101"/>
      <c r="M101"/>
    </row>
    <row r="102" spans="1:13">
      <c r="A102"/>
      <c r="B102"/>
      <c r="C102"/>
      <c r="D102"/>
      <c r="E102"/>
      <c r="F102"/>
      <c r="G102"/>
      <c r="H102"/>
      <c r="I102"/>
      <c r="J102"/>
      <c r="K102"/>
      <c r="L102"/>
      <c r="M102"/>
    </row>
    <row r="103" spans="1:13">
      <c r="A103"/>
      <c r="B103"/>
      <c r="C103"/>
      <c r="D103"/>
      <c r="E103"/>
      <c r="F103"/>
      <c r="G103"/>
      <c r="H103"/>
      <c r="I103"/>
      <c r="J103"/>
      <c r="K103"/>
      <c r="L103"/>
      <c r="M103"/>
    </row>
    <row r="104" spans="1:13">
      <c r="A104"/>
      <c r="B104"/>
      <c r="C104"/>
      <c r="D104"/>
      <c r="E104"/>
      <c r="F104"/>
      <c r="G104"/>
      <c r="H104"/>
      <c r="I104"/>
      <c r="J104"/>
      <c r="K104"/>
      <c r="L104"/>
      <c r="M104"/>
    </row>
    <row r="105" spans="1:13">
      <c r="A105"/>
      <c r="B105"/>
      <c r="C105"/>
      <c r="D105"/>
      <c r="E105"/>
      <c r="F105"/>
      <c r="G105"/>
      <c r="H105"/>
      <c r="I105"/>
      <c r="J105"/>
      <c r="K105"/>
      <c r="L105"/>
      <c r="M105"/>
    </row>
    <row r="106" spans="1:13">
      <c r="A106"/>
      <c r="B106"/>
      <c r="C106"/>
      <c r="D106"/>
      <c r="E106"/>
      <c r="F106"/>
      <c r="G106"/>
      <c r="H106"/>
      <c r="I106"/>
      <c r="J106"/>
      <c r="K106"/>
      <c r="L106"/>
      <c r="M106"/>
    </row>
    <row r="107" spans="1:13">
      <c r="A107"/>
      <c r="B107"/>
      <c r="C107"/>
      <c r="D107"/>
      <c r="E107"/>
      <c r="F107"/>
      <c r="G107"/>
      <c r="H107"/>
      <c r="I107"/>
      <c r="J107"/>
      <c r="K107"/>
      <c r="L107"/>
      <c r="M107"/>
    </row>
    <row r="108" spans="1:13">
      <c r="A108"/>
      <c r="B108"/>
      <c r="C108"/>
      <c r="D108"/>
      <c r="E108"/>
      <c r="F108"/>
      <c r="G108"/>
      <c r="H108"/>
      <c r="I108"/>
      <c r="J108"/>
      <c r="K108"/>
      <c r="L108"/>
      <c r="M108"/>
    </row>
    <row r="109" spans="1:13">
      <c r="A109"/>
      <c r="B109"/>
      <c r="C109"/>
      <c r="D109"/>
      <c r="E109"/>
      <c r="F109"/>
      <c r="G109"/>
      <c r="H109"/>
      <c r="I109"/>
      <c r="J109"/>
      <c r="K109"/>
      <c r="L109"/>
      <c r="M109"/>
    </row>
    <row r="110" spans="1:13">
      <c r="A110"/>
      <c r="B110"/>
      <c r="C110"/>
      <c r="D110"/>
      <c r="E110"/>
      <c r="F110"/>
      <c r="G110"/>
      <c r="H110"/>
      <c r="I110"/>
      <c r="J110"/>
      <c r="K110"/>
      <c r="L110"/>
      <c r="M110"/>
    </row>
    <row r="111" spans="1:13">
      <c r="A111"/>
      <c r="B111"/>
      <c r="C111"/>
      <c r="D111"/>
      <c r="E111"/>
      <c r="F111"/>
      <c r="G111"/>
      <c r="H111"/>
      <c r="I111"/>
      <c r="J111"/>
      <c r="K111"/>
      <c r="L111"/>
      <c r="M111"/>
    </row>
    <row r="112" spans="1:13">
      <c r="A112"/>
      <c r="B112"/>
      <c r="C112"/>
      <c r="D112"/>
      <c r="E112"/>
      <c r="F112"/>
      <c r="G112"/>
      <c r="H112"/>
      <c r="I112"/>
      <c r="J112"/>
      <c r="K112"/>
      <c r="L112"/>
      <c r="M112"/>
    </row>
    <row r="113" spans="1:13">
      <c r="A113"/>
      <c r="B113"/>
      <c r="C113"/>
      <c r="D113"/>
      <c r="E113"/>
      <c r="F113"/>
      <c r="G113"/>
      <c r="H113"/>
      <c r="I113"/>
      <c r="J113"/>
      <c r="K113"/>
      <c r="L113"/>
      <c r="M113"/>
    </row>
    <row r="114" spans="1:13">
      <c r="A114"/>
      <c r="B114"/>
      <c r="C114"/>
      <c r="D114"/>
      <c r="E114"/>
      <c r="F114"/>
      <c r="G114"/>
      <c r="H114"/>
      <c r="I114"/>
      <c r="J114"/>
      <c r="K114"/>
      <c r="L114"/>
      <c r="M114"/>
    </row>
    <row r="115" spans="1:13">
      <c r="A115"/>
      <c r="B115"/>
      <c r="C115"/>
      <c r="D115"/>
      <c r="E115"/>
      <c r="F115"/>
      <c r="G115"/>
      <c r="H115"/>
      <c r="I115"/>
      <c r="J115"/>
      <c r="K115"/>
      <c r="L115"/>
      <c r="M115"/>
    </row>
    <row r="116" spans="1:13">
      <c r="A116"/>
      <c r="B116"/>
      <c r="C116"/>
      <c r="D116"/>
      <c r="E116"/>
      <c r="F116"/>
      <c r="G116"/>
      <c r="H116"/>
      <c r="I116"/>
      <c r="J116"/>
      <c r="K116"/>
      <c r="L116"/>
      <c r="M116"/>
    </row>
    <row r="117" spans="1:13">
      <c r="A117"/>
      <c r="B117"/>
      <c r="C117"/>
      <c r="D117"/>
      <c r="E117"/>
      <c r="F117"/>
      <c r="G117"/>
      <c r="H117"/>
      <c r="I117"/>
      <c r="J117"/>
      <c r="K117"/>
      <c r="L117"/>
      <c r="M117"/>
    </row>
    <row r="118" spans="1:13">
      <c r="A118"/>
      <c r="B118"/>
      <c r="C118"/>
      <c r="D118"/>
      <c r="E118"/>
      <c r="F118"/>
      <c r="G118"/>
      <c r="H118"/>
      <c r="I118"/>
      <c r="J118"/>
      <c r="K118"/>
      <c r="L118"/>
      <c r="M118"/>
    </row>
    <row r="119" spans="1:13">
      <c r="A119"/>
      <c r="B119"/>
      <c r="C119"/>
      <c r="D119"/>
      <c r="E119"/>
      <c r="F119"/>
      <c r="G119"/>
      <c r="H119"/>
      <c r="I119"/>
      <c r="J119"/>
      <c r="K119"/>
      <c r="L119"/>
      <c r="M119"/>
    </row>
    <row r="120" spans="1:13">
      <c r="A120"/>
      <c r="B120"/>
      <c r="C120"/>
      <c r="D120"/>
      <c r="E120"/>
      <c r="F120"/>
      <c r="G120"/>
      <c r="H120"/>
      <c r="I120"/>
      <c r="J120"/>
      <c r="K120"/>
      <c r="L120"/>
      <c r="M120"/>
    </row>
    <row r="121" spans="1:13">
      <c r="A121"/>
      <c r="B121"/>
      <c r="C121"/>
      <c r="D121"/>
      <c r="E121"/>
      <c r="F121"/>
      <c r="G121"/>
      <c r="H121"/>
      <c r="I121"/>
      <c r="J121"/>
      <c r="K121"/>
      <c r="L121"/>
      <c r="M121"/>
    </row>
    <row r="122" spans="1:13">
      <c r="A122"/>
      <c r="B122"/>
      <c r="C122"/>
      <c r="D122"/>
      <c r="E122"/>
      <c r="F122"/>
      <c r="G122"/>
      <c r="H122"/>
      <c r="I122"/>
      <c r="J122"/>
      <c r="K122"/>
      <c r="L122"/>
      <c r="M122"/>
    </row>
    <row r="123" spans="1:13">
      <c r="A123"/>
      <c r="B123"/>
      <c r="C123"/>
      <c r="D123"/>
      <c r="E123"/>
      <c r="F123"/>
      <c r="G123"/>
      <c r="H123"/>
      <c r="I123"/>
      <c r="J123"/>
      <c r="K123"/>
      <c r="L123"/>
      <c r="M123"/>
    </row>
    <row r="124" spans="1:13">
      <c r="A124"/>
      <c r="B124"/>
      <c r="C124"/>
      <c r="D124"/>
      <c r="E124"/>
      <c r="F124"/>
      <c r="G124"/>
      <c r="H124"/>
      <c r="I124"/>
      <c r="J124"/>
      <c r="K124"/>
      <c r="L124"/>
      <c r="M124"/>
    </row>
    <row r="125" spans="1:13">
      <c r="A125"/>
      <c r="B125"/>
      <c r="C125"/>
      <c r="D125"/>
      <c r="E125"/>
      <c r="F125"/>
      <c r="G125"/>
      <c r="H125"/>
      <c r="I125"/>
      <c r="J125"/>
      <c r="K125"/>
      <c r="L125"/>
      <c r="M125"/>
    </row>
    <row r="126" spans="1:13">
      <c r="A126"/>
      <c r="B126"/>
      <c r="C126"/>
      <c r="D126"/>
      <c r="E126"/>
      <c r="F126"/>
      <c r="G126"/>
      <c r="H126"/>
      <c r="I126"/>
      <c r="J126"/>
      <c r="K126"/>
      <c r="L126"/>
      <c r="M126"/>
    </row>
    <row r="127" spans="1:13">
      <c r="A127"/>
      <c r="B127"/>
      <c r="C127"/>
      <c r="D127"/>
      <c r="E127"/>
      <c r="F127"/>
      <c r="G127"/>
      <c r="H127"/>
      <c r="I127"/>
      <c r="J127"/>
      <c r="K127"/>
      <c r="L127"/>
      <c r="M127"/>
    </row>
    <row r="128" spans="1:13">
      <c r="A128"/>
      <c r="B128"/>
      <c r="C128"/>
      <c r="D128"/>
      <c r="E128"/>
      <c r="F128"/>
      <c r="G128"/>
      <c r="H128"/>
      <c r="I128"/>
      <c r="J128"/>
      <c r="K128"/>
      <c r="L128"/>
      <c r="M128"/>
    </row>
    <row r="129" spans="1:13">
      <c r="A129"/>
      <c r="B129"/>
      <c r="C129"/>
      <c r="D129"/>
      <c r="E129"/>
      <c r="F129"/>
      <c r="G129"/>
      <c r="H129"/>
      <c r="I129"/>
      <c r="J129"/>
      <c r="K129"/>
      <c r="L129"/>
      <c r="M129"/>
    </row>
    <row r="130" spans="1:13">
      <c r="A130"/>
      <c r="B130"/>
      <c r="C130"/>
      <c r="D130"/>
      <c r="E130"/>
      <c r="F130"/>
      <c r="G130"/>
      <c r="H130"/>
      <c r="I130"/>
      <c r="J130"/>
      <c r="K130"/>
      <c r="L130"/>
      <c r="M130"/>
    </row>
    <row r="131" spans="1:13">
      <c r="A131"/>
      <c r="B131"/>
      <c r="C131"/>
      <c r="D131"/>
      <c r="E131"/>
      <c r="F131"/>
      <c r="G131"/>
      <c r="H131"/>
      <c r="I131"/>
      <c r="J131"/>
      <c r="K131"/>
      <c r="L131"/>
      <c r="M131"/>
    </row>
    <row r="132" spans="1:13">
      <c r="A132"/>
      <c r="B132"/>
      <c r="C132"/>
      <c r="D132"/>
      <c r="E132"/>
      <c r="F132"/>
      <c r="G132"/>
      <c r="H132"/>
      <c r="I132"/>
      <c r="J132"/>
      <c r="K132"/>
      <c r="L132"/>
      <c r="M132"/>
    </row>
    <row r="133" spans="1:13">
      <c r="A133"/>
      <c r="B133"/>
      <c r="C133"/>
      <c r="D133"/>
      <c r="E133"/>
      <c r="F133"/>
      <c r="G133"/>
      <c r="H133"/>
      <c r="I133"/>
      <c r="J133"/>
      <c r="K133"/>
      <c r="L133"/>
      <c r="M133"/>
    </row>
    <row r="134" spans="1:13">
      <c r="A134"/>
      <c r="B134"/>
      <c r="C134"/>
      <c r="D134"/>
      <c r="E134"/>
      <c r="F134"/>
      <c r="G134"/>
      <c r="H134"/>
      <c r="I134"/>
      <c r="J134"/>
      <c r="K134"/>
      <c r="L134"/>
      <c r="M134"/>
    </row>
    <row r="135" spans="1:13">
      <c r="A135"/>
      <c r="B135"/>
      <c r="C135"/>
      <c r="D135"/>
      <c r="E135"/>
      <c r="F135"/>
      <c r="G135"/>
      <c r="H135"/>
      <c r="I135"/>
      <c r="J135"/>
      <c r="K135"/>
      <c r="L135"/>
      <c r="M135"/>
    </row>
    <row r="136" spans="1:13">
      <c r="A136"/>
      <c r="B136"/>
      <c r="C136"/>
      <c r="D136"/>
      <c r="E136"/>
      <c r="F136"/>
      <c r="G136"/>
      <c r="H136"/>
      <c r="I136"/>
      <c r="J136"/>
      <c r="K136"/>
      <c r="L136"/>
      <c r="M136"/>
    </row>
    <row r="137" spans="1:13">
      <c r="A137"/>
      <c r="B137"/>
      <c r="C137"/>
      <c r="D137"/>
      <c r="E137"/>
      <c r="F137"/>
      <c r="G137"/>
      <c r="H137"/>
      <c r="I137"/>
      <c r="J137"/>
      <c r="K137"/>
      <c r="L137"/>
      <c r="M137"/>
    </row>
    <row r="138" spans="1:13">
      <c r="A138"/>
      <c r="B138"/>
      <c r="C138"/>
      <c r="D138"/>
      <c r="E138"/>
      <c r="F138"/>
      <c r="G138"/>
      <c r="H138"/>
      <c r="I138"/>
      <c r="J138"/>
      <c r="K138"/>
      <c r="L138"/>
      <c r="M138"/>
    </row>
    <row r="139" spans="1:13">
      <c r="A139"/>
      <c r="B139"/>
      <c r="C139"/>
      <c r="D139"/>
      <c r="E139"/>
      <c r="F139"/>
      <c r="G139"/>
      <c r="H139"/>
      <c r="I139"/>
      <c r="J139"/>
      <c r="K139"/>
      <c r="L139"/>
      <c r="M139"/>
    </row>
    <row r="140" spans="1:13">
      <c r="A140"/>
      <c r="B140"/>
      <c r="C140"/>
      <c r="D140"/>
      <c r="E140"/>
      <c r="F140"/>
      <c r="G140"/>
      <c r="H140"/>
      <c r="I140"/>
      <c r="J140"/>
      <c r="K140"/>
      <c r="L140"/>
      <c r="M140"/>
    </row>
    <row r="141" spans="1:13">
      <c r="A141"/>
      <c r="B141"/>
      <c r="C141"/>
      <c r="D141"/>
      <c r="E141"/>
      <c r="F141"/>
      <c r="G141"/>
      <c r="H141"/>
      <c r="I141"/>
      <c r="J141"/>
      <c r="K141"/>
      <c r="L141"/>
      <c r="M141"/>
    </row>
    <row r="142" spans="1:13">
      <c r="A142"/>
      <c r="B142"/>
      <c r="C142"/>
      <c r="D142"/>
      <c r="E142"/>
      <c r="F142"/>
      <c r="G142"/>
      <c r="H142"/>
      <c r="I142"/>
      <c r="J142"/>
      <c r="K142"/>
      <c r="L142"/>
      <c r="M142"/>
    </row>
    <row r="143" spans="1:13">
      <c r="A143"/>
      <c r="B143"/>
      <c r="C143"/>
      <c r="D143"/>
      <c r="E143"/>
      <c r="F143"/>
      <c r="G143"/>
      <c r="H143"/>
      <c r="I143"/>
      <c r="J143"/>
      <c r="K143"/>
      <c r="L143"/>
      <c r="M143"/>
    </row>
    <row r="144" spans="1:13">
      <c r="A144"/>
      <c r="B144"/>
      <c r="C144"/>
      <c r="D144"/>
      <c r="E144"/>
      <c r="F144"/>
      <c r="G144"/>
      <c r="H144"/>
      <c r="I144"/>
      <c r="J144"/>
      <c r="K144"/>
      <c r="L144"/>
      <c r="M144"/>
    </row>
    <row r="145" spans="1:13">
      <c r="A145"/>
      <c r="B145"/>
      <c r="C145"/>
      <c r="D145"/>
      <c r="E145"/>
      <c r="F145"/>
      <c r="G145"/>
      <c r="H145"/>
      <c r="I145"/>
      <c r="J145"/>
      <c r="K145"/>
      <c r="L145"/>
      <c r="M145"/>
    </row>
    <row r="146" spans="1:13">
      <c r="A146"/>
      <c r="B146"/>
      <c r="C146"/>
      <c r="D146"/>
      <c r="E146"/>
      <c r="F146"/>
      <c r="G146"/>
      <c r="H146"/>
      <c r="I146"/>
      <c r="J146"/>
      <c r="K146"/>
      <c r="L146"/>
      <c r="M146"/>
    </row>
    <row r="147" spans="1:13">
      <c r="A147"/>
      <c r="B147"/>
      <c r="C147"/>
      <c r="D147"/>
      <c r="E147"/>
      <c r="F147"/>
      <c r="G147"/>
      <c r="H147"/>
      <c r="I147"/>
      <c r="J147"/>
      <c r="K147"/>
      <c r="L147"/>
      <c r="M147"/>
    </row>
    <row r="148" spans="1:13">
      <c r="A148"/>
      <c r="B148"/>
      <c r="C148"/>
      <c r="D148"/>
      <c r="E148"/>
      <c r="F148"/>
      <c r="G148"/>
      <c r="H148"/>
      <c r="I148"/>
      <c r="J148"/>
      <c r="K148"/>
      <c r="L148"/>
      <c r="M148"/>
    </row>
    <row r="149" spans="1:13">
      <c r="A149"/>
      <c r="B149"/>
      <c r="C149"/>
      <c r="D149"/>
      <c r="E149"/>
      <c r="F149"/>
      <c r="G149"/>
      <c r="H149"/>
      <c r="I149"/>
      <c r="J149"/>
      <c r="K149"/>
      <c r="L149"/>
      <c r="M149"/>
    </row>
    <row r="150" spans="1:13">
      <c r="A150"/>
      <c r="B150"/>
      <c r="C150"/>
      <c r="D150"/>
      <c r="E150"/>
      <c r="F150"/>
      <c r="G150"/>
      <c r="H150"/>
      <c r="I150"/>
      <c r="J150"/>
      <c r="K150"/>
      <c r="L150"/>
      <c r="M150"/>
    </row>
    <row r="151" spans="1:13">
      <c r="A151"/>
      <c r="B151"/>
      <c r="C151"/>
      <c r="D151"/>
      <c r="E151"/>
      <c r="F151"/>
      <c r="G151"/>
      <c r="H151"/>
      <c r="I151"/>
      <c r="J151"/>
      <c r="K151"/>
      <c r="L151"/>
      <c r="M151"/>
    </row>
    <row r="152" spans="1:13">
      <c r="A152"/>
      <c r="B152"/>
      <c r="C152"/>
      <c r="D152"/>
      <c r="E152"/>
      <c r="F152"/>
      <c r="G152"/>
      <c r="H152"/>
      <c r="I152"/>
      <c r="J152"/>
      <c r="K152"/>
      <c r="L152"/>
      <c r="M152"/>
    </row>
    <row r="153" spans="1:13">
      <c r="A153"/>
      <c r="B153"/>
      <c r="C153"/>
      <c r="D153"/>
      <c r="E153"/>
      <c r="F153"/>
      <c r="G153"/>
      <c r="H153"/>
      <c r="I153"/>
      <c r="J153"/>
      <c r="K153"/>
      <c r="L153"/>
      <c r="M153"/>
    </row>
    <row r="154" spans="1:13">
      <c r="A154"/>
      <c r="B154"/>
      <c r="C154"/>
      <c r="D154"/>
      <c r="E154"/>
      <c r="F154"/>
      <c r="G154"/>
      <c r="H154"/>
      <c r="I154"/>
      <c r="J154"/>
      <c r="K154"/>
      <c r="L154"/>
      <c r="M154"/>
    </row>
    <row r="155" spans="1:13">
      <c r="A155"/>
      <c r="B155"/>
      <c r="C155"/>
      <c r="D155"/>
      <c r="E155"/>
      <c r="F155"/>
      <c r="G155"/>
      <c r="H155"/>
      <c r="I155"/>
      <c r="J155"/>
      <c r="K155"/>
      <c r="L155"/>
      <c r="M155"/>
    </row>
    <row r="156" spans="1:13">
      <c r="A156"/>
      <c r="B156"/>
      <c r="C156"/>
      <c r="D156"/>
      <c r="E156"/>
      <c r="F156"/>
      <c r="G156"/>
      <c r="H156"/>
      <c r="I156"/>
      <c r="J156"/>
      <c r="K156"/>
      <c r="L156"/>
      <c r="M156"/>
    </row>
    <row r="157" spans="1:13">
      <c r="A157"/>
      <c r="B157"/>
      <c r="C157"/>
      <c r="D157"/>
      <c r="E157"/>
      <c r="F157"/>
      <c r="G157"/>
      <c r="H157"/>
      <c r="I157"/>
      <c r="J157"/>
      <c r="K157"/>
      <c r="L157"/>
      <c r="M157"/>
    </row>
    <row r="158" spans="1:13">
      <c r="A158"/>
      <c r="B158"/>
      <c r="C158"/>
      <c r="D158"/>
      <c r="E158"/>
      <c r="F158"/>
      <c r="G158"/>
      <c r="H158"/>
      <c r="I158"/>
      <c r="J158"/>
      <c r="K158"/>
      <c r="L158"/>
      <c r="M158"/>
    </row>
    <row r="159" spans="1:13">
      <c r="A159"/>
      <c r="B159"/>
      <c r="C159"/>
      <c r="D159"/>
      <c r="E159"/>
      <c r="F159"/>
      <c r="G159"/>
      <c r="H159"/>
      <c r="I159"/>
      <c r="J159"/>
      <c r="K159"/>
      <c r="L159"/>
      <c r="M159"/>
    </row>
    <row r="160" spans="1:13">
      <c r="A160"/>
      <c r="B160"/>
      <c r="C160"/>
      <c r="D160"/>
      <c r="E160"/>
      <c r="F160"/>
      <c r="G160"/>
      <c r="H160"/>
      <c r="I160"/>
      <c r="J160"/>
      <c r="K160"/>
      <c r="L160"/>
      <c r="M160"/>
    </row>
    <row r="161" spans="1:13">
      <c r="A161"/>
      <c r="B161"/>
      <c r="C161"/>
      <c r="D161"/>
      <c r="E161"/>
      <c r="F161"/>
      <c r="G161"/>
      <c r="H161"/>
      <c r="I161"/>
      <c r="J161"/>
      <c r="K161"/>
      <c r="L161"/>
      <c r="M161"/>
    </row>
    <row r="162" spans="1:13">
      <c r="A162"/>
      <c r="B162"/>
      <c r="C162"/>
      <c r="D162"/>
      <c r="E162"/>
      <c r="F162"/>
      <c r="G162"/>
      <c r="H162"/>
      <c r="I162"/>
      <c r="J162"/>
      <c r="K162"/>
      <c r="L162"/>
      <c r="M162"/>
    </row>
    <row r="163" spans="1:13">
      <c r="A163"/>
      <c r="B163"/>
      <c r="C163"/>
      <c r="D163"/>
      <c r="E163"/>
      <c r="F163"/>
      <c r="G163"/>
      <c r="H163"/>
      <c r="I163"/>
      <c r="J163"/>
      <c r="K163"/>
      <c r="L163"/>
      <c r="M163"/>
    </row>
    <row r="164" spans="1:13">
      <c r="A164"/>
      <c r="B164"/>
      <c r="C164"/>
      <c r="D164"/>
      <c r="E164"/>
      <c r="F164"/>
      <c r="G164"/>
      <c r="H164"/>
      <c r="I164"/>
      <c r="J164"/>
      <c r="K164"/>
      <c r="L164"/>
      <c r="M164"/>
    </row>
    <row r="165" spans="1:13">
      <c r="A165"/>
      <c r="B165"/>
      <c r="C165"/>
      <c r="D165"/>
      <c r="E165"/>
      <c r="F165"/>
      <c r="G165"/>
      <c r="H165"/>
      <c r="I165"/>
      <c r="J165"/>
      <c r="K165"/>
      <c r="L165"/>
      <c r="M165"/>
    </row>
    <row r="166" spans="1:13">
      <c r="A166"/>
      <c r="B166"/>
      <c r="C166"/>
      <c r="D166"/>
      <c r="E166"/>
      <c r="F166"/>
      <c r="G166"/>
      <c r="H166"/>
      <c r="I166"/>
      <c r="J166"/>
      <c r="K166"/>
      <c r="L166"/>
      <c r="M166"/>
    </row>
    <row r="167" spans="1:13">
      <c r="A167"/>
      <c r="B167"/>
      <c r="C167"/>
      <c r="D167"/>
      <c r="E167"/>
      <c r="F167"/>
      <c r="G167"/>
      <c r="H167"/>
      <c r="I167"/>
      <c r="J167"/>
      <c r="K167"/>
      <c r="L167"/>
      <c r="M167"/>
    </row>
    <row r="168" spans="1:13">
      <c r="A168"/>
      <c r="B168"/>
      <c r="C168"/>
      <c r="D168"/>
      <c r="E168"/>
      <c r="F168"/>
      <c r="G168"/>
      <c r="H168"/>
      <c r="I168"/>
      <c r="J168"/>
      <c r="K168"/>
      <c r="L168"/>
      <c r="M168"/>
    </row>
    <row r="169" spans="1:13">
      <c r="A169"/>
      <c r="B169"/>
      <c r="C169"/>
      <c r="D169"/>
      <c r="E169"/>
      <c r="F169"/>
      <c r="G169"/>
      <c r="H169"/>
      <c r="I169"/>
      <c r="J169"/>
      <c r="K169"/>
      <c r="L169"/>
      <c r="M169"/>
    </row>
    <row r="170" spans="1:13">
      <c r="A170"/>
      <c r="B170"/>
      <c r="C170"/>
      <c r="D170"/>
      <c r="E170"/>
      <c r="F170"/>
      <c r="G170"/>
      <c r="H170"/>
      <c r="I170"/>
      <c r="J170"/>
      <c r="K170"/>
      <c r="L170"/>
      <c r="M170"/>
    </row>
    <row r="171" spans="1:13">
      <c r="A171"/>
      <c r="B171"/>
      <c r="C171"/>
      <c r="D171"/>
      <c r="E171"/>
      <c r="F171"/>
      <c r="G171"/>
      <c r="H171"/>
      <c r="I171"/>
      <c r="J171"/>
      <c r="K171"/>
      <c r="L171"/>
      <c r="M171"/>
    </row>
    <row r="172" spans="1:13">
      <c r="A172"/>
      <c r="B172"/>
      <c r="C172"/>
      <c r="D172"/>
      <c r="E172"/>
      <c r="F172"/>
      <c r="G172"/>
      <c r="H172"/>
      <c r="I172"/>
      <c r="J172"/>
      <c r="K172"/>
      <c r="L172"/>
      <c r="M172"/>
    </row>
    <row r="173" spans="1:13">
      <c r="A173"/>
      <c r="B173"/>
      <c r="C173"/>
      <c r="D173"/>
      <c r="E173"/>
      <c r="F173"/>
      <c r="G173"/>
      <c r="H173"/>
      <c r="I173"/>
      <c r="J173"/>
      <c r="K173"/>
      <c r="L173"/>
      <c r="M173"/>
    </row>
    <row r="174" spans="1:13">
      <c r="A174"/>
      <c r="B174"/>
      <c r="C174"/>
      <c r="D174"/>
      <c r="E174"/>
      <c r="F174"/>
      <c r="G174"/>
      <c r="H174"/>
      <c r="I174"/>
      <c r="J174"/>
      <c r="K174"/>
      <c r="L174"/>
      <c r="M174"/>
    </row>
    <row r="175" spans="1:13">
      <c r="A175"/>
      <c r="B175"/>
      <c r="C175"/>
      <c r="D175"/>
      <c r="E175"/>
      <c r="F175"/>
      <c r="G175"/>
      <c r="H175"/>
      <c r="I175"/>
      <c r="J175"/>
      <c r="K175"/>
      <c r="L175"/>
      <c r="M175"/>
    </row>
    <row r="176" spans="1:13">
      <c r="A176"/>
      <c r="B176"/>
      <c r="C176"/>
      <c r="D176"/>
      <c r="E176"/>
      <c r="F176"/>
      <c r="G176"/>
      <c r="H176"/>
      <c r="I176"/>
      <c r="J176"/>
      <c r="K176"/>
      <c r="L176"/>
      <c r="M176"/>
    </row>
    <row r="177" spans="1:13">
      <c r="A177"/>
      <c r="B177"/>
      <c r="C177"/>
      <c r="D177"/>
      <c r="E177"/>
      <c r="F177"/>
      <c r="G177"/>
      <c r="H177"/>
      <c r="I177"/>
      <c r="J177"/>
      <c r="K177"/>
      <c r="L177"/>
      <c r="M177"/>
    </row>
    <row r="178" spans="1:13">
      <c r="A178"/>
      <c r="B178"/>
      <c r="C178"/>
      <c r="D178"/>
      <c r="E178"/>
      <c r="F178"/>
      <c r="G178"/>
      <c r="H178"/>
      <c r="I178"/>
      <c r="J178"/>
      <c r="K178"/>
      <c r="L178"/>
      <c r="M178"/>
    </row>
    <row r="179" spans="1:13">
      <c r="A179"/>
      <c r="B179"/>
      <c r="C179"/>
      <c r="D179"/>
      <c r="E179"/>
      <c r="F179"/>
      <c r="G179"/>
      <c r="H179"/>
      <c r="I179"/>
      <c r="J179"/>
      <c r="K179"/>
      <c r="L179"/>
      <c r="M179"/>
    </row>
    <row r="180" spans="1:13">
      <c r="A180"/>
      <c r="B180"/>
      <c r="C180"/>
      <c r="D180"/>
      <c r="E180"/>
      <c r="F180"/>
      <c r="G180"/>
      <c r="H180"/>
      <c r="I180"/>
      <c r="J180"/>
      <c r="K180"/>
      <c r="L180"/>
      <c r="M180"/>
    </row>
    <row r="181" spans="1:13">
      <c r="A181"/>
      <c r="B181"/>
      <c r="C181"/>
      <c r="D181"/>
      <c r="E181"/>
      <c r="F181"/>
      <c r="G181"/>
      <c r="H181"/>
      <c r="I181"/>
      <c r="J181"/>
      <c r="K181"/>
      <c r="L181"/>
      <c r="M181"/>
    </row>
    <row r="182" spans="1:13">
      <c r="A182"/>
      <c r="B182"/>
      <c r="C182"/>
      <c r="D182"/>
      <c r="E182"/>
      <c r="F182"/>
      <c r="G182"/>
      <c r="H182"/>
      <c r="I182"/>
      <c r="J182"/>
      <c r="K182"/>
      <c r="L182"/>
      <c r="M182"/>
    </row>
    <row r="183" spans="1:13">
      <c r="A183"/>
      <c r="B183"/>
      <c r="C183"/>
      <c r="D183"/>
      <c r="E183"/>
      <c r="F183"/>
      <c r="G183"/>
      <c r="H183"/>
      <c r="I183"/>
      <c r="J183"/>
      <c r="K183"/>
      <c r="L183"/>
      <c r="M183"/>
    </row>
    <row r="184" spans="1:13">
      <c r="A184"/>
      <c r="B184"/>
      <c r="C184"/>
      <c r="D184"/>
      <c r="E184"/>
      <c r="F184"/>
      <c r="G184"/>
      <c r="H184"/>
      <c r="I184"/>
      <c r="J184"/>
      <c r="K184"/>
      <c r="L184"/>
      <c r="M184"/>
    </row>
    <row r="185" spans="1:13">
      <c r="A185"/>
      <c r="B185"/>
      <c r="C185"/>
      <c r="D185"/>
      <c r="E185"/>
      <c r="F185"/>
      <c r="G185"/>
      <c r="H185"/>
      <c r="I185"/>
      <c r="J185"/>
      <c r="K185"/>
      <c r="L185"/>
      <c r="M185"/>
    </row>
    <row r="186" spans="1:13">
      <c r="A186"/>
      <c r="B186"/>
      <c r="C186"/>
      <c r="D186"/>
      <c r="E186"/>
      <c r="F186"/>
      <c r="G186"/>
      <c r="H186"/>
      <c r="I186"/>
      <c r="J186"/>
      <c r="K186"/>
      <c r="L186"/>
      <c r="M186"/>
    </row>
    <row r="187" spans="1:13">
      <c r="A187"/>
      <c r="B187"/>
      <c r="C187"/>
      <c r="D187"/>
      <c r="E187"/>
      <c r="F187"/>
      <c r="G187"/>
      <c r="H187"/>
      <c r="I187"/>
      <c r="J187"/>
      <c r="K187"/>
      <c r="L187"/>
      <c r="M187"/>
    </row>
    <row r="188" spans="1:13">
      <c r="A188"/>
      <c r="B188"/>
      <c r="C188"/>
      <c r="D188"/>
      <c r="E188"/>
      <c r="F188"/>
      <c r="G188"/>
      <c r="H188"/>
      <c r="I188"/>
      <c r="J188"/>
      <c r="K188"/>
      <c r="L188"/>
      <c r="M188"/>
    </row>
    <row r="189" spans="1:13">
      <c r="A189"/>
      <c r="B189"/>
      <c r="C189"/>
      <c r="D189"/>
      <c r="E189"/>
      <c r="F189"/>
      <c r="G189"/>
      <c r="H189"/>
      <c r="I189"/>
      <c r="J189"/>
      <c r="K189"/>
      <c r="L189"/>
      <c r="M189"/>
    </row>
    <row r="190" spans="1:13">
      <c r="A190"/>
      <c r="B190"/>
      <c r="C190"/>
      <c r="D190"/>
      <c r="E190"/>
      <c r="F190"/>
      <c r="G190"/>
      <c r="H190"/>
      <c r="I190"/>
      <c r="J190"/>
      <c r="K190"/>
      <c r="L190"/>
      <c r="M190"/>
    </row>
    <row r="191" spans="1:13">
      <c r="A191"/>
      <c r="B191"/>
      <c r="C191"/>
      <c r="D191"/>
      <c r="E191"/>
      <c r="F191"/>
      <c r="G191"/>
      <c r="H191"/>
      <c r="I191"/>
      <c r="J191"/>
      <c r="K191"/>
      <c r="L191"/>
      <c r="M191"/>
    </row>
    <row r="192" spans="1:13">
      <c r="A192"/>
      <c r="B192"/>
      <c r="C192"/>
      <c r="D192"/>
      <c r="E192"/>
      <c r="F192"/>
      <c r="G192"/>
      <c r="H192"/>
      <c r="I192"/>
      <c r="J192"/>
      <c r="K192"/>
      <c r="L192"/>
      <c r="M192"/>
    </row>
    <row r="193" spans="1:13">
      <c r="A193"/>
      <c r="B193"/>
      <c r="C193"/>
      <c r="D193"/>
      <c r="E193"/>
      <c r="F193"/>
      <c r="G193"/>
      <c r="H193"/>
      <c r="I193"/>
      <c r="J193"/>
      <c r="K193"/>
      <c r="L193"/>
      <c r="M193"/>
    </row>
    <row r="194" spans="1:13">
      <c r="A194"/>
      <c r="B194"/>
      <c r="C194"/>
      <c r="D194"/>
      <c r="E194"/>
      <c r="F194"/>
      <c r="G194"/>
      <c r="H194"/>
      <c r="I194"/>
      <c r="J194"/>
      <c r="K194"/>
      <c r="L194"/>
      <c r="M194"/>
    </row>
    <row r="195" spans="1:13">
      <c r="A195"/>
      <c r="B195"/>
      <c r="C195"/>
      <c r="D195"/>
      <c r="E195"/>
      <c r="F195"/>
      <c r="G195"/>
      <c r="H195"/>
      <c r="I195"/>
      <c r="J195"/>
      <c r="K195"/>
      <c r="L195"/>
      <c r="M195"/>
    </row>
    <row r="196" spans="1:13">
      <c r="A196"/>
      <c r="B196"/>
      <c r="C196"/>
      <c r="D196"/>
      <c r="E196"/>
      <c r="F196"/>
      <c r="G196"/>
      <c r="H196"/>
      <c r="I196"/>
      <c r="J196"/>
      <c r="K196"/>
      <c r="L196"/>
      <c r="M196"/>
    </row>
    <row r="197" spans="1:13">
      <c r="A197"/>
      <c r="B197"/>
      <c r="C197"/>
      <c r="D197"/>
      <c r="E197"/>
      <c r="F197"/>
      <c r="G197"/>
      <c r="H197"/>
      <c r="I197"/>
      <c r="J197"/>
      <c r="K197"/>
      <c r="L197"/>
      <c r="M197"/>
    </row>
    <row r="198" spans="1:13">
      <c r="A198"/>
      <c r="B198"/>
      <c r="C198"/>
      <c r="D198"/>
      <c r="E198"/>
      <c r="F198"/>
      <c r="G198"/>
      <c r="H198"/>
      <c r="I198"/>
      <c r="J198"/>
      <c r="K198"/>
      <c r="L198"/>
      <c r="M198"/>
    </row>
    <row r="199" spans="1:13">
      <c r="A199"/>
      <c r="B199"/>
      <c r="C199"/>
      <c r="D199"/>
      <c r="E199"/>
      <c r="F199"/>
      <c r="G199"/>
      <c r="H199"/>
      <c r="I199"/>
      <c r="J199"/>
      <c r="K199"/>
      <c r="L199"/>
      <c r="M199"/>
    </row>
    <row r="200" spans="1:13">
      <c r="A200"/>
      <c r="B200"/>
      <c r="C200"/>
      <c r="D200"/>
      <c r="E200"/>
      <c r="F200"/>
      <c r="G200"/>
      <c r="H200"/>
      <c r="I200"/>
      <c r="J200"/>
      <c r="K200"/>
      <c r="L200"/>
      <c r="M200"/>
    </row>
    <row r="201" spans="1:13">
      <c r="A201"/>
      <c r="B201"/>
      <c r="C201"/>
      <c r="D201"/>
      <c r="E201"/>
      <c r="F201"/>
      <c r="G201"/>
      <c r="H201"/>
      <c r="I201"/>
      <c r="J201"/>
      <c r="K201"/>
      <c r="L201"/>
      <c r="M201"/>
    </row>
    <row r="202" spans="1:13">
      <c r="A202"/>
      <c r="B202"/>
      <c r="C202"/>
      <c r="D202"/>
      <c r="E202"/>
      <c r="F202"/>
      <c r="G202"/>
      <c r="H202"/>
      <c r="I202"/>
      <c r="J202"/>
      <c r="K202"/>
      <c r="L202"/>
      <c r="M202"/>
    </row>
    <row r="203" spans="1:13">
      <c r="A203"/>
      <c r="B203"/>
      <c r="C203"/>
      <c r="D203"/>
      <c r="E203"/>
      <c r="F203"/>
      <c r="G203"/>
      <c r="H203"/>
      <c r="I203"/>
      <c r="J203"/>
      <c r="K203"/>
      <c r="L203"/>
      <c r="M203"/>
    </row>
    <row r="204" spans="1:13">
      <c r="A204"/>
      <c r="B204"/>
      <c r="C204"/>
      <c r="D204"/>
      <c r="E204"/>
      <c r="F204"/>
      <c r="G204"/>
      <c r="H204"/>
      <c r="I204"/>
      <c r="J204"/>
      <c r="K204"/>
      <c r="L204"/>
      <c r="M204"/>
    </row>
    <row r="205" spans="1:13">
      <c r="A205"/>
      <c r="B205"/>
      <c r="C205"/>
      <c r="D205"/>
      <c r="E205"/>
      <c r="F205"/>
      <c r="G205"/>
      <c r="H205"/>
      <c r="I205"/>
      <c r="J205"/>
      <c r="K205"/>
      <c r="L205"/>
      <c r="M205"/>
    </row>
    <row r="206" spans="1:13">
      <c r="A206"/>
      <c r="B206"/>
      <c r="C206"/>
      <c r="D206"/>
      <c r="E206"/>
      <c r="F206"/>
      <c r="G206"/>
      <c r="H206"/>
      <c r="I206"/>
      <c r="J206"/>
      <c r="K206"/>
      <c r="L206"/>
      <c r="M206"/>
    </row>
    <row r="207" spans="1:13">
      <c r="A207"/>
      <c r="B207"/>
      <c r="C207"/>
      <c r="D207"/>
      <c r="E207"/>
      <c r="F207"/>
      <c r="G207"/>
      <c r="H207"/>
      <c r="I207"/>
      <c r="J207"/>
      <c r="K207"/>
      <c r="L207"/>
      <c r="M207"/>
    </row>
    <row r="208" spans="1:13">
      <c r="A208"/>
      <c r="B208"/>
      <c r="C208"/>
      <c r="D208"/>
      <c r="E208"/>
      <c r="F208"/>
      <c r="G208"/>
      <c r="H208"/>
      <c r="I208"/>
      <c r="J208"/>
      <c r="K208"/>
      <c r="L208"/>
      <c r="M208"/>
    </row>
    <row r="209" spans="1:13">
      <c r="A209"/>
      <c r="B209"/>
      <c r="C209"/>
      <c r="D209"/>
      <c r="E209"/>
      <c r="F209"/>
      <c r="G209"/>
      <c r="H209"/>
      <c r="I209"/>
      <c r="J209"/>
      <c r="K209"/>
      <c r="L209"/>
      <c r="M209"/>
    </row>
    <row r="210" spans="1:13">
      <c r="A210"/>
      <c r="B210"/>
      <c r="C210"/>
      <c r="D210"/>
      <c r="E210"/>
      <c r="F210"/>
      <c r="G210"/>
      <c r="H210"/>
      <c r="I210"/>
      <c r="J210"/>
      <c r="K210"/>
      <c r="L210"/>
      <c r="M210"/>
    </row>
    <row r="211" spans="1:13">
      <c r="A211"/>
      <c r="B211"/>
      <c r="C211"/>
      <c r="D211"/>
      <c r="E211"/>
      <c r="F211"/>
      <c r="G211"/>
      <c r="H211"/>
      <c r="I211"/>
      <c r="J211"/>
      <c r="K211"/>
      <c r="L211"/>
      <c r="M211"/>
    </row>
    <row r="212" spans="1:13">
      <c r="A212"/>
      <c r="B212"/>
      <c r="C212"/>
      <c r="D212"/>
      <c r="E212"/>
      <c r="F212"/>
      <c r="G212"/>
      <c r="H212"/>
      <c r="I212"/>
      <c r="J212"/>
      <c r="K212"/>
      <c r="L212"/>
      <c r="M212"/>
    </row>
    <row r="213" spans="1:13">
      <c r="A213"/>
      <c r="B213"/>
      <c r="C213"/>
      <c r="D213"/>
      <c r="E213"/>
      <c r="F213"/>
      <c r="G213"/>
      <c r="H213"/>
      <c r="I213"/>
      <c r="J213"/>
      <c r="K213"/>
      <c r="L213"/>
      <c r="M213"/>
    </row>
    <row r="214" spans="1:13">
      <c r="A214"/>
      <c r="B214"/>
      <c r="C214"/>
      <c r="D214"/>
      <c r="E214"/>
      <c r="F214"/>
      <c r="G214"/>
      <c r="H214"/>
      <c r="I214"/>
      <c r="J214"/>
      <c r="K214"/>
      <c r="L214"/>
      <c r="M214"/>
    </row>
    <row r="215" spans="1:13">
      <c r="A215"/>
      <c r="B215"/>
      <c r="C215"/>
      <c r="D215"/>
      <c r="E215"/>
      <c r="F215"/>
      <c r="G215"/>
      <c r="H215"/>
      <c r="I215"/>
      <c r="J215"/>
      <c r="K215"/>
      <c r="L215"/>
      <c r="M215"/>
    </row>
    <row r="216" spans="1:13">
      <c r="A216"/>
      <c r="B216"/>
      <c r="C216"/>
      <c r="D216"/>
      <c r="E216"/>
      <c r="F216"/>
      <c r="G216"/>
      <c r="H216"/>
      <c r="I216"/>
      <c r="J216"/>
      <c r="K216"/>
      <c r="L216"/>
      <c r="M216"/>
    </row>
    <row r="217" spans="1:13">
      <c r="A217"/>
      <c r="B217"/>
      <c r="C217"/>
      <c r="D217"/>
      <c r="E217"/>
      <c r="F217"/>
      <c r="G217"/>
      <c r="H217"/>
      <c r="I217"/>
      <c r="J217"/>
      <c r="K217"/>
      <c r="L217"/>
      <c r="M217"/>
    </row>
    <row r="218" spans="1:13">
      <c r="A218"/>
      <c r="B218"/>
      <c r="C218"/>
      <c r="D218"/>
      <c r="E218"/>
      <c r="F218"/>
      <c r="G218"/>
      <c r="H218"/>
      <c r="I218"/>
      <c r="J218"/>
      <c r="K218"/>
      <c r="L218"/>
      <c r="M218"/>
    </row>
    <row r="219" spans="1:13">
      <c r="A219"/>
      <c r="B219"/>
      <c r="C219"/>
      <c r="D219"/>
      <c r="E219"/>
      <c r="F219"/>
      <c r="G219"/>
      <c r="H219"/>
      <c r="I219"/>
      <c r="J219"/>
      <c r="K219"/>
      <c r="L219"/>
      <c r="M219"/>
    </row>
    <row r="220" spans="1:13">
      <c r="A220"/>
      <c r="B220"/>
      <c r="C220"/>
      <c r="D220"/>
      <c r="E220"/>
      <c r="F220"/>
      <c r="G220"/>
      <c r="H220"/>
      <c r="I220"/>
      <c r="J220"/>
      <c r="K220"/>
      <c r="L220"/>
      <c r="M220"/>
    </row>
    <row r="221" spans="1:13">
      <c r="A221"/>
      <c r="B221"/>
      <c r="C221"/>
      <c r="D221"/>
      <c r="E221"/>
      <c r="F221"/>
      <c r="G221"/>
      <c r="H221"/>
      <c r="I221"/>
      <c r="J221"/>
      <c r="K221"/>
      <c r="L221"/>
      <c r="M221"/>
    </row>
    <row r="222" spans="1:13">
      <c r="A222"/>
      <c r="B222"/>
      <c r="C222"/>
      <c r="D222"/>
      <c r="E222"/>
      <c r="F222"/>
      <c r="G222"/>
      <c r="H222"/>
      <c r="I222"/>
      <c r="J222"/>
      <c r="K222"/>
      <c r="L222"/>
      <c r="M222"/>
    </row>
    <row r="223" spans="1:13">
      <c r="A223"/>
      <c r="B223"/>
      <c r="C223"/>
      <c r="D223"/>
      <c r="E223"/>
      <c r="F223"/>
      <c r="G223"/>
      <c r="H223"/>
      <c r="I223"/>
      <c r="J223"/>
      <c r="K223"/>
      <c r="L223"/>
      <c r="M223"/>
    </row>
    <row r="224" spans="1:13">
      <c r="A224"/>
      <c r="B224"/>
      <c r="C224"/>
      <c r="D224"/>
      <c r="E224"/>
      <c r="F224"/>
      <c r="G224"/>
      <c r="H224"/>
      <c r="I224"/>
      <c r="J224"/>
      <c r="K224"/>
      <c r="L224"/>
      <c r="M224"/>
    </row>
    <row r="225" spans="1:13">
      <c r="A225"/>
      <c r="B225"/>
      <c r="C225"/>
      <c r="D225"/>
      <c r="E225"/>
      <c r="F225"/>
      <c r="G225"/>
      <c r="H225"/>
      <c r="I225"/>
      <c r="J225"/>
      <c r="K225"/>
      <c r="L225"/>
      <c r="M225"/>
    </row>
    <row r="226" spans="1:13">
      <c r="A226"/>
      <c r="B226"/>
      <c r="C226"/>
      <c r="D226"/>
      <c r="E226"/>
      <c r="F226"/>
      <c r="G226"/>
      <c r="H226"/>
      <c r="I226"/>
      <c r="J226"/>
      <c r="K226"/>
      <c r="L226"/>
      <c r="M226"/>
    </row>
    <row r="227" spans="1:13">
      <c r="A227"/>
      <c r="B227"/>
      <c r="C227"/>
      <c r="D227"/>
      <c r="E227"/>
      <c r="F227"/>
      <c r="G227"/>
      <c r="H227"/>
      <c r="I227"/>
      <c r="J227"/>
      <c r="K227"/>
      <c r="L227"/>
      <c r="M227"/>
    </row>
    <row r="228" spans="1:13">
      <c r="A228"/>
      <c r="B228"/>
      <c r="C228"/>
      <c r="D228"/>
      <c r="E228"/>
      <c r="F228"/>
      <c r="G228"/>
      <c r="H228"/>
      <c r="I228"/>
      <c r="J228"/>
      <c r="K228"/>
      <c r="L228"/>
      <c r="M228"/>
    </row>
    <row r="229" spans="1:13">
      <c r="A229"/>
      <c r="B229"/>
      <c r="C229"/>
      <c r="D229"/>
      <c r="E229"/>
      <c r="F229"/>
      <c r="G229"/>
      <c r="H229"/>
      <c r="I229"/>
      <c r="J229"/>
      <c r="K229"/>
      <c r="L229"/>
      <c r="M229"/>
    </row>
    <row r="230" spans="1:13">
      <c r="A230"/>
      <c r="B230"/>
      <c r="C230"/>
      <c r="D230"/>
      <c r="E230"/>
      <c r="F230"/>
      <c r="G230"/>
      <c r="H230"/>
      <c r="I230"/>
      <c r="J230"/>
      <c r="K230"/>
      <c r="L230"/>
      <c r="M230"/>
    </row>
    <row r="231" spans="1:13">
      <c r="A231"/>
      <c r="B231"/>
      <c r="C231"/>
      <c r="D231"/>
      <c r="E231"/>
      <c r="F231"/>
      <c r="G231"/>
      <c r="H231"/>
      <c r="I231"/>
      <c r="J231"/>
      <c r="K231"/>
      <c r="L231"/>
      <c r="M231"/>
    </row>
    <row r="232" spans="1:13">
      <c r="A232"/>
      <c r="B232"/>
      <c r="C232"/>
      <c r="D232"/>
      <c r="E232"/>
      <c r="F232"/>
      <c r="G232"/>
      <c r="H232"/>
      <c r="I232"/>
      <c r="J232"/>
      <c r="K232"/>
      <c r="L232"/>
      <c r="M232"/>
    </row>
    <row r="233" spans="1:13">
      <c r="A233"/>
      <c r="B233"/>
      <c r="C233"/>
      <c r="D233"/>
      <c r="E233"/>
      <c r="F233"/>
      <c r="G233"/>
      <c r="H233"/>
      <c r="I233"/>
      <c r="J233"/>
      <c r="K233"/>
      <c r="L233"/>
      <c r="M233"/>
    </row>
    <row r="234" spans="1:13">
      <c r="A234"/>
      <c r="B234"/>
      <c r="C234"/>
      <c r="D234"/>
      <c r="E234"/>
      <c r="F234"/>
      <c r="G234"/>
      <c r="H234"/>
      <c r="I234"/>
      <c r="J234"/>
      <c r="K234"/>
      <c r="L234"/>
      <c r="M234"/>
    </row>
    <row r="235" spans="1:13">
      <c r="A235"/>
      <c r="B235"/>
      <c r="C235"/>
      <c r="D235"/>
      <c r="E235"/>
      <c r="F235"/>
      <c r="G235"/>
      <c r="H235"/>
      <c r="I235"/>
      <c r="J235"/>
      <c r="K235"/>
      <c r="L235"/>
      <c r="M235"/>
    </row>
    <row r="236" spans="1:13">
      <c r="A236"/>
      <c r="B236"/>
      <c r="C236"/>
      <c r="D236"/>
      <c r="E236"/>
      <c r="F236"/>
      <c r="G236"/>
      <c r="H236"/>
      <c r="I236"/>
      <c r="J236"/>
      <c r="K236"/>
      <c r="L236"/>
      <c r="M236"/>
    </row>
    <row r="237" spans="1:13">
      <c r="A237"/>
      <c r="B237"/>
      <c r="C237"/>
      <c r="D237"/>
      <c r="E237"/>
      <c r="F237"/>
      <c r="G237"/>
      <c r="H237"/>
      <c r="I237"/>
      <c r="J237"/>
      <c r="K237"/>
      <c r="L237"/>
      <c r="M237"/>
    </row>
    <row r="238" spans="1:13">
      <c r="A238"/>
      <c r="B238"/>
      <c r="C238"/>
      <c r="D238"/>
      <c r="E238"/>
      <c r="F238"/>
      <c r="G238"/>
      <c r="H238"/>
      <c r="I238"/>
      <c r="J238"/>
      <c r="K238"/>
      <c r="L238"/>
      <c r="M238"/>
    </row>
    <row r="239" spans="1:13">
      <c r="A239"/>
      <c r="B239"/>
      <c r="C239"/>
      <c r="D239"/>
      <c r="E239"/>
      <c r="F239"/>
      <c r="G239"/>
      <c r="H239"/>
      <c r="I239"/>
      <c r="J239"/>
      <c r="K239"/>
      <c r="L239"/>
      <c r="M239"/>
    </row>
    <row r="240" spans="1:13">
      <c r="A240"/>
      <c r="B240"/>
      <c r="C240"/>
      <c r="D240"/>
      <c r="E240"/>
      <c r="F240"/>
      <c r="G240"/>
      <c r="H240"/>
      <c r="I240"/>
      <c r="J240"/>
      <c r="K240"/>
      <c r="L240"/>
      <c r="M240"/>
    </row>
    <row r="241" spans="1:13">
      <c r="A241"/>
      <c r="B241"/>
      <c r="C241"/>
      <c r="D241"/>
      <c r="E241"/>
      <c r="F241"/>
      <c r="G241"/>
      <c r="H241"/>
      <c r="I241"/>
      <c r="J241"/>
      <c r="K241"/>
      <c r="L241"/>
      <c r="M241"/>
    </row>
    <row r="242" spans="1:13">
      <c r="A242"/>
      <c r="B242"/>
      <c r="C242"/>
      <c r="D242"/>
      <c r="E242"/>
      <c r="F242"/>
      <c r="G242"/>
      <c r="H242"/>
      <c r="I242"/>
      <c r="J242"/>
      <c r="K242"/>
      <c r="L242"/>
      <c r="M242"/>
    </row>
    <row r="243" spans="1:13">
      <c r="A243"/>
      <c r="B243"/>
      <c r="C243"/>
      <c r="D243"/>
      <c r="E243"/>
      <c r="F243"/>
      <c r="G243"/>
      <c r="H243"/>
      <c r="I243"/>
      <c r="J243"/>
      <c r="K243"/>
      <c r="L243"/>
      <c r="M243"/>
    </row>
    <row r="244" spans="1:13">
      <c r="A244"/>
      <c r="B244"/>
      <c r="C244"/>
      <c r="D244"/>
      <c r="E244"/>
      <c r="F244"/>
      <c r="G244"/>
      <c r="H244"/>
      <c r="I244"/>
      <c r="J244"/>
      <c r="K244"/>
      <c r="L244"/>
      <c r="M244"/>
    </row>
    <row r="245" spans="1:13">
      <c r="A245"/>
      <c r="B245"/>
      <c r="C245"/>
      <c r="D245"/>
      <c r="E245"/>
      <c r="F245"/>
      <c r="G245"/>
      <c r="H245"/>
      <c r="I245"/>
      <c r="J245"/>
      <c r="K245"/>
      <c r="L245"/>
      <c r="M245"/>
    </row>
    <row r="246" spans="1:13">
      <c r="A246"/>
      <c r="B246"/>
      <c r="C246"/>
      <c r="D246"/>
      <c r="E246"/>
      <c r="F246"/>
      <c r="G246"/>
      <c r="H246"/>
      <c r="I246"/>
      <c r="J246"/>
      <c r="K246"/>
      <c r="L246"/>
      <c r="M246"/>
    </row>
    <row r="247" spans="1:13">
      <c r="A247"/>
      <c r="B247"/>
      <c r="C247"/>
      <c r="D247"/>
      <c r="E247"/>
      <c r="F247"/>
      <c r="G247"/>
      <c r="H247"/>
      <c r="I247"/>
      <c r="J247"/>
      <c r="K247"/>
      <c r="L247"/>
      <c r="M247"/>
    </row>
    <row r="248" spans="1:13">
      <c r="A248"/>
      <c r="B248"/>
      <c r="C248"/>
      <c r="D248"/>
      <c r="E248"/>
      <c r="F248"/>
      <c r="G248"/>
      <c r="H248"/>
      <c r="I248"/>
      <c r="J248"/>
      <c r="K248"/>
      <c r="L248"/>
      <c r="M248"/>
    </row>
    <row r="249" spans="1:13">
      <c r="A249"/>
      <c r="B249"/>
      <c r="C249"/>
      <c r="D249"/>
      <c r="E249"/>
      <c r="F249"/>
      <c r="G249"/>
      <c r="H249"/>
      <c r="I249"/>
      <c r="J249"/>
      <c r="K249"/>
      <c r="L249"/>
      <c r="M249"/>
    </row>
    <row r="250" spans="1:13">
      <c r="A250"/>
      <c r="B250"/>
      <c r="C250"/>
      <c r="D250"/>
      <c r="E250"/>
      <c r="F250"/>
      <c r="G250"/>
      <c r="H250"/>
      <c r="I250"/>
      <c r="J250"/>
      <c r="K250"/>
      <c r="L250"/>
      <c r="M250"/>
    </row>
    <row r="251" spans="1:13">
      <c r="A251"/>
      <c r="B251"/>
      <c r="C251"/>
      <c r="D251"/>
      <c r="E251"/>
      <c r="F251"/>
      <c r="G251"/>
      <c r="H251"/>
      <c r="I251"/>
      <c r="J251"/>
      <c r="K251"/>
      <c r="L251"/>
      <c r="M251"/>
    </row>
    <row r="252" spans="1:13">
      <c r="A252"/>
      <c r="B252"/>
      <c r="C252"/>
      <c r="D252"/>
      <c r="E252"/>
      <c r="F252"/>
      <c r="G252"/>
      <c r="H252"/>
      <c r="I252"/>
      <c r="J252"/>
      <c r="K252"/>
      <c r="L252"/>
      <c r="M252"/>
    </row>
    <row r="253" spans="1:13">
      <c r="A253"/>
      <c r="B253"/>
      <c r="C253"/>
      <c r="D253"/>
      <c r="E253"/>
      <c r="F253"/>
      <c r="G253"/>
      <c r="H253"/>
      <c r="I253"/>
      <c r="J253"/>
      <c r="K253"/>
      <c r="L253"/>
      <c r="M253"/>
    </row>
    <row r="254" spans="1:13">
      <c r="A254"/>
      <c r="B254"/>
      <c r="C254"/>
      <c r="D254"/>
      <c r="E254"/>
      <c r="F254"/>
      <c r="G254"/>
      <c r="H254"/>
      <c r="I254"/>
      <c r="J254"/>
      <c r="K254"/>
      <c r="L254"/>
      <c r="M254"/>
    </row>
    <row r="255" spans="1:13">
      <c r="A255"/>
      <c r="B255"/>
      <c r="C255"/>
      <c r="D255"/>
      <c r="E255"/>
      <c r="F255"/>
      <c r="G255"/>
      <c r="H255"/>
      <c r="I255"/>
      <c r="J255"/>
      <c r="K255"/>
      <c r="L255"/>
      <c r="M255"/>
    </row>
    <row r="256" spans="1:13">
      <c r="A256"/>
      <c r="B256"/>
      <c r="C256"/>
      <c r="D256"/>
      <c r="E256"/>
      <c r="F256"/>
      <c r="G256"/>
      <c r="H256"/>
      <c r="I256"/>
      <c r="J256"/>
      <c r="K256"/>
      <c r="L256"/>
      <c r="M256"/>
    </row>
    <row r="257" spans="1:13">
      <c r="A257"/>
      <c r="B257"/>
      <c r="C257"/>
      <c r="D257"/>
      <c r="E257"/>
      <c r="F257"/>
      <c r="G257"/>
      <c r="H257"/>
      <c r="I257"/>
      <c r="J257"/>
      <c r="K257"/>
      <c r="L257"/>
      <c r="M257"/>
    </row>
    <row r="258" spans="1:13">
      <c r="A258"/>
      <c r="B258"/>
      <c r="C258"/>
      <c r="D258"/>
      <c r="E258"/>
      <c r="F258"/>
      <c r="G258"/>
      <c r="H258"/>
      <c r="I258"/>
      <c r="J258"/>
      <c r="K258"/>
      <c r="L258"/>
      <c r="M258"/>
    </row>
    <row r="259" spans="1:13">
      <c r="A259"/>
      <c r="B259"/>
      <c r="C259"/>
      <c r="D259"/>
      <c r="E259"/>
      <c r="F259"/>
      <c r="G259"/>
      <c r="H259"/>
      <c r="I259"/>
      <c r="J259"/>
      <c r="K259"/>
      <c r="L259"/>
      <c r="M259"/>
    </row>
    <row r="260" spans="1:13">
      <c r="A260"/>
      <c r="B260"/>
      <c r="C260"/>
      <c r="D260"/>
      <c r="E260"/>
      <c r="F260"/>
      <c r="G260"/>
      <c r="H260"/>
      <c r="I260"/>
      <c r="J260"/>
      <c r="K260"/>
      <c r="L260"/>
      <c r="M260"/>
    </row>
    <row r="261" spans="1:13">
      <c r="A261"/>
      <c r="B261"/>
      <c r="C261"/>
      <c r="D261"/>
      <c r="E261"/>
      <c r="F261"/>
      <c r="G261"/>
      <c r="H261"/>
      <c r="I261"/>
      <c r="J261"/>
      <c r="K261"/>
      <c r="L261"/>
      <c r="M261"/>
    </row>
    <row r="262" spans="1:13">
      <c r="A262"/>
      <c r="B262"/>
      <c r="C262"/>
      <c r="D262"/>
      <c r="E262"/>
      <c r="F262"/>
      <c r="G262"/>
      <c r="H262"/>
      <c r="I262"/>
      <c r="J262"/>
      <c r="K262"/>
      <c r="L262"/>
      <c r="M262"/>
    </row>
    <row r="263" spans="1:13">
      <c r="A263"/>
      <c r="B263"/>
      <c r="C263"/>
      <c r="D263"/>
      <c r="E263"/>
      <c r="F263"/>
      <c r="G263"/>
      <c r="H263"/>
      <c r="I263"/>
      <c r="J263"/>
      <c r="K263"/>
      <c r="L263"/>
      <c r="M263"/>
    </row>
    <row r="264" spans="1:13">
      <c r="A264"/>
      <c r="B264"/>
      <c r="C264"/>
      <c r="D264"/>
      <c r="E264"/>
      <c r="F264"/>
      <c r="G264"/>
      <c r="H264"/>
      <c r="I264"/>
      <c r="J264"/>
      <c r="K264"/>
      <c r="L264"/>
      <c r="M264"/>
    </row>
    <row r="265" spans="1:13">
      <c r="A265"/>
      <c r="B265"/>
      <c r="C265"/>
      <c r="D265"/>
      <c r="E265"/>
      <c r="F265"/>
      <c r="G265"/>
      <c r="H265"/>
      <c r="I265"/>
      <c r="J265"/>
      <c r="K265"/>
      <c r="L265"/>
      <c r="M265"/>
    </row>
    <row r="266" spans="1:13">
      <c r="A266"/>
      <c r="B266"/>
      <c r="C266"/>
      <c r="D266"/>
      <c r="E266"/>
      <c r="F266"/>
      <c r="G266"/>
      <c r="H266"/>
      <c r="I266"/>
      <c r="J266"/>
      <c r="K266"/>
      <c r="L266"/>
      <c r="M266"/>
    </row>
    <row r="267" spans="1:13">
      <c r="A267"/>
      <c r="B267"/>
      <c r="C267"/>
      <c r="D267"/>
      <c r="E267"/>
      <c r="F267"/>
      <c r="G267"/>
      <c r="H267"/>
      <c r="I267"/>
      <c r="J267"/>
      <c r="K267"/>
      <c r="L267"/>
      <c r="M267"/>
    </row>
    <row r="268" spans="1:13">
      <c r="A268"/>
      <c r="B268"/>
      <c r="C268"/>
      <c r="D268"/>
      <c r="E268"/>
      <c r="F268"/>
      <c r="G268"/>
      <c r="H268"/>
      <c r="I268"/>
      <c r="J268"/>
      <c r="K268"/>
      <c r="L268"/>
      <c r="M268"/>
    </row>
    <row r="269" spans="1:13">
      <c r="A269"/>
      <c r="B269"/>
      <c r="C269"/>
      <c r="D269"/>
      <c r="E269"/>
      <c r="F269"/>
      <c r="G269"/>
      <c r="H269"/>
      <c r="I269"/>
      <c r="J269"/>
      <c r="K269"/>
      <c r="L269"/>
      <c r="M269"/>
    </row>
    <row r="270" spans="1:13">
      <c r="A270"/>
      <c r="B270"/>
      <c r="C270"/>
      <c r="D270"/>
      <c r="E270"/>
      <c r="F270"/>
      <c r="G270"/>
      <c r="H270"/>
      <c r="I270"/>
      <c r="J270"/>
      <c r="K270"/>
      <c r="L270"/>
      <c r="M270"/>
    </row>
    <row r="271" spans="1:13">
      <c r="A271"/>
      <c r="B271"/>
      <c r="C271"/>
      <c r="D271"/>
      <c r="E271"/>
      <c r="F271"/>
      <c r="G271"/>
      <c r="H271"/>
      <c r="I271"/>
      <c r="J271"/>
      <c r="K271"/>
      <c r="L271"/>
      <c r="M271"/>
    </row>
    <row r="272" spans="1:13">
      <c r="A272"/>
      <c r="B272"/>
      <c r="C272"/>
      <c r="D272"/>
      <c r="E272"/>
      <c r="F272"/>
      <c r="G272"/>
      <c r="H272"/>
      <c r="I272"/>
      <c r="J272"/>
      <c r="K272"/>
      <c r="L272"/>
      <c r="M272"/>
    </row>
    <row r="273" spans="1:13">
      <c r="A273"/>
      <c r="B273"/>
      <c r="C273"/>
      <c r="D273"/>
      <c r="E273"/>
      <c r="F273"/>
      <c r="G273"/>
      <c r="H273"/>
      <c r="I273"/>
      <c r="J273"/>
      <c r="K273"/>
      <c r="L273"/>
      <c r="M273"/>
    </row>
    <row r="274" spans="1:13">
      <c r="A274"/>
      <c r="B274"/>
      <c r="C274"/>
      <c r="D274"/>
      <c r="E274"/>
      <c r="F274"/>
      <c r="G274"/>
      <c r="H274"/>
      <c r="I274"/>
      <c r="J274"/>
      <c r="K274"/>
      <c r="L274"/>
      <c r="M274"/>
    </row>
    <row r="275" spans="1:13">
      <c r="A275"/>
      <c r="B275"/>
      <c r="C275"/>
      <c r="D275"/>
      <c r="E275"/>
      <c r="F275"/>
      <c r="G275"/>
      <c r="H275"/>
      <c r="I275"/>
      <c r="J275"/>
      <c r="K275"/>
      <c r="L275"/>
      <c r="M275"/>
    </row>
    <row r="276" spans="1:13">
      <c r="A276"/>
      <c r="B276"/>
      <c r="C276"/>
      <c r="D276"/>
      <c r="E276"/>
      <c r="F276"/>
      <c r="G276"/>
      <c r="H276"/>
      <c r="I276"/>
      <c r="J276"/>
      <c r="K276"/>
      <c r="L276"/>
      <c r="M276"/>
    </row>
    <row r="277" spans="1:13">
      <c r="A277"/>
      <c r="B277"/>
      <c r="C277"/>
      <c r="D277"/>
      <c r="E277"/>
      <c r="F277"/>
      <c r="G277"/>
      <c r="H277"/>
      <c r="I277"/>
      <c r="J277"/>
      <c r="K277"/>
      <c r="L277"/>
      <c r="M277"/>
    </row>
    <row r="278" spans="1:13">
      <c r="A278"/>
      <c r="B278"/>
      <c r="C278"/>
      <c r="D278"/>
      <c r="E278"/>
      <c r="F278"/>
      <c r="G278"/>
      <c r="H278"/>
      <c r="I278"/>
      <c r="J278"/>
      <c r="K278"/>
      <c r="L278"/>
      <c r="M278"/>
    </row>
    <row r="279" spans="1:13">
      <c r="A279"/>
      <c r="B279"/>
      <c r="C279"/>
      <c r="D279"/>
      <c r="E279"/>
      <c r="F279"/>
      <c r="G279"/>
      <c r="H279"/>
      <c r="I279"/>
      <c r="J279"/>
      <c r="K279"/>
      <c r="L279"/>
      <c r="M279"/>
    </row>
    <row r="280" spans="1:13">
      <c r="A280"/>
      <c r="B280"/>
      <c r="C280"/>
      <c r="D280"/>
      <c r="E280"/>
      <c r="F280"/>
      <c r="G280"/>
      <c r="H280"/>
      <c r="I280"/>
      <c r="J280"/>
      <c r="K280"/>
      <c r="L280"/>
      <c r="M280"/>
    </row>
    <row r="281" spans="1:13">
      <c r="A281"/>
      <c r="B281"/>
      <c r="C281"/>
      <c r="D281"/>
      <c r="E281"/>
      <c r="F281"/>
      <c r="G281"/>
      <c r="H281"/>
      <c r="I281"/>
      <c r="J281"/>
      <c r="K281"/>
      <c r="L281"/>
      <c r="M281"/>
    </row>
    <row r="282" spans="1:13">
      <c r="A282"/>
      <c r="B282"/>
      <c r="C282"/>
      <c r="D282"/>
      <c r="E282"/>
      <c r="F282"/>
      <c r="G282"/>
      <c r="H282"/>
      <c r="I282"/>
      <c r="J282"/>
      <c r="K282"/>
      <c r="L282"/>
      <c r="M282"/>
    </row>
    <row r="283" spans="1:13">
      <c r="A283"/>
      <c r="B283"/>
      <c r="C283"/>
      <c r="D283"/>
      <c r="E283"/>
      <c r="F283"/>
      <c r="G283"/>
      <c r="H283"/>
      <c r="I283"/>
      <c r="J283"/>
      <c r="K283"/>
      <c r="L283"/>
      <c r="M283"/>
    </row>
    <row r="284" spans="1:13">
      <c r="A284"/>
      <c r="B284"/>
      <c r="C284"/>
      <c r="D284"/>
      <c r="E284"/>
      <c r="F284"/>
      <c r="G284"/>
      <c r="H284"/>
      <c r="I284"/>
      <c r="J284"/>
      <c r="K284"/>
      <c r="L284"/>
      <c r="M284"/>
    </row>
    <row r="285" spans="1:13">
      <c r="A285"/>
      <c r="B285"/>
      <c r="C285"/>
      <c r="D285"/>
      <c r="E285"/>
      <c r="F285"/>
      <c r="G285"/>
      <c r="H285"/>
      <c r="I285"/>
      <c r="J285"/>
      <c r="K285"/>
      <c r="L285"/>
      <c r="M285"/>
    </row>
    <row r="286" spans="1:13">
      <c r="A286"/>
      <c r="B286"/>
      <c r="C286"/>
      <c r="D286"/>
      <c r="E286"/>
      <c r="F286"/>
      <c r="G286"/>
      <c r="H286"/>
      <c r="I286"/>
      <c r="J286"/>
      <c r="K286"/>
      <c r="L286"/>
      <c r="M286"/>
    </row>
    <row r="287" spans="1:13">
      <c r="A287"/>
      <c r="B287"/>
      <c r="C287"/>
      <c r="D287"/>
      <c r="E287"/>
      <c r="F287"/>
      <c r="G287"/>
      <c r="H287"/>
      <c r="I287"/>
      <c r="J287"/>
      <c r="K287"/>
      <c r="L287"/>
      <c r="M287"/>
    </row>
    <row r="288" spans="1:13">
      <c r="A288"/>
      <c r="B288"/>
      <c r="C288"/>
      <c r="D288"/>
      <c r="E288"/>
      <c r="F288"/>
      <c r="G288"/>
      <c r="H288"/>
      <c r="I288"/>
      <c r="J288"/>
      <c r="K288"/>
      <c r="L288"/>
      <c r="M288"/>
    </row>
    <row r="289" spans="1:13">
      <c r="A289"/>
      <c r="B289"/>
      <c r="C289"/>
      <c r="D289"/>
      <c r="E289"/>
      <c r="F289"/>
      <c r="G289"/>
      <c r="H289"/>
      <c r="I289"/>
      <c r="J289"/>
      <c r="K289"/>
      <c r="L289"/>
      <c r="M289"/>
    </row>
    <row r="290" spans="1:13">
      <c r="A290"/>
      <c r="B290"/>
      <c r="C290"/>
      <c r="D290"/>
      <c r="E290"/>
      <c r="F290"/>
      <c r="G290"/>
      <c r="H290"/>
      <c r="I290"/>
      <c r="J290"/>
      <c r="K290"/>
      <c r="L290"/>
      <c r="M290"/>
    </row>
    <row r="291" spans="1:13">
      <c r="A291"/>
      <c r="B291"/>
      <c r="C291"/>
      <c r="D291"/>
      <c r="E291"/>
      <c r="F291"/>
      <c r="G291"/>
      <c r="H291"/>
      <c r="I291"/>
      <c r="J291"/>
      <c r="K291"/>
      <c r="L291"/>
      <c r="M291"/>
    </row>
    <row r="292" spans="1:13">
      <c r="A292"/>
      <c r="B292"/>
      <c r="C292"/>
      <c r="D292"/>
      <c r="E292"/>
      <c r="F292"/>
      <c r="G292"/>
      <c r="H292"/>
      <c r="I292"/>
      <c r="J292"/>
      <c r="K292"/>
      <c r="L292"/>
      <c r="M292"/>
    </row>
    <row r="293" spans="1:13">
      <c r="A293"/>
      <c r="B293"/>
      <c r="C293"/>
      <c r="D293"/>
      <c r="E293"/>
      <c r="F293"/>
      <c r="G293"/>
      <c r="H293"/>
      <c r="I293"/>
      <c r="J293"/>
      <c r="K293"/>
      <c r="L293"/>
      <c r="M293"/>
    </row>
    <row r="294" spans="1:13">
      <c r="A294"/>
      <c r="B294"/>
      <c r="C294"/>
      <c r="D294"/>
      <c r="E294"/>
      <c r="F294"/>
      <c r="G294"/>
      <c r="H294"/>
      <c r="I294"/>
      <c r="J294"/>
      <c r="K294"/>
      <c r="L294"/>
      <c r="M294"/>
    </row>
    <row r="295" spans="1:13">
      <c r="A295"/>
      <c r="B295"/>
      <c r="C295"/>
      <c r="D295"/>
      <c r="E295"/>
      <c r="F295"/>
      <c r="G295"/>
      <c r="H295"/>
      <c r="I295"/>
      <c r="J295"/>
      <c r="K295"/>
      <c r="L295"/>
      <c r="M295"/>
    </row>
    <row r="296" spans="1:13">
      <c r="A296"/>
      <c r="B296"/>
      <c r="C296"/>
      <c r="D296"/>
      <c r="E296"/>
      <c r="F296"/>
      <c r="G296"/>
      <c r="H296"/>
      <c r="I296"/>
      <c r="J296"/>
      <c r="K296"/>
      <c r="L296"/>
      <c r="M296"/>
    </row>
    <row r="297" spans="1:13">
      <c r="A297"/>
      <c r="B297"/>
      <c r="C297"/>
      <c r="D297"/>
      <c r="E297"/>
      <c r="F297"/>
      <c r="G297"/>
      <c r="H297"/>
      <c r="I297"/>
      <c r="J297"/>
      <c r="K297"/>
      <c r="L297"/>
      <c r="M297"/>
    </row>
    <row r="298" spans="1:13">
      <c r="A298"/>
      <c r="B298"/>
      <c r="C298"/>
      <c r="D298"/>
      <c r="E298"/>
      <c r="F298"/>
      <c r="G298"/>
      <c r="H298"/>
      <c r="I298"/>
      <c r="J298"/>
      <c r="K298"/>
      <c r="L298"/>
      <c r="M298"/>
    </row>
    <row r="299" spans="1:13">
      <c r="A299"/>
      <c r="B299"/>
      <c r="C299"/>
      <c r="D299"/>
      <c r="E299"/>
      <c r="F299"/>
      <c r="G299"/>
      <c r="H299"/>
      <c r="I299"/>
      <c r="J299"/>
      <c r="K299"/>
      <c r="L299"/>
      <c r="M299"/>
    </row>
    <row r="300" spans="1:13">
      <c r="A300"/>
      <c r="B300"/>
      <c r="C300"/>
      <c r="D300"/>
      <c r="E300"/>
      <c r="F300"/>
      <c r="G300"/>
      <c r="H300"/>
      <c r="I300"/>
      <c r="J300"/>
      <c r="K300"/>
      <c r="L300"/>
      <c r="M300"/>
    </row>
    <row r="301" spans="1:13">
      <c r="A301"/>
      <c r="B301"/>
      <c r="C301"/>
      <c r="D301"/>
      <c r="E301"/>
      <c r="F301"/>
      <c r="G301"/>
      <c r="H301"/>
      <c r="I301"/>
      <c r="J301"/>
      <c r="K301"/>
      <c r="L301"/>
      <c r="M301"/>
    </row>
    <row r="302" spans="1:13">
      <c r="A302"/>
      <c r="B302"/>
      <c r="C302"/>
      <c r="D302"/>
      <c r="E302"/>
      <c r="F302"/>
      <c r="G302"/>
      <c r="H302"/>
      <c r="I302"/>
      <c r="J302"/>
      <c r="K302"/>
      <c r="L302"/>
      <c r="M302"/>
    </row>
    <row r="303" spans="1:13">
      <c r="A303"/>
      <c r="B303"/>
      <c r="C303"/>
      <c r="D303"/>
      <c r="E303"/>
      <c r="F303"/>
      <c r="G303"/>
      <c r="H303"/>
      <c r="I303"/>
      <c r="J303"/>
      <c r="K303"/>
      <c r="L303"/>
      <c r="M303"/>
    </row>
    <row r="304" spans="1:13">
      <c r="A304"/>
      <c r="B304"/>
      <c r="C304"/>
      <c r="D304"/>
      <c r="E304"/>
      <c r="F304"/>
      <c r="G304"/>
      <c r="H304"/>
      <c r="I304"/>
      <c r="J304"/>
      <c r="K304"/>
      <c r="L304"/>
      <c r="M304"/>
    </row>
    <row r="305" spans="1:13">
      <c r="A305"/>
      <c r="B305"/>
      <c r="C305"/>
      <c r="D305"/>
      <c r="E305"/>
      <c r="F305"/>
      <c r="G305"/>
      <c r="H305"/>
      <c r="I305"/>
      <c r="J305"/>
      <c r="K305"/>
      <c r="L305"/>
      <c r="M305"/>
    </row>
    <row r="306" spans="1:13">
      <c r="A306"/>
      <c r="F306" s="502"/>
      <c r="G306"/>
      <c r="H306"/>
      <c r="I306"/>
      <c r="J306"/>
      <c r="K306"/>
      <c r="L306"/>
      <c r="M306"/>
    </row>
    <row r="307" spans="1:13">
      <c r="A307"/>
      <c r="F307" s="502"/>
      <c r="G307"/>
      <c r="H307"/>
      <c r="I307"/>
      <c r="J307"/>
      <c r="K307"/>
      <c r="L307"/>
      <c r="M307"/>
    </row>
    <row r="308" spans="1:13">
      <c r="A308"/>
      <c r="F308" s="502"/>
      <c r="G308"/>
      <c r="H308"/>
      <c r="I308"/>
      <c r="J308"/>
      <c r="K308"/>
      <c r="L308"/>
      <c r="M308"/>
    </row>
    <row r="309" spans="1:13">
      <c r="A309"/>
      <c r="F309" s="502"/>
      <c r="G309"/>
      <c r="H309"/>
      <c r="I309"/>
      <c r="J309"/>
      <c r="K309"/>
      <c r="L309"/>
      <c r="M309"/>
    </row>
    <row r="310" spans="1:13">
      <c r="A310"/>
      <c r="F310" s="502"/>
      <c r="G310"/>
      <c r="H310"/>
      <c r="I310"/>
      <c r="J310"/>
      <c r="K310"/>
      <c r="L310"/>
      <c r="M310"/>
    </row>
    <row r="311" spans="1:13">
      <c r="A311"/>
      <c r="F311" s="502"/>
      <c r="G311"/>
      <c r="H311"/>
      <c r="I311"/>
      <c r="J311"/>
      <c r="K311"/>
      <c r="L311"/>
      <c r="M311"/>
    </row>
    <row r="312" spans="1:13">
      <c r="A312"/>
      <c r="F312" s="502"/>
      <c r="G312"/>
      <c r="H312"/>
      <c r="I312"/>
      <c r="J312"/>
      <c r="K312"/>
      <c r="L312"/>
      <c r="M312"/>
    </row>
    <row r="313" spans="1:13">
      <c r="A313"/>
      <c r="F313" s="502"/>
      <c r="G313"/>
      <c r="H313"/>
      <c r="I313"/>
      <c r="J313"/>
      <c r="K313"/>
      <c r="L313"/>
      <c r="M313"/>
    </row>
    <row r="314" spans="1:13">
      <c r="A314"/>
      <c r="F314" s="502"/>
      <c r="G314"/>
      <c r="H314"/>
      <c r="I314"/>
      <c r="J314"/>
      <c r="K314"/>
      <c r="L314"/>
      <c r="M314"/>
    </row>
  </sheetData>
  <mergeCells count="7">
    <mergeCell ref="B77:L77"/>
    <mergeCell ref="A1:L1"/>
    <mergeCell ref="A3:L3"/>
    <mergeCell ref="B76:L76"/>
    <mergeCell ref="B75:L75"/>
    <mergeCell ref="D21:F21"/>
    <mergeCell ref="G21:I21"/>
  </mergeCells>
  <phoneticPr fontId="73" type="noConversion"/>
  <pageMargins left="0.75" right="0.75" top="0.83" bottom="1" header="0.5" footer="0.5"/>
  <pageSetup scale="47" fitToHeight="2" orientation="landscape" r:id="rId1"/>
  <headerFooter alignWithMargins="0"/>
  <rowBreaks count="4" manualBreakCount="4">
    <brk id="142" max="7" man="1"/>
    <brk id="162" max="16383" man="1"/>
    <brk id="208" max="7" man="1"/>
    <brk id="2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2:H34"/>
  <sheetViews>
    <sheetView view="pageBreakPreview" zoomScaleNormal="100" workbookViewId="0">
      <selection activeCell="B36" sqref="B36"/>
    </sheetView>
  </sheetViews>
  <sheetFormatPr defaultColWidth="9.140625" defaultRowHeight="12.75"/>
  <cols>
    <col min="1" max="1" width="14.7109375" style="276" customWidth="1"/>
    <col min="2" max="2" width="38.7109375" style="276" customWidth="1"/>
    <col min="3" max="3" width="13.42578125" style="276" customWidth="1"/>
    <col min="4" max="16384" width="9.140625" style="276"/>
  </cols>
  <sheetData>
    <row r="2" spans="1:5" ht="18">
      <c r="A2" s="1561" t="str">
        <f>+'7 - Cap Add WS'!A1:L1</f>
        <v xml:space="preserve">Puget Sound Energy </v>
      </c>
      <c r="B2" s="1561"/>
      <c r="C2" s="1561"/>
      <c r="D2" s="1561"/>
      <c r="E2" s="1561"/>
    </row>
    <row r="3" spans="1:5" ht="18">
      <c r="A3" s="1561" t="s">
        <v>447</v>
      </c>
      <c r="B3" s="1561"/>
      <c r="C3" s="1561"/>
      <c r="D3" s="1561"/>
      <c r="E3" s="1561"/>
    </row>
    <row r="7" spans="1:5">
      <c r="C7" s="277"/>
    </row>
    <row r="8" spans="1:5">
      <c r="A8" s="542" t="s">
        <v>448</v>
      </c>
      <c r="B8" s="471"/>
      <c r="C8" s="542" t="s">
        <v>457</v>
      </c>
    </row>
    <row r="10" spans="1:5">
      <c r="A10" s="471" t="s">
        <v>940</v>
      </c>
      <c r="C10" s="590"/>
      <c r="D10" s="543"/>
    </row>
    <row r="11" spans="1:5">
      <c r="A11" s="276" t="s">
        <v>192</v>
      </c>
      <c r="C11" s="590">
        <v>1.1000000000000001</v>
      </c>
      <c r="D11" s="543"/>
    </row>
    <row r="12" spans="1:5">
      <c r="A12" s="276" t="s">
        <v>193</v>
      </c>
      <c r="C12" s="590">
        <v>1.49</v>
      </c>
      <c r="D12" s="543"/>
    </row>
    <row r="13" spans="1:5">
      <c r="A13" s="276" t="s">
        <v>194</v>
      </c>
      <c r="C13" s="590">
        <v>2.35</v>
      </c>
      <c r="D13" s="543"/>
    </row>
    <row r="14" spans="1:5">
      <c r="A14" s="276" t="s">
        <v>195</v>
      </c>
      <c r="C14" s="590">
        <v>1.25</v>
      </c>
      <c r="D14" s="543"/>
    </row>
    <row r="15" spans="1:5">
      <c r="A15" s="276" t="s">
        <v>206</v>
      </c>
      <c r="C15" s="590">
        <v>3.27</v>
      </c>
      <c r="D15" s="543"/>
    </row>
    <row r="16" spans="1:5">
      <c r="A16" s="276" t="s">
        <v>196</v>
      </c>
      <c r="C16" s="590">
        <v>1.35</v>
      </c>
      <c r="D16" s="543"/>
    </row>
    <row r="17" spans="1:4">
      <c r="A17" s="276" t="s">
        <v>197</v>
      </c>
      <c r="C17" s="590">
        <v>1.51</v>
      </c>
      <c r="D17" s="543"/>
    </row>
    <row r="18" spans="1:4">
      <c r="A18" s="276" t="s">
        <v>198</v>
      </c>
      <c r="C18" s="590">
        <v>1.48</v>
      </c>
      <c r="D18" s="543"/>
    </row>
    <row r="20" spans="1:4">
      <c r="C20" s="589"/>
    </row>
    <row r="21" spans="1:4">
      <c r="A21" s="471" t="s">
        <v>449</v>
      </c>
    </row>
    <row r="22" spans="1:4">
      <c r="A22" s="544" t="s">
        <v>450</v>
      </c>
      <c r="C22" s="589">
        <v>1.43</v>
      </c>
    </row>
    <row r="23" spans="1:4">
      <c r="A23" s="544" t="s">
        <v>451</v>
      </c>
      <c r="C23" s="589">
        <v>5</v>
      </c>
    </row>
    <row r="24" spans="1:4">
      <c r="A24" s="544" t="s">
        <v>452</v>
      </c>
      <c r="C24" s="589">
        <v>20</v>
      </c>
    </row>
    <row r="25" spans="1:4">
      <c r="A25" s="544" t="s">
        <v>199</v>
      </c>
      <c r="C25" s="589">
        <v>5.25</v>
      </c>
    </row>
    <row r="26" spans="1:4">
      <c r="A26" s="544" t="s">
        <v>200</v>
      </c>
      <c r="C26" s="589">
        <v>5</v>
      </c>
    </row>
    <row r="27" spans="1:4">
      <c r="A27" s="544" t="s">
        <v>453</v>
      </c>
      <c r="C27" s="589">
        <v>5</v>
      </c>
    </row>
    <row r="28" spans="1:4">
      <c r="A28" s="544" t="s">
        <v>201</v>
      </c>
      <c r="C28" s="589">
        <v>6.58</v>
      </c>
    </row>
    <row r="29" spans="1:4">
      <c r="A29" s="544" t="s">
        <v>454</v>
      </c>
      <c r="C29" s="589">
        <v>5</v>
      </c>
    </row>
    <row r="30" spans="1:4">
      <c r="A30" s="544" t="s">
        <v>455</v>
      </c>
      <c r="C30" s="589">
        <v>6.67</v>
      </c>
    </row>
    <row r="31" spans="1:4">
      <c r="A31" s="544" t="s">
        <v>456</v>
      </c>
      <c r="C31" s="589">
        <v>6.67</v>
      </c>
    </row>
    <row r="34" spans="8:8">
      <c r="H34" s="545"/>
    </row>
  </sheetData>
  <mergeCells count="2">
    <mergeCell ref="A2:E2"/>
    <mergeCell ref="A3:E3"/>
  </mergeCells>
  <phoneticPr fontId="73" type="noConversion"/>
  <printOptions horizontalCentered="1"/>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pageSetUpPr fitToPage="1"/>
  </sheetPr>
  <dimension ref="A1:P250"/>
  <sheetViews>
    <sheetView topLeftCell="A106" zoomScale="85" zoomScaleNormal="85" zoomScaleSheetLayoutView="75" workbookViewId="0">
      <selection activeCell="K152" sqref="K152"/>
    </sheetView>
  </sheetViews>
  <sheetFormatPr defaultColWidth="9.140625" defaultRowHeight="11.25"/>
  <cols>
    <col min="1" max="1" width="44.140625" style="273" customWidth="1"/>
    <col min="2" max="2" width="12" style="273" customWidth="1"/>
    <col min="3" max="3" width="12.85546875" style="273" bestFit="1" customWidth="1"/>
    <col min="4" max="4" width="12.140625" style="273" bestFit="1" customWidth="1"/>
    <col min="5" max="5" width="12" style="273" customWidth="1"/>
    <col min="6" max="6" width="12.5703125" style="273" customWidth="1"/>
    <col min="7" max="7" width="12.140625" style="273" customWidth="1"/>
    <col min="8" max="8" width="12.42578125" style="273" customWidth="1"/>
    <col min="9" max="9" width="13.7109375" style="273" bestFit="1" customWidth="1"/>
    <col min="10" max="10" width="11.140625" style="273" customWidth="1"/>
    <col min="11" max="11" width="14.140625" style="273" customWidth="1"/>
    <col min="12" max="12" width="11.5703125" style="273" customWidth="1"/>
    <col min="13" max="16384" width="9.140625" style="273"/>
  </cols>
  <sheetData>
    <row r="1" spans="1:12" ht="16.5" thickBot="1">
      <c r="A1" s="1" t="s">
        <v>541</v>
      </c>
    </row>
    <row r="2" spans="1:12">
      <c r="B2" s="1110"/>
      <c r="C2" s="307"/>
      <c r="D2" s="808" t="s">
        <v>972</v>
      </c>
      <c r="E2" s="803" t="s">
        <v>436</v>
      </c>
      <c r="F2" s="808" t="s">
        <v>437</v>
      </c>
    </row>
    <row r="3" spans="1:12">
      <c r="C3" s="367" t="s">
        <v>990</v>
      </c>
      <c r="D3" s="805">
        <f>'ATT H-1 '!J26</f>
        <v>0.19741382668844407</v>
      </c>
      <c r="E3" s="802">
        <f>'ATT H-1 '!K26</f>
        <v>2.3647580459175929E-3</v>
      </c>
      <c r="F3" s="805">
        <f>'ATT H-1 '!L26</f>
        <v>4.849076242528021E-3</v>
      </c>
    </row>
    <row r="4" spans="1:12" ht="12" thickBot="1">
      <c r="A4" s="273" t="s">
        <v>656</v>
      </c>
      <c r="C4" s="804" t="s">
        <v>425</v>
      </c>
      <c r="D4" s="1209">
        <f>'ATT H-1 '!J13</f>
        <v>9.4526491474223637E-2</v>
      </c>
      <c r="E4" s="1210">
        <f>'ATT H-1 '!K13</f>
        <v>0</v>
      </c>
      <c r="F4" s="1209">
        <f>'ATT H-1 '!L13</f>
        <v>0</v>
      </c>
    </row>
    <row r="5" spans="1:12" ht="12" thickBot="1">
      <c r="A5" s="307" t="s">
        <v>841</v>
      </c>
      <c r="B5" s="309" t="s">
        <v>136</v>
      </c>
      <c r="D5" s="806"/>
      <c r="F5" s="806"/>
      <c r="H5" s="307" t="s">
        <v>463</v>
      </c>
      <c r="I5" s="308"/>
      <c r="J5" s="308"/>
      <c r="K5" s="308"/>
      <c r="L5" s="309"/>
    </row>
    <row r="6" spans="1:12" ht="12" thickBot="1">
      <c r="A6" s="1211" t="s">
        <v>291</v>
      </c>
      <c r="B6" s="1212">
        <v>8749114</v>
      </c>
      <c r="C6" s="1213"/>
      <c r="D6" s="1509">
        <f>B6*L10</f>
        <v>5380296.9622425539</v>
      </c>
      <c r="E6" s="1214">
        <v>0</v>
      </c>
      <c r="F6" s="1215">
        <v>0</v>
      </c>
      <c r="H6" s="223"/>
      <c r="K6" s="273" t="s">
        <v>409</v>
      </c>
      <c r="L6" s="225"/>
    </row>
    <row r="7" spans="1:12" ht="12" thickBot="1">
      <c r="A7" s="223" t="s">
        <v>292</v>
      </c>
      <c r="B7" s="368">
        <v>4292928</v>
      </c>
      <c r="D7" s="807"/>
      <c r="E7" s="1110"/>
      <c r="F7" s="807"/>
      <c r="H7" s="809" t="s">
        <v>473</v>
      </c>
      <c r="L7" s="225"/>
    </row>
    <row r="8" spans="1:12" ht="12" thickBot="1">
      <c r="A8" s="1211" t="s">
        <v>586</v>
      </c>
      <c r="B8" s="1212">
        <v>222378</v>
      </c>
      <c r="C8" s="1213"/>
      <c r="D8" s="1216">
        <f>$B$8*D3</f>
        <v>43900.491951322816</v>
      </c>
      <c r="E8" s="1217">
        <f>$B$8*E3</f>
        <v>525.87016473506242</v>
      </c>
      <c r="F8" s="1216">
        <f>$B$8*F3</f>
        <v>1078.3278766608962</v>
      </c>
      <c r="H8" s="223" t="s">
        <v>793</v>
      </c>
      <c r="K8" s="310">
        <v>94301496</v>
      </c>
      <c r="L8" s="311"/>
    </row>
    <row r="9" spans="1:12" ht="12" thickBot="1">
      <c r="A9" s="1211" t="s">
        <v>587</v>
      </c>
      <c r="B9" s="1212">
        <v>6081596</v>
      </c>
      <c r="C9" s="1213"/>
      <c r="D9" s="1216">
        <f>$B$9*D3</f>
        <v>1200591.1387331346</v>
      </c>
      <c r="E9" s="1217">
        <f>$B$9*E3</f>
        <v>14381.503073020249</v>
      </c>
      <c r="F9" s="1216">
        <f>$B$9*F3</f>
        <v>29490.122680253444</v>
      </c>
      <c r="H9" s="367" t="s">
        <v>1307</v>
      </c>
      <c r="K9" s="310">
        <v>912797949</v>
      </c>
      <c r="L9" s="311"/>
    </row>
    <row r="10" spans="1:12">
      <c r="A10" s="223" t="s">
        <v>588</v>
      </c>
      <c r="B10" s="368">
        <v>278712</v>
      </c>
      <c r="D10" s="806"/>
      <c r="F10" s="806"/>
      <c r="H10" s="223"/>
      <c r="K10" s="1405">
        <f>SUM(K8:K9)</f>
        <v>1007099445</v>
      </c>
      <c r="L10" s="318">
        <f>K10/K15</f>
        <v>0.61495334981834204</v>
      </c>
    </row>
    <row r="11" spans="1:12">
      <c r="A11" s="367" t="s">
        <v>1363</v>
      </c>
      <c r="B11" s="368">
        <v>1366</v>
      </c>
      <c r="D11" s="1353"/>
      <c r="H11" s="223"/>
      <c r="L11" s="225"/>
    </row>
    <row r="12" spans="1:12">
      <c r="A12" s="367"/>
      <c r="B12" s="368"/>
      <c r="D12" s="1353"/>
      <c r="H12" s="809" t="s">
        <v>973</v>
      </c>
      <c r="K12" s="310"/>
      <c r="L12" s="225"/>
    </row>
    <row r="13" spans="1:12">
      <c r="A13" s="223"/>
      <c r="B13" s="1307"/>
      <c r="D13" s="1353"/>
      <c r="H13" s="223" t="s">
        <v>794</v>
      </c>
      <c r="K13" s="310">
        <v>630584853</v>
      </c>
      <c r="L13" s="318">
        <f>K13/K15</f>
        <v>0.3850466501816579</v>
      </c>
    </row>
    <row r="14" spans="1:12">
      <c r="A14" s="223" t="s">
        <v>847</v>
      </c>
      <c r="B14" s="372">
        <f>SUM(B6:B13)</f>
        <v>19626094</v>
      </c>
      <c r="C14" s="320"/>
      <c r="D14" s="1354"/>
      <c r="E14" s="1354"/>
      <c r="H14" s="223"/>
      <c r="L14" s="225"/>
    </row>
    <row r="15" spans="1:12">
      <c r="A15" s="223" t="s">
        <v>156</v>
      </c>
      <c r="B15" s="368">
        <v>19626094</v>
      </c>
      <c r="D15" s="1353"/>
      <c r="H15" s="314" t="s">
        <v>94</v>
      </c>
      <c r="I15" s="315"/>
      <c r="J15" s="315"/>
      <c r="K15" s="316">
        <f>+K10+K13</f>
        <v>1637684298</v>
      </c>
      <c r="L15" s="317">
        <f>+K15/K15</f>
        <v>1</v>
      </c>
    </row>
    <row r="16" spans="1:12" ht="12" thickBot="1">
      <c r="A16" s="321" t="s">
        <v>293</v>
      </c>
      <c r="B16" s="373">
        <f>B14-B15</f>
        <v>0</v>
      </c>
      <c r="H16" s="312"/>
      <c r="I16" s="301"/>
      <c r="J16" s="301"/>
      <c r="K16" s="301"/>
      <c r="L16" s="313"/>
    </row>
    <row r="17" spans="1:16">
      <c r="B17" s="1218"/>
      <c r="H17" s="314" t="s">
        <v>95</v>
      </c>
      <c r="I17" s="315"/>
      <c r="J17" s="315"/>
      <c r="K17" s="316">
        <f>+K10</f>
        <v>1007099445</v>
      </c>
      <c r="L17" s="319">
        <f>+K17/K15</f>
        <v>0.61495334981834204</v>
      </c>
    </row>
    <row r="18" spans="1:16" ht="12" thickBot="1">
      <c r="A18" s="273" t="s">
        <v>842</v>
      </c>
      <c r="D18" s="1218"/>
      <c r="H18" s="223"/>
      <c r="L18" s="225"/>
    </row>
    <row r="19" spans="1:16">
      <c r="A19" s="307" t="s">
        <v>841</v>
      </c>
      <c r="B19" s="309" t="s">
        <v>136</v>
      </c>
      <c r="C19" s="366"/>
      <c r="D19" s="366"/>
      <c r="H19" s="223"/>
      <c r="L19" s="225"/>
    </row>
    <row r="20" spans="1:16" ht="12" thickBot="1">
      <c r="A20" s="367" t="s">
        <v>1139</v>
      </c>
      <c r="B20" s="368">
        <v>-10992695</v>
      </c>
      <c r="D20" s="453"/>
      <c r="E20" s="453"/>
      <c r="F20" s="453"/>
      <c r="G20" s="453"/>
      <c r="H20" s="321"/>
      <c r="I20" s="322"/>
      <c r="J20" s="322"/>
      <c r="K20" s="322"/>
      <c r="L20" s="323"/>
    </row>
    <row r="21" spans="1:16">
      <c r="A21" s="367" t="s">
        <v>1207</v>
      </c>
      <c r="B21" s="368">
        <v>1418670.98</v>
      </c>
      <c r="D21" s="453"/>
      <c r="E21" s="453"/>
      <c r="F21" s="453"/>
      <c r="G21" s="453"/>
    </row>
    <row r="22" spans="1:16">
      <c r="A22" s="367" t="s">
        <v>573</v>
      </c>
      <c r="B22" s="368">
        <v>190871</v>
      </c>
      <c r="D22" s="453"/>
      <c r="E22" s="453"/>
      <c r="F22" s="453"/>
      <c r="G22" s="453"/>
    </row>
    <row r="23" spans="1:16">
      <c r="A23" s="367" t="s">
        <v>574</v>
      </c>
      <c r="B23" s="368">
        <v>106888126.05</v>
      </c>
      <c r="D23" s="453"/>
      <c r="E23" s="453"/>
      <c r="F23" s="453"/>
      <c r="G23" s="453"/>
    </row>
    <row r="24" spans="1:16">
      <c r="A24" s="367" t="s">
        <v>575</v>
      </c>
      <c r="B24" s="368">
        <v>-117978557.48999999</v>
      </c>
      <c r="D24" s="453"/>
      <c r="E24" s="453"/>
      <c r="F24" s="453"/>
      <c r="G24" s="453"/>
    </row>
    <row r="25" spans="1:16">
      <c r="A25" s="367" t="s">
        <v>1321</v>
      </c>
      <c r="B25" s="368">
        <v>-977743.14</v>
      </c>
      <c r="D25" s="453"/>
      <c r="E25" s="453"/>
      <c r="F25" s="453"/>
      <c r="G25" s="453"/>
    </row>
    <row r="26" spans="1:16">
      <c r="A26" s="367" t="s">
        <v>576</v>
      </c>
      <c r="B26" s="368">
        <v>729513.36</v>
      </c>
      <c r="D26" s="453"/>
      <c r="E26" s="453"/>
      <c r="F26" s="453"/>
      <c r="G26" s="453"/>
      <c r="N26" s="1110"/>
      <c r="O26" s="1110"/>
      <c r="P26" s="1110"/>
    </row>
    <row r="27" spans="1:16">
      <c r="A27" s="367" t="s">
        <v>1208</v>
      </c>
      <c r="B27" s="368">
        <v>32178186.090000004</v>
      </c>
      <c r="D27" s="453"/>
      <c r="E27" s="453"/>
      <c r="F27" s="453"/>
      <c r="G27" s="453"/>
    </row>
    <row r="28" spans="1:16">
      <c r="A28" s="367" t="s">
        <v>1209</v>
      </c>
      <c r="B28" s="368">
        <v>12127361.27</v>
      </c>
      <c r="D28" s="453"/>
      <c r="E28" s="1245"/>
      <c r="F28" s="453"/>
      <c r="G28" s="453"/>
    </row>
    <row r="29" spans="1:16">
      <c r="B29" s="368"/>
      <c r="D29" s="453"/>
      <c r="E29" s="453"/>
      <c r="F29" s="453"/>
      <c r="G29" s="453"/>
    </row>
    <row r="30" spans="1:16">
      <c r="A30" s="367"/>
      <c r="B30" s="368"/>
      <c r="D30" s="453"/>
      <c r="E30" s="453"/>
      <c r="F30" s="453"/>
      <c r="G30" s="453"/>
    </row>
    <row r="31" spans="1:16">
      <c r="A31" s="367"/>
      <c r="B31" s="368"/>
      <c r="D31" s="453"/>
      <c r="E31" s="453"/>
      <c r="F31" s="453"/>
      <c r="G31" s="453"/>
    </row>
    <row r="32" spans="1:16">
      <c r="A32" s="367"/>
      <c r="B32" s="368"/>
      <c r="D32" s="453"/>
      <c r="E32" s="453"/>
      <c r="F32" s="453"/>
      <c r="G32" s="453"/>
    </row>
    <row r="33" spans="1:13">
      <c r="A33" s="223" t="s">
        <v>847</v>
      </c>
      <c r="B33" s="369">
        <f>SUM(B20:B32)</f>
        <v>23583733.120000008</v>
      </c>
      <c r="C33" s="224"/>
      <c r="D33" s="224"/>
    </row>
    <row r="34" spans="1:13">
      <c r="A34" s="223" t="s">
        <v>157</v>
      </c>
      <c r="B34" s="368">
        <v>23583733</v>
      </c>
    </row>
    <row r="35" spans="1:13" ht="12" thickBot="1">
      <c r="A35" s="321" t="s">
        <v>293</v>
      </c>
      <c r="B35" s="370">
        <f>B33-B34</f>
        <v>0.12000000849366188</v>
      </c>
    </row>
    <row r="37" spans="1:13" ht="12" thickBot="1">
      <c r="A37" s="273" t="s">
        <v>843</v>
      </c>
    </row>
    <row r="38" spans="1:13" ht="22.5">
      <c r="A38" s="1102" t="s">
        <v>158</v>
      </c>
      <c r="B38" s="1235" t="s">
        <v>298</v>
      </c>
      <c r="C38" s="1103" t="s">
        <v>844</v>
      </c>
      <c r="D38" s="1103" t="s">
        <v>296</v>
      </c>
      <c r="E38" s="1103" t="s">
        <v>295</v>
      </c>
      <c r="F38" s="1103" t="s">
        <v>294</v>
      </c>
      <c r="G38" s="1104"/>
      <c r="H38" s="1105"/>
      <c r="I38" s="1105"/>
      <c r="J38" s="1105"/>
      <c r="K38" s="1106" t="s">
        <v>297</v>
      </c>
      <c r="L38" s="1110"/>
    </row>
    <row r="39" spans="1:13" ht="12.75">
      <c r="A39" s="1355" t="s">
        <v>148</v>
      </c>
      <c r="B39" s="1355" t="s">
        <v>288</v>
      </c>
      <c r="C39" s="1355">
        <v>0</v>
      </c>
      <c r="D39" s="1356"/>
      <c r="E39" s="1357">
        <v>600</v>
      </c>
      <c r="F39" s="1261">
        <v>600</v>
      </c>
      <c r="G39" s="1240"/>
      <c r="H39" s="1242"/>
      <c r="I39" s="1242"/>
      <c r="J39" s="1242"/>
      <c r="K39" s="1237"/>
      <c r="L39"/>
      <c r="M39"/>
    </row>
    <row r="40" spans="1:13" ht="12.75">
      <c r="A40" s="1355" t="s">
        <v>148</v>
      </c>
      <c r="B40" s="1355" t="s">
        <v>286</v>
      </c>
      <c r="C40" s="1406">
        <v>9144</v>
      </c>
      <c r="D40" s="1356"/>
      <c r="E40" s="1357">
        <v>600</v>
      </c>
      <c r="F40" s="1261">
        <v>9744</v>
      </c>
      <c r="G40" s="1240"/>
      <c r="H40" s="1238"/>
      <c r="I40" s="1238"/>
      <c r="J40" s="1238"/>
      <c r="K40" s="1241"/>
      <c r="L40"/>
      <c r="M40"/>
    </row>
    <row r="41" spans="1:13" ht="12.75">
      <c r="A41" s="1355" t="s">
        <v>148</v>
      </c>
      <c r="B41" s="1355" t="s">
        <v>286</v>
      </c>
      <c r="C41" s="1406">
        <v>1481</v>
      </c>
      <c r="D41" s="1356"/>
      <c r="E41" s="1357">
        <v>600</v>
      </c>
      <c r="F41" s="1261">
        <v>2081</v>
      </c>
      <c r="G41" s="1240"/>
      <c r="H41" s="1242"/>
      <c r="I41" s="1242"/>
      <c r="J41" s="1242"/>
      <c r="K41" s="1237"/>
      <c r="L41"/>
      <c r="M41"/>
    </row>
    <row r="42" spans="1:13" ht="12.75">
      <c r="A42" s="1355" t="s">
        <v>149</v>
      </c>
      <c r="B42" s="1355" t="s">
        <v>288</v>
      </c>
      <c r="C42" s="1355"/>
      <c r="D42" s="1356"/>
      <c r="E42" s="1406">
        <v>9634</v>
      </c>
      <c r="F42" s="1261">
        <v>9634</v>
      </c>
      <c r="G42" s="1240"/>
      <c r="H42" s="1238"/>
      <c r="I42" s="1238"/>
      <c r="J42" s="1238"/>
      <c r="K42" s="1241"/>
      <c r="L42"/>
      <c r="M42"/>
    </row>
    <row r="43" spans="1:13" ht="12.75">
      <c r="A43" s="1260"/>
      <c r="B43" s="1260"/>
      <c r="C43" s="1356"/>
      <c r="D43" s="1356"/>
      <c r="E43" s="1356"/>
      <c r="F43" s="1261"/>
      <c r="G43" s="1240"/>
      <c r="H43" s="1238"/>
      <c r="I43" s="1238"/>
      <c r="J43" s="1238"/>
      <c r="K43" s="1237"/>
      <c r="L43"/>
      <c r="M43"/>
    </row>
    <row r="44" spans="1:13" ht="12.75">
      <c r="A44" s="1260" t="s">
        <v>1068</v>
      </c>
      <c r="B44" s="1260" t="s">
        <v>284</v>
      </c>
      <c r="C44" s="1406">
        <v>294114</v>
      </c>
      <c r="D44" s="1356"/>
      <c r="E44" s="1406">
        <v>295113</v>
      </c>
      <c r="F44" s="1261">
        <v>589227</v>
      </c>
      <c r="G44" s="1240"/>
      <c r="H44" s="1238"/>
      <c r="I44" s="1238"/>
      <c r="J44" s="1238"/>
      <c r="K44" s="1241"/>
      <c r="L44"/>
      <c r="M44"/>
    </row>
    <row r="45" spans="1:13" ht="12.75">
      <c r="A45" s="1260" t="s">
        <v>1068</v>
      </c>
      <c r="B45" s="1260" t="s">
        <v>284</v>
      </c>
      <c r="C45" s="1406">
        <v>112983</v>
      </c>
      <c r="D45" s="1356"/>
      <c r="E45" s="1406">
        <v>218226</v>
      </c>
      <c r="F45" s="1261">
        <v>331209</v>
      </c>
      <c r="G45" s="1240"/>
      <c r="H45" s="1242"/>
      <c r="I45" s="1242"/>
      <c r="J45" s="1242"/>
      <c r="K45" s="1241"/>
      <c r="L45"/>
      <c r="M45"/>
    </row>
    <row r="46" spans="1:13" ht="12.75">
      <c r="A46" s="1260" t="s">
        <v>1068</v>
      </c>
      <c r="B46" s="1260" t="s">
        <v>284</v>
      </c>
      <c r="C46" s="1406">
        <v>71694</v>
      </c>
      <c r="D46" s="1356"/>
      <c r="E46" s="1406">
        <v>72974</v>
      </c>
      <c r="F46" s="1261">
        <v>144668</v>
      </c>
      <c r="G46" s="1240"/>
      <c r="H46" s="1242"/>
      <c r="I46" s="1242"/>
      <c r="J46" s="1242"/>
      <c r="K46" s="1239"/>
      <c r="L46"/>
      <c r="M46"/>
    </row>
    <row r="47" spans="1:13" ht="12.75">
      <c r="A47" s="1260" t="s">
        <v>1068</v>
      </c>
      <c r="B47" s="1260" t="s">
        <v>284</v>
      </c>
      <c r="C47" s="1406">
        <v>774069</v>
      </c>
      <c r="D47" s="1356"/>
      <c r="E47" s="1407">
        <v>351494</v>
      </c>
      <c r="F47" s="1261">
        <v>1125563</v>
      </c>
      <c r="G47" s="1240"/>
      <c r="H47" s="1238"/>
      <c r="I47" s="1238"/>
      <c r="J47" s="1238"/>
      <c r="K47" s="1241"/>
      <c r="L47"/>
      <c r="M47"/>
    </row>
    <row r="48" spans="1:13" ht="12.75">
      <c r="A48" s="1260" t="s">
        <v>1068</v>
      </c>
      <c r="B48" s="1260" t="s">
        <v>284</v>
      </c>
      <c r="C48" s="1406">
        <v>96612</v>
      </c>
      <c r="D48" s="1356"/>
      <c r="E48" s="1406">
        <v>56229</v>
      </c>
      <c r="F48" s="1261">
        <v>152841</v>
      </c>
      <c r="G48" s="1240"/>
      <c r="H48" s="1238"/>
      <c r="I48" s="1238"/>
      <c r="J48" s="1238"/>
      <c r="K48" s="1241"/>
      <c r="L48"/>
      <c r="M48"/>
    </row>
    <row r="49" spans="1:13" ht="12.75">
      <c r="A49" s="1260" t="s">
        <v>1068</v>
      </c>
      <c r="B49" s="1260" t="s">
        <v>284</v>
      </c>
      <c r="C49" s="1406">
        <v>55703</v>
      </c>
      <c r="D49" s="1355"/>
      <c r="E49" s="1406">
        <v>64667</v>
      </c>
      <c r="F49" s="1261">
        <v>120370</v>
      </c>
      <c r="G49" s="1240"/>
      <c r="H49" s="1238"/>
      <c r="I49" s="1238"/>
      <c r="J49" s="1238"/>
      <c r="K49" s="1241"/>
      <c r="L49"/>
      <c r="M49"/>
    </row>
    <row r="50" spans="1:13" ht="12.75">
      <c r="A50" s="1260" t="s">
        <v>1068</v>
      </c>
      <c r="B50" s="1260" t="s">
        <v>284</v>
      </c>
      <c r="C50" s="1406">
        <v>285815</v>
      </c>
      <c r="D50" s="1355"/>
      <c r="E50" s="1406">
        <v>161701</v>
      </c>
      <c r="F50" s="1261">
        <v>447516</v>
      </c>
      <c r="G50" s="1240"/>
      <c r="H50" s="1238"/>
      <c r="I50" s="1238"/>
      <c r="J50" s="1238"/>
      <c r="K50" s="1241"/>
      <c r="L50"/>
      <c r="M50"/>
    </row>
    <row r="51" spans="1:13" ht="12.75">
      <c r="A51" s="1260" t="s">
        <v>1068</v>
      </c>
      <c r="B51" s="1260" t="s">
        <v>284</v>
      </c>
      <c r="C51" s="1406">
        <v>462664</v>
      </c>
      <c r="D51" s="1355"/>
      <c r="E51" s="1406">
        <v>405469</v>
      </c>
      <c r="F51" s="1261">
        <v>868133</v>
      </c>
      <c r="G51" s="1240"/>
      <c r="H51" s="1238"/>
      <c r="I51" s="1238"/>
      <c r="J51" s="1238"/>
      <c r="K51" s="1241"/>
      <c r="L51"/>
      <c r="M51"/>
    </row>
    <row r="52" spans="1:13" ht="12.75">
      <c r="A52" s="1260" t="s">
        <v>1068</v>
      </c>
      <c r="B52" s="1260" t="s">
        <v>284</v>
      </c>
      <c r="C52" s="1406">
        <v>5686</v>
      </c>
      <c r="D52" s="1355"/>
      <c r="E52" s="1406">
        <v>8429</v>
      </c>
      <c r="F52" s="1261">
        <v>14115</v>
      </c>
      <c r="G52" s="1240"/>
      <c r="H52" s="1238"/>
      <c r="I52" s="1238"/>
      <c r="J52" s="1238"/>
      <c r="K52" s="1241"/>
      <c r="L52"/>
      <c r="M52"/>
    </row>
    <row r="53" spans="1:13" ht="12.75">
      <c r="A53" s="1260"/>
      <c r="B53" s="1260"/>
      <c r="C53" s="1261"/>
      <c r="D53" s="1261"/>
      <c r="E53" s="1261"/>
      <c r="F53" s="1261"/>
      <c r="G53" s="1240"/>
      <c r="H53" s="1242"/>
      <c r="I53" s="1242"/>
      <c r="J53" s="1242"/>
      <c r="K53" s="1241"/>
      <c r="L53"/>
      <c r="M53"/>
    </row>
    <row r="54" spans="1:13">
      <c r="A54" s="1260" t="s">
        <v>1333</v>
      </c>
      <c r="B54" s="1260" t="s">
        <v>285</v>
      </c>
      <c r="C54" s="1406">
        <v>578280</v>
      </c>
      <c r="D54" s="1355"/>
      <c r="E54" s="1406">
        <v>311075</v>
      </c>
      <c r="F54" s="1261">
        <v>889355</v>
      </c>
      <c r="G54" s="1240"/>
      <c r="H54" s="1238"/>
      <c r="I54" s="1238"/>
      <c r="J54" s="1238"/>
      <c r="K54" s="1241"/>
      <c r="L54" s="1260"/>
      <c r="M54" s="1408"/>
    </row>
    <row r="55" spans="1:13">
      <c r="A55" s="1260" t="s">
        <v>1364</v>
      </c>
      <c r="B55" s="1260" t="s">
        <v>285</v>
      </c>
      <c r="C55" s="1406">
        <v>1564192</v>
      </c>
      <c r="D55" s="1355"/>
      <c r="E55" s="1406">
        <v>1926142</v>
      </c>
      <c r="F55" s="1261">
        <v>3490334</v>
      </c>
      <c r="G55" s="1240"/>
      <c r="H55" s="1238"/>
      <c r="I55" s="1238"/>
      <c r="J55" s="1238"/>
      <c r="K55" s="1241"/>
      <c r="L55" s="1260"/>
      <c r="M55" s="1408"/>
    </row>
    <row r="56" spans="1:13" ht="12.75">
      <c r="A56" s="1260" t="s">
        <v>1334</v>
      </c>
      <c r="B56" s="1260" t="s">
        <v>285</v>
      </c>
      <c r="C56" s="1406">
        <v>66974</v>
      </c>
      <c r="D56" s="1355"/>
      <c r="E56" s="1406">
        <v>9574</v>
      </c>
      <c r="F56" s="1261">
        <v>76548</v>
      </c>
      <c r="G56" s="1240"/>
      <c r="H56" s="1242"/>
      <c r="I56" s="1242"/>
      <c r="J56" s="1242"/>
      <c r="K56" s="1241"/>
      <c r="L56"/>
      <c r="M56" s="1260"/>
    </row>
    <row r="57" spans="1:13">
      <c r="A57" s="1260" t="s">
        <v>290</v>
      </c>
      <c r="B57" s="1260" t="s">
        <v>285</v>
      </c>
      <c r="C57" s="1355">
        <v>1388583</v>
      </c>
      <c r="D57" s="1355"/>
      <c r="E57" s="1406">
        <v>355898</v>
      </c>
      <c r="F57" s="1261">
        <v>1744481</v>
      </c>
      <c r="G57" s="1240"/>
      <c r="H57" s="1238"/>
      <c r="I57" s="1238"/>
      <c r="J57" s="1284"/>
      <c r="K57" s="1241"/>
      <c r="L57" s="1260"/>
      <c r="M57" s="1260"/>
    </row>
    <row r="58" spans="1:13" ht="12.75">
      <c r="A58" s="1260" t="s">
        <v>1335</v>
      </c>
      <c r="B58" s="1260" t="s">
        <v>285</v>
      </c>
      <c r="C58" s="1406">
        <v>2367886</v>
      </c>
      <c r="D58" s="1355"/>
      <c r="E58" s="1406">
        <v>999444</v>
      </c>
      <c r="F58" s="1261">
        <v>3367330</v>
      </c>
      <c r="G58" s="1240"/>
      <c r="H58" s="1238"/>
      <c r="I58" s="1238"/>
      <c r="J58" s="1238"/>
      <c r="K58" s="1508">
        <v>8975.1200000000008</v>
      </c>
      <c r="L58" t="s">
        <v>1282</v>
      </c>
      <c r="M58" s="1260" t="s">
        <v>1328</v>
      </c>
    </row>
    <row r="59" spans="1:13" ht="12.75">
      <c r="A59" s="1260" t="s">
        <v>147</v>
      </c>
      <c r="B59" s="1260" t="s">
        <v>285</v>
      </c>
      <c r="C59" s="1406">
        <v>430525</v>
      </c>
      <c r="D59" s="1355"/>
      <c r="E59" s="1406">
        <v>65330</v>
      </c>
      <c r="F59" s="1261">
        <v>495855</v>
      </c>
      <c r="G59" s="1240"/>
      <c r="H59" s="1238"/>
      <c r="I59" s="1238"/>
      <c r="J59" s="1238"/>
      <c r="K59" s="287"/>
      <c r="L59"/>
      <c r="M59"/>
    </row>
    <row r="60" spans="1:13" ht="12.75">
      <c r="A60" s="1260" t="s">
        <v>525</v>
      </c>
      <c r="B60" s="1260" t="s">
        <v>285</v>
      </c>
      <c r="C60" s="1406">
        <v>837173</v>
      </c>
      <c r="D60" s="1355"/>
      <c r="E60" s="1406">
        <v>295554</v>
      </c>
      <c r="F60" s="1261">
        <v>1132727</v>
      </c>
      <c r="G60" s="1240"/>
      <c r="H60" s="1238"/>
      <c r="I60" s="1238"/>
      <c r="J60" s="1238"/>
      <c r="K60" s="287"/>
      <c r="L60"/>
      <c r="M60" s="1408"/>
    </row>
    <row r="61" spans="1:13" ht="12.75">
      <c r="A61" s="1260" t="s">
        <v>1337</v>
      </c>
      <c r="B61" s="1260" t="s">
        <v>285</v>
      </c>
      <c r="C61" s="1355"/>
      <c r="D61" s="1355"/>
      <c r="E61" s="1406">
        <v>-9</v>
      </c>
      <c r="F61" s="1261">
        <v>-9</v>
      </c>
      <c r="G61" s="1240"/>
      <c r="H61" s="1238"/>
      <c r="I61" s="1238"/>
      <c r="J61" s="1238"/>
      <c r="K61" s="1508"/>
      <c r="L61"/>
    </row>
    <row r="62" spans="1:13" ht="12.75">
      <c r="A62" s="1260" t="s">
        <v>1067</v>
      </c>
      <c r="B62" s="1260" t="s">
        <v>285</v>
      </c>
      <c r="C62" s="1406">
        <v>-8358</v>
      </c>
      <c r="D62" s="1355"/>
      <c r="E62" s="1406">
        <v>-337</v>
      </c>
      <c r="F62" s="1261">
        <v>-8695</v>
      </c>
      <c r="G62" s="1240"/>
      <c r="H62" s="1238"/>
      <c r="I62" s="1238"/>
      <c r="J62" s="1238"/>
      <c r="K62" s="287"/>
      <c r="L62"/>
      <c r="M62"/>
    </row>
    <row r="63" spans="1:13" ht="12.75">
      <c r="A63" s="1260" t="s">
        <v>526</v>
      </c>
      <c r="B63" s="1260" t="s">
        <v>285</v>
      </c>
      <c r="C63" s="1406">
        <v>53816</v>
      </c>
      <c r="D63" s="1355"/>
      <c r="E63" s="1406">
        <v>22168</v>
      </c>
      <c r="F63" s="1261">
        <v>75984</v>
      </c>
      <c r="G63" s="1240"/>
      <c r="H63" s="1238"/>
      <c r="I63" s="1238"/>
      <c r="J63" s="1238"/>
      <c r="K63" s="287"/>
      <c r="L63"/>
      <c r="M63"/>
    </row>
    <row r="64" spans="1:13" ht="12.75">
      <c r="A64" s="1260"/>
      <c r="B64" s="1260"/>
      <c r="C64" s="1357"/>
      <c r="D64" s="1355"/>
      <c r="E64" s="1357"/>
      <c r="F64" s="1261"/>
      <c r="G64" s="1240"/>
      <c r="H64" s="1238"/>
      <c r="I64" s="1238"/>
      <c r="J64" s="1238"/>
      <c r="K64" s="287"/>
      <c r="L64"/>
      <c r="M64"/>
    </row>
    <row r="65" spans="1:13" ht="12.75">
      <c r="A65" s="1260" t="s">
        <v>1329</v>
      </c>
      <c r="B65" s="1260" t="s">
        <v>289</v>
      </c>
      <c r="C65" s="1261">
        <v>15657</v>
      </c>
      <c r="D65" s="1261"/>
      <c r="E65" s="1261">
        <v>3426</v>
      </c>
      <c r="F65" s="1261">
        <v>19083</v>
      </c>
      <c r="G65" s="1240"/>
      <c r="H65" s="1238"/>
      <c r="I65" s="1238"/>
      <c r="J65" s="1238"/>
      <c r="K65" s="1508">
        <v>15657</v>
      </c>
      <c r="L65" s="102" t="s">
        <v>1282</v>
      </c>
      <c r="M65"/>
    </row>
    <row r="66" spans="1:13" ht="12.75">
      <c r="A66" s="1355" t="s">
        <v>1365</v>
      </c>
      <c r="B66" s="1260" t="s">
        <v>289</v>
      </c>
      <c r="C66" s="1406">
        <v>104563</v>
      </c>
      <c r="D66" s="1355"/>
      <c r="E66" s="1406">
        <v>41423</v>
      </c>
      <c r="F66" s="1261">
        <v>145986</v>
      </c>
      <c r="G66" s="1240"/>
      <c r="H66" s="1238"/>
      <c r="I66" s="1238"/>
      <c r="J66" s="1238"/>
      <c r="K66" s="1508">
        <v>104563</v>
      </c>
      <c r="L66" s="102" t="s">
        <v>1282</v>
      </c>
      <c r="M66"/>
    </row>
    <row r="67" spans="1:13" ht="12.75">
      <c r="A67" s="1355" t="s">
        <v>1284</v>
      </c>
      <c r="B67" s="1260" t="s">
        <v>289</v>
      </c>
      <c r="C67" s="1406">
        <v>379</v>
      </c>
      <c r="D67" s="1355"/>
      <c r="E67" s="1406">
        <v>97</v>
      </c>
      <c r="F67" s="1261">
        <v>476</v>
      </c>
      <c r="G67" s="1240"/>
      <c r="H67" s="1238"/>
      <c r="I67" s="1238"/>
      <c r="J67" s="1238"/>
      <c r="K67" s="1508">
        <v>379</v>
      </c>
      <c r="L67" s="102" t="s">
        <v>1282</v>
      </c>
      <c r="M67"/>
    </row>
    <row r="68" spans="1:13" ht="12.75">
      <c r="A68" s="1355" t="s">
        <v>1366</v>
      </c>
      <c r="B68" s="1260" t="s">
        <v>289</v>
      </c>
      <c r="C68" s="1406">
        <v>143</v>
      </c>
      <c r="D68" s="1355"/>
      <c r="E68" s="1406">
        <v>114</v>
      </c>
      <c r="F68" s="1261">
        <v>257</v>
      </c>
      <c r="G68" s="1240"/>
      <c r="H68" s="1238"/>
      <c r="I68" s="1238"/>
      <c r="J68" s="1238"/>
      <c r="K68" s="1508">
        <v>143</v>
      </c>
      <c r="L68" s="102" t="s">
        <v>1283</v>
      </c>
      <c r="M68"/>
    </row>
    <row r="69" spans="1:13" ht="12.75">
      <c r="A69" s="1355" t="s">
        <v>290</v>
      </c>
      <c r="B69" s="1260" t="s">
        <v>289</v>
      </c>
      <c r="C69" s="1406">
        <v>17638</v>
      </c>
      <c r="D69" s="1355"/>
      <c r="E69" s="1406">
        <v>5618</v>
      </c>
      <c r="F69" s="1261">
        <v>23256</v>
      </c>
      <c r="G69" s="1240"/>
      <c r="H69" s="1238"/>
      <c r="I69" s="1238"/>
      <c r="J69" s="1238"/>
      <c r="K69" s="1508">
        <v>17638</v>
      </c>
      <c r="L69" s="102" t="s">
        <v>1282</v>
      </c>
      <c r="M69"/>
    </row>
    <row r="70" spans="1:13" ht="12.75">
      <c r="A70" s="1355" t="s">
        <v>148</v>
      </c>
      <c r="B70" s="1260" t="s">
        <v>289</v>
      </c>
      <c r="C70" s="1406">
        <v>39669</v>
      </c>
      <c r="D70" s="1355"/>
      <c r="E70" s="1406">
        <v>35996</v>
      </c>
      <c r="F70" s="1261">
        <v>75665</v>
      </c>
      <c r="G70" s="1240"/>
      <c r="H70" s="1238"/>
      <c r="I70" s="1238"/>
      <c r="J70" s="1238"/>
      <c r="K70" s="1508">
        <v>39669</v>
      </c>
      <c r="L70" s="102" t="s">
        <v>1282</v>
      </c>
      <c r="M70"/>
    </row>
    <row r="71" spans="1:13" ht="12.75">
      <c r="A71" s="1355" t="s">
        <v>1303</v>
      </c>
      <c r="B71" s="1260" t="s">
        <v>289</v>
      </c>
      <c r="C71" s="1406">
        <v>1263946</v>
      </c>
      <c r="D71" s="1355"/>
      <c r="E71" s="1406">
        <v>227347</v>
      </c>
      <c r="F71" s="1261">
        <v>1491293</v>
      </c>
      <c r="G71" s="1240"/>
      <c r="H71" s="1238"/>
      <c r="I71" s="1238"/>
      <c r="J71" s="1238"/>
      <c r="K71" s="1508">
        <v>1263946</v>
      </c>
      <c r="L71" s="102" t="s">
        <v>1282</v>
      </c>
      <c r="M71"/>
    </row>
    <row r="72" spans="1:13" ht="12.75">
      <c r="A72" s="1260" t="s">
        <v>1334</v>
      </c>
      <c r="B72" s="1260" t="s">
        <v>289</v>
      </c>
      <c r="C72" s="1261"/>
      <c r="D72" s="1261"/>
      <c r="E72" s="1261">
        <v>-4969</v>
      </c>
      <c r="F72" s="1261">
        <v>-4969</v>
      </c>
      <c r="G72" s="1240"/>
      <c r="H72" s="1238"/>
      <c r="I72" s="1238"/>
      <c r="J72" s="1238"/>
      <c r="K72" s="1508">
        <v>0</v>
      </c>
      <c r="L72" s="102" t="s">
        <v>1283</v>
      </c>
      <c r="M72"/>
    </row>
    <row r="73" spans="1:13" ht="12.75">
      <c r="A73" s="1355"/>
      <c r="B73" s="1260"/>
      <c r="C73" s="1261"/>
      <c r="D73" s="1406"/>
      <c r="E73" s="1406"/>
      <c r="F73" s="1261"/>
      <c r="G73" s="1240"/>
      <c r="H73" s="1238"/>
      <c r="I73" s="1238"/>
      <c r="J73" s="1238"/>
      <c r="K73" s="1508"/>
      <c r="L73"/>
      <c r="M73"/>
    </row>
    <row r="74" spans="1:13" ht="12.75">
      <c r="A74" s="1355" t="s">
        <v>1329</v>
      </c>
      <c r="B74" s="1260" t="s">
        <v>287</v>
      </c>
      <c r="C74" s="1261"/>
      <c r="D74" s="1406">
        <v>94140</v>
      </c>
      <c r="E74" s="1406">
        <v>16621</v>
      </c>
      <c r="F74" s="1261">
        <v>110761</v>
      </c>
      <c r="G74" s="1240"/>
      <c r="H74" s="1238"/>
      <c r="I74" s="1238"/>
      <c r="J74" s="1238"/>
      <c r="K74" s="1508">
        <v>94140</v>
      </c>
      <c r="L74" t="s">
        <v>1283</v>
      </c>
      <c r="M74"/>
    </row>
    <row r="75" spans="1:13" ht="12.75">
      <c r="A75" s="1355" t="s">
        <v>1367</v>
      </c>
      <c r="B75" s="1260" t="s">
        <v>287</v>
      </c>
      <c r="C75" s="1356"/>
      <c r="D75" s="1406">
        <v>17538</v>
      </c>
      <c r="E75" s="1406">
        <v>4454</v>
      </c>
      <c r="F75" s="1261">
        <v>21992</v>
      </c>
      <c r="G75" s="1240"/>
      <c r="H75" s="1238"/>
      <c r="I75" s="1238"/>
      <c r="J75" s="1238"/>
      <c r="K75" s="1508">
        <v>17538</v>
      </c>
      <c r="L75" t="s">
        <v>1282</v>
      </c>
      <c r="M75"/>
    </row>
    <row r="76" spans="1:13" ht="12.75">
      <c r="A76" s="1355" t="s">
        <v>1330</v>
      </c>
      <c r="B76" s="1260" t="s">
        <v>287</v>
      </c>
      <c r="C76" s="1356"/>
      <c r="D76" s="1406">
        <v>226</v>
      </c>
      <c r="E76" s="1406">
        <v>245</v>
      </c>
      <c r="F76" s="1261">
        <v>471</v>
      </c>
      <c r="G76" s="1240"/>
      <c r="H76" s="1238"/>
      <c r="I76" s="1238"/>
      <c r="J76" s="1238"/>
      <c r="K76" s="1508">
        <v>226</v>
      </c>
      <c r="L76" t="s">
        <v>1283</v>
      </c>
      <c r="M76"/>
    </row>
    <row r="77" spans="1:13" ht="12.75">
      <c r="A77" s="1355" t="s">
        <v>1206</v>
      </c>
      <c r="B77" s="1260" t="s">
        <v>287</v>
      </c>
      <c r="C77" s="1356"/>
      <c r="D77" s="1406">
        <v>1719</v>
      </c>
      <c r="E77" s="1406">
        <v>748</v>
      </c>
      <c r="F77" s="1261">
        <v>2467</v>
      </c>
      <c r="G77" s="1240"/>
      <c r="H77" s="1238"/>
      <c r="I77" s="1238"/>
      <c r="J77" s="1238"/>
      <c r="K77" s="1508">
        <v>1719</v>
      </c>
      <c r="L77" t="s">
        <v>1283</v>
      </c>
      <c r="M77"/>
    </row>
    <row r="78" spans="1:13" ht="12.75">
      <c r="A78" s="1355" t="s">
        <v>1365</v>
      </c>
      <c r="B78" s="1260" t="s">
        <v>287</v>
      </c>
      <c r="C78" s="1356"/>
      <c r="D78" s="1406">
        <v>260589</v>
      </c>
      <c r="E78" s="1406">
        <v>67077</v>
      </c>
      <c r="F78" s="1261">
        <v>327666</v>
      </c>
      <c r="G78" s="1240"/>
      <c r="H78" s="1238"/>
      <c r="I78" s="1238"/>
      <c r="J78" s="1238"/>
      <c r="K78" s="1508">
        <v>260589</v>
      </c>
      <c r="L78" s="102" t="s">
        <v>1283</v>
      </c>
      <c r="M78"/>
    </row>
    <row r="79" spans="1:13" ht="12.75">
      <c r="A79" s="1355" t="s">
        <v>1368</v>
      </c>
      <c r="B79" s="1260" t="s">
        <v>287</v>
      </c>
      <c r="C79" s="1356"/>
      <c r="D79" s="1406">
        <v>2534</v>
      </c>
      <c r="E79" s="1406">
        <v>718</v>
      </c>
      <c r="F79" s="1261">
        <v>3252</v>
      </c>
      <c r="G79" s="1240"/>
      <c r="H79" s="1238"/>
      <c r="I79" s="1238"/>
      <c r="J79" s="1238"/>
      <c r="K79" s="1508">
        <v>2534</v>
      </c>
      <c r="L79" s="102" t="s">
        <v>1282</v>
      </c>
      <c r="M79"/>
    </row>
    <row r="80" spans="1:13" ht="12.75">
      <c r="A80" s="1355" t="s">
        <v>523</v>
      </c>
      <c r="B80" s="1260" t="s">
        <v>287</v>
      </c>
      <c r="C80" s="1356"/>
      <c r="D80" s="1406">
        <v>4041</v>
      </c>
      <c r="E80" s="1406">
        <v>1254</v>
      </c>
      <c r="F80" s="1261">
        <v>5295</v>
      </c>
      <c r="G80" s="1240"/>
      <c r="H80" s="1238"/>
      <c r="I80" s="1238"/>
      <c r="J80" s="1238"/>
      <c r="K80" s="1508">
        <v>4041</v>
      </c>
      <c r="L80" t="s">
        <v>1283</v>
      </c>
      <c r="M80"/>
    </row>
    <row r="81" spans="1:13" ht="12.75">
      <c r="A81" s="1355" t="s">
        <v>1331</v>
      </c>
      <c r="B81" s="1260" t="s">
        <v>287</v>
      </c>
      <c r="C81" s="1356"/>
      <c r="D81" s="1406">
        <v>21</v>
      </c>
      <c r="E81" s="1406">
        <v>-75</v>
      </c>
      <c r="F81" s="1261">
        <v>-54</v>
      </c>
      <c r="G81" s="1240"/>
      <c r="H81" s="1242"/>
      <c r="I81" s="1242"/>
      <c r="J81" s="1242"/>
      <c r="K81" s="1508">
        <v>21</v>
      </c>
      <c r="L81" t="s">
        <v>1282</v>
      </c>
      <c r="M81"/>
    </row>
    <row r="82" spans="1:13" ht="12.75">
      <c r="A82" s="1355" t="s">
        <v>1369</v>
      </c>
      <c r="B82" s="1260" t="s">
        <v>287</v>
      </c>
      <c r="C82" s="1356"/>
      <c r="D82" s="1406">
        <v>5297</v>
      </c>
      <c r="E82" s="1406">
        <v>1016</v>
      </c>
      <c r="F82" s="1261">
        <v>6313</v>
      </c>
      <c r="G82" s="1240"/>
      <c r="H82" s="1242"/>
      <c r="I82" s="1242"/>
      <c r="J82" s="1242"/>
      <c r="K82" s="1508">
        <v>5297</v>
      </c>
      <c r="L82" s="102" t="s">
        <v>1283</v>
      </c>
      <c r="M82"/>
    </row>
    <row r="83" spans="1:13" ht="12.75">
      <c r="A83" s="1355" t="s">
        <v>1284</v>
      </c>
      <c r="B83" s="1260" t="s">
        <v>287</v>
      </c>
      <c r="C83" s="1356"/>
      <c r="D83" s="1406">
        <v>302744</v>
      </c>
      <c r="E83" s="1406">
        <v>48476</v>
      </c>
      <c r="F83" s="1261">
        <v>351220</v>
      </c>
      <c r="G83" s="1240"/>
      <c r="H83" s="1242"/>
      <c r="I83" s="1242"/>
      <c r="J83" s="1242"/>
      <c r="K83" s="1508">
        <v>302744</v>
      </c>
      <c r="L83" t="s">
        <v>1283</v>
      </c>
      <c r="M83"/>
    </row>
    <row r="84" spans="1:13" ht="12.75">
      <c r="A84" s="1355" t="s">
        <v>1332</v>
      </c>
      <c r="B84" s="1260" t="s">
        <v>287</v>
      </c>
      <c r="C84" s="1356"/>
      <c r="D84" s="1406">
        <v>89756</v>
      </c>
      <c r="E84" s="1406">
        <v>20554</v>
      </c>
      <c r="F84" s="1261">
        <v>110310</v>
      </c>
      <c r="G84" s="1240"/>
      <c r="H84" s="1242"/>
      <c r="I84" s="1242"/>
      <c r="J84" s="1242"/>
      <c r="K84" s="1508">
        <v>89756</v>
      </c>
      <c r="L84" t="s">
        <v>1282</v>
      </c>
      <c r="M84"/>
    </row>
    <row r="85" spans="1:13" ht="12.75">
      <c r="A85" s="1355" t="s">
        <v>1302</v>
      </c>
      <c r="B85" s="1260" t="s">
        <v>287</v>
      </c>
      <c r="C85" s="1356"/>
      <c r="D85" s="1406">
        <v>175</v>
      </c>
      <c r="E85" s="1406">
        <v>115</v>
      </c>
      <c r="F85" s="1261">
        <v>290</v>
      </c>
      <c r="G85" s="1240"/>
      <c r="H85" s="1242"/>
      <c r="I85" s="1242"/>
      <c r="J85" s="1242"/>
      <c r="K85" s="1508">
        <v>175</v>
      </c>
      <c r="L85" t="s">
        <v>1283</v>
      </c>
      <c r="M85"/>
    </row>
    <row r="86" spans="1:13" ht="12.75">
      <c r="A86" s="1355" t="s">
        <v>1270</v>
      </c>
      <c r="B86" s="1260" t="s">
        <v>287</v>
      </c>
      <c r="C86" s="1356"/>
      <c r="D86" s="1406">
        <v>49258</v>
      </c>
      <c r="E86" s="1406">
        <v>25293</v>
      </c>
      <c r="F86" s="1261">
        <v>74551</v>
      </c>
      <c r="G86" s="1240"/>
      <c r="H86" s="1238"/>
      <c r="I86" s="1238"/>
      <c r="J86" s="1238"/>
      <c r="K86" s="1508">
        <v>49258</v>
      </c>
      <c r="L86" t="s">
        <v>1283</v>
      </c>
      <c r="M86"/>
    </row>
    <row r="87" spans="1:13" ht="12.75">
      <c r="A87" s="1355" t="s">
        <v>1301</v>
      </c>
      <c r="B87" s="1260" t="s">
        <v>287</v>
      </c>
      <c r="C87" s="1356"/>
      <c r="D87" s="1406">
        <v>52291</v>
      </c>
      <c r="E87" s="1406">
        <v>11519</v>
      </c>
      <c r="F87" s="1261">
        <v>63810</v>
      </c>
      <c r="G87" s="1240"/>
      <c r="H87" s="1238"/>
      <c r="I87" s="1238"/>
      <c r="J87" s="1238"/>
      <c r="K87" s="1508">
        <v>52291</v>
      </c>
      <c r="L87" t="s">
        <v>1283</v>
      </c>
      <c r="M87"/>
    </row>
    <row r="88" spans="1:13" ht="12.75">
      <c r="A88" s="1355" t="s">
        <v>1370</v>
      </c>
      <c r="B88" s="1260" t="s">
        <v>287</v>
      </c>
      <c r="C88" s="1356"/>
      <c r="D88" s="1406">
        <v>8042</v>
      </c>
      <c r="E88" s="1406">
        <v>1624</v>
      </c>
      <c r="F88" s="1261">
        <v>9666</v>
      </c>
      <c r="G88" s="1240"/>
      <c r="H88" s="1238"/>
      <c r="I88" s="1238"/>
      <c r="J88" s="1238"/>
      <c r="K88" s="1508">
        <v>8042</v>
      </c>
      <c r="L88" s="102" t="s">
        <v>1283</v>
      </c>
      <c r="M88"/>
    </row>
    <row r="89" spans="1:13" ht="12.75">
      <c r="A89" s="1355" t="s">
        <v>1371</v>
      </c>
      <c r="B89" s="1260" t="s">
        <v>287</v>
      </c>
      <c r="C89" s="1356"/>
      <c r="D89" s="1406">
        <v>90</v>
      </c>
      <c r="E89" s="1406">
        <v>32</v>
      </c>
      <c r="F89" s="1261">
        <v>122</v>
      </c>
      <c r="G89" s="1240"/>
      <c r="H89" s="1238"/>
      <c r="I89" s="1238"/>
      <c r="J89" s="1238"/>
      <c r="K89" s="1508">
        <v>90</v>
      </c>
      <c r="L89" s="102" t="s">
        <v>1282</v>
      </c>
      <c r="M89"/>
    </row>
    <row r="90" spans="1:13" ht="12.75">
      <c r="A90" s="1355" t="s">
        <v>522</v>
      </c>
      <c r="B90" s="1260" t="s">
        <v>287</v>
      </c>
      <c r="C90" s="1356"/>
      <c r="D90" s="1406">
        <v>758</v>
      </c>
      <c r="E90" s="1406">
        <v>694</v>
      </c>
      <c r="F90" s="1261">
        <v>1452</v>
      </c>
      <c r="G90" s="1240"/>
      <c r="H90" s="1238"/>
      <c r="I90" s="1238"/>
      <c r="J90" s="1238"/>
      <c r="K90" s="1508">
        <v>758</v>
      </c>
      <c r="L90" s="102" t="s">
        <v>1283</v>
      </c>
      <c r="M90"/>
    </row>
    <row r="91" spans="1:13" ht="12.75">
      <c r="A91" s="1355" t="s">
        <v>1366</v>
      </c>
      <c r="B91" s="1260" t="s">
        <v>287</v>
      </c>
      <c r="C91" s="1356"/>
      <c r="D91" s="1406">
        <v>4020</v>
      </c>
      <c r="E91" s="1406">
        <v>2332</v>
      </c>
      <c r="F91" s="1261">
        <v>6352</v>
      </c>
      <c r="G91" s="1240"/>
      <c r="H91" s="1238"/>
      <c r="I91" s="1238"/>
      <c r="J91" s="1238"/>
      <c r="K91" s="1508">
        <v>4020</v>
      </c>
      <c r="L91" s="102" t="s">
        <v>1283</v>
      </c>
      <c r="M91"/>
    </row>
    <row r="92" spans="1:13" ht="12.75">
      <c r="A92" s="1355" t="s">
        <v>1333</v>
      </c>
      <c r="B92" s="1260" t="s">
        <v>287</v>
      </c>
      <c r="C92" s="1356"/>
      <c r="D92" s="1406">
        <v>16902</v>
      </c>
      <c r="E92" s="1406">
        <v>8507</v>
      </c>
      <c r="F92" s="1261">
        <v>25409</v>
      </c>
      <c r="G92" s="1240"/>
      <c r="H92" s="1238"/>
      <c r="I92" s="1238"/>
      <c r="J92" s="1238"/>
      <c r="K92" s="1508">
        <v>16902</v>
      </c>
      <c r="L92" t="s">
        <v>1283</v>
      </c>
      <c r="M92"/>
    </row>
    <row r="93" spans="1:13" ht="12.75">
      <c r="A93" s="1355" t="s">
        <v>1286</v>
      </c>
      <c r="B93" s="1260" t="s">
        <v>287</v>
      </c>
      <c r="C93" s="1356"/>
      <c r="D93" s="1406">
        <v>61583</v>
      </c>
      <c r="E93" s="1406">
        <v>20805</v>
      </c>
      <c r="F93" s="1261">
        <v>82388</v>
      </c>
      <c r="G93" s="1240"/>
      <c r="H93" s="1238"/>
      <c r="I93" s="1238"/>
      <c r="J93" s="1238"/>
      <c r="K93" s="1508">
        <v>61583</v>
      </c>
      <c r="L93" s="102" t="s">
        <v>1283</v>
      </c>
      <c r="M93"/>
    </row>
    <row r="94" spans="1:13" ht="12.75">
      <c r="A94" s="1355" t="s">
        <v>290</v>
      </c>
      <c r="B94" s="1260" t="s">
        <v>287</v>
      </c>
      <c r="C94" s="1356"/>
      <c r="D94" s="1406">
        <v>3402</v>
      </c>
      <c r="E94" s="1406">
        <v>646</v>
      </c>
      <c r="F94" s="1261">
        <v>4048</v>
      </c>
      <c r="G94" s="1240"/>
      <c r="H94" s="1238"/>
      <c r="I94" s="1238"/>
      <c r="J94" s="1238"/>
      <c r="K94" s="1508">
        <v>3402</v>
      </c>
      <c r="L94" t="s">
        <v>1283</v>
      </c>
      <c r="M94"/>
    </row>
    <row r="95" spans="1:13" ht="12.75">
      <c r="A95" s="1355" t="s">
        <v>1335</v>
      </c>
      <c r="B95" s="1260" t="s">
        <v>287</v>
      </c>
      <c r="C95" s="1356"/>
      <c r="D95" s="1406">
        <v>110698</v>
      </c>
      <c r="E95" s="1406">
        <v>44687</v>
      </c>
      <c r="F95" s="1261">
        <v>155385</v>
      </c>
      <c r="G95" s="1240"/>
      <c r="H95" s="1238"/>
      <c r="I95" s="1238"/>
      <c r="J95" s="1238"/>
      <c r="K95" s="1508">
        <v>110698</v>
      </c>
      <c r="L95" t="s">
        <v>1282</v>
      </c>
      <c r="M95"/>
    </row>
    <row r="96" spans="1:13" ht="12.75">
      <c r="A96" s="1355" t="s">
        <v>1340</v>
      </c>
      <c r="B96" s="1260" t="s">
        <v>287</v>
      </c>
      <c r="C96" s="1356"/>
      <c r="D96" s="1406">
        <v>11280</v>
      </c>
      <c r="E96" s="1406">
        <v>5496</v>
      </c>
      <c r="F96" s="1261">
        <v>16776</v>
      </c>
      <c r="G96" s="1240"/>
      <c r="H96" s="1242"/>
      <c r="I96" s="1242"/>
      <c r="J96" s="1242"/>
      <c r="K96" s="1508">
        <v>11280</v>
      </c>
      <c r="L96" s="102" t="s">
        <v>1283</v>
      </c>
      <c r="M96"/>
    </row>
    <row r="97" spans="1:13" ht="12.75">
      <c r="A97" s="1355" t="s">
        <v>147</v>
      </c>
      <c r="B97" s="1260" t="s">
        <v>287</v>
      </c>
      <c r="C97" s="1356"/>
      <c r="D97" s="1406">
        <v>3917</v>
      </c>
      <c r="E97" s="1406">
        <v>1774</v>
      </c>
      <c r="F97" s="1261">
        <v>5691</v>
      </c>
      <c r="G97" s="1240"/>
      <c r="H97" s="1242"/>
      <c r="I97" s="1242"/>
      <c r="J97" s="1242"/>
      <c r="K97" s="1508">
        <v>3917</v>
      </c>
      <c r="L97" t="s">
        <v>1283</v>
      </c>
      <c r="M97"/>
    </row>
    <row r="98" spans="1:13" ht="12.75">
      <c r="A98" s="1355" t="s">
        <v>1336</v>
      </c>
      <c r="B98" s="1260" t="s">
        <v>287</v>
      </c>
      <c r="C98" s="1356"/>
      <c r="D98" s="1406">
        <v>10077</v>
      </c>
      <c r="E98" s="1406">
        <v>924</v>
      </c>
      <c r="F98" s="1261">
        <v>11001</v>
      </c>
      <c r="G98" s="1240"/>
      <c r="H98" s="1242"/>
      <c r="I98" s="1242"/>
      <c r="J98" s="1242"/>
      <c r="K98" s="1508">
        <v>10077</v>
      </c>
      <c r="L98" t="s">
        <v>1282</v>
      </c>
      <c r="M98"/>
    </row>
    <row r="99" spans="1:13" ht="12.75">
      <c r="A99" s="1355" t="s">
        <v>148</v>
      </c>
      <c r="B99" s="1260" t="s">
        <v>287</v>
      </c>
      <c r="C99" s="1356"/>
      <c r="D99" s="1406">
        <v>7626</v>
      </c>
      <c r="E99" s="1406">
        <v>7965</v>
      </c>
      <c r="F99" s="1261">
        <v>15591</v>
      </c>
      <c r="G99" s="1240"/>
      <c r="H99" s="1242"/>
      <c r="I99" s="1242"/>
      <c r="J99" s="1242"/>
      <c r="K99" s="1508">
        <v>7626</v>
      </c>
      <c r="L99" t="s">
        <v>1282</v>
      </c>
      <c r="M99"/>
    </row>
    <row r="100" spans="1:13" ht="12.75">
      <c r="A100" s="1355" t="s">
        <v>524</v>
      </c>
      <c r="B100" s="1260" t="s">
        <v>287</v>
      </c>
      <c r="C100" s="1356"/>
      <c r="D100" s="1406">
        <v>2798</v>
      </c>
      <c r="E100" s="1406">
        <v>2169</v>
      </c>
      <c r="F100" s="1261">
        <v>4967</v>
      </c>
      <c r="G100" s="1240"/>
      <c r="H100" s="1242"/>
      <c r="I100" s="1242"/>
      <c r="J100" s="1242"/>
      <c r="K100" s="1508">
        <v>2798</v>
      </c>
      <c r="L100" t="s">
        <v>1283</v>
      </c>
      <c r="M100"/>
    </row>
    <row r="101" spans="1:13" ht="12.75">
      <c r="A101" s="1355" t="s">
        <v>1338</v>
      </c>
      <c r="B101" s="1260" t="s">
        <v>287</v>
      </c>
      <c r="C101" s="1356"/>
      <c r="D101" s="1406">
        <v>2174</v>
      </c>
      <c r="E101" s="1406">
        <v>1212</v>
      </c>
      <c r="F101" s="1261">
        <v>3386</v>
      </c>
      <c r="G101" s="1240"/>
      <c r="H101" s="1242"/>
      <c r="I101" s="1242"/>
      <c r="J101" s="1242"/>
      <c r="K101" s="1508">
        <v>2174</v>
      </c>
      <c r="L101" t="s">
        <v>1283</v>
      </c>
      <c r="M101"/>
    </row>
    <row r="102" spans="1:13" ht="12.75">
      <c r="A102" s="1355" t="s">
        <v>583</v>
      </c>
      <c r="B102" s="1260" t="s">
        <v>287</v>
      </c>
      <c r="C102" s="1356"/>
      <c r="D102" s="1406">
        <v>2728</v>
      </c>
      <c r="E102" s="1406">
        <v>1681</v>
      </c>
      <c r="F102" s="1261">
        <v>4409</v>
      </c>
      <c r="G102" s="1240"/>
      <c r="H102" s="1242"/>
      <c r="I102" s="1242"/>
      <c r="J102" s="1242"/>
      <c r="K102" s="1508">
        <v>2728</v>
      </c>
      <c r="L102" t="s">
        <v>1283</v>
      </c>
      <c r="M102"/>
    </row>
    <row r="103" spans="1:13" ht="12.75">
      <c r="A103" s="1355" t="s">
        <v>1303</v>
      </c>
      <c r="B103" s="1260" t="s">
        <v>287</v>
      </c>
      <c r="C103" s="1356"/>
      <c r="D103" s="1355">
        <v>13098</v>
      </c>
      <c r="E103" s="1406">
        <v>4298</v>
      </c>
      <c r="F103" s="1261">
        <v>17396</v>
      </c>
      <c r="G103" s="1240"/>
      <c r="H103" s="1242"/>
      <c r="I103" s="1242"/>
      <c r="J103" s="1242"/>
      <c r="K103" s="1508">
        <v>13098</v>
      </c>
      <c r="L103" s="102" t="s">
        <v>1282</v>
      </c>
      <c r="M103"/>
    </row>
    <row r="104" spans="1:13" ht="12.75">
      <c r="A104" s="1355"/>
      <c r="B104" s="1260"/>
      <c r="C104" s="1356"/>
      <c r="D104" s="1355"/>
      <c r="E104" s="1406"/>
      <c r="F104" s="1261"/>
      <c r="G104" s="1240"/>
      <c r="H104" s="1242"/>
      <c r="I104" s="1242"/>
      <c r="J104" s="1242"/>
      <c r="K104" s="1508"/>
      <c r="L104"/>
      <c r="M104"/>
    </row>
    <row r="105" spans="1:13" ht="12.75">
      <c r="A105" s="1355" t="s">
        <v>150</v>
      </c>
      <c r="B105" s="1260" t="s">
        <v>284</v>
      </c>
      <c r="C105" s="1356">
        <v>215932</v>
      </c>
      <c r="D105" s="1355"/>
      <c r="E105" s="1406">
        <v>148512</v>
      </c>
      <c r="F105" s="1261">
        <v>364444</v>
      </c>
      <c r="G105" s="1240"/>
      <c r="H105" s="1242"/>
      <c r="I105" s="1242"/>
      <c r="J105" s="1242"/>
      <c r="K105" s="287"/>
      <c r="L105"/>
      <c r="M105"/>
    </row>
    <row r="106" spans="1:13" ht="12.75">
      <c r="A106" s="1355" t="s">
        <v>730</v>
      </c>
      <c r="B106" s="1260" t="s">
        <v>284</v>
      </c>
      <c r="C106" s="1356">
        <v>136663</v>
      </c>
      <c r="D106" s="1357"/>
      <c r="E106" s="1357">
        <v>96904</v>
      </c>
      <c r="F106" s="1261">
        <v>233567</v>
      </c>
      <c r="G106" s="1240"/>
      <c r="H106" s="1242"/>
      <c r="I106" s="1242"/>
      <c r="J106" s="1242"/>
      <c r="K106" s="287"/>
      <c r="L106"/>
      <c r="M106"/>
    </row>
    <row r="107" spans="1:13" ht="12.75">
      <c r="A107" s="1260" t="s">
        <v>1372</v>
      </c>
      <c r="B107" s="1260" t="s">
        <v>284</v>
      </c>
      <c r="C107" s="1261">
        <v>101661</v>
      </c>
      <c r="D107" s="1261"/>
      <c r="E107" s="1261">
        <v>91720</v>
      </c>
      <c r="F107" s="1261">
        <v>193381</v>
      </c>
      <c r="G107" s="1240"/>
      <c r="H107" s="1238"/>
      <c r="I107" s="1238"/>
      <c r="J107" s="1238"/>
      <c r="K107" s="287"/>
      <c r="L107"/>
      <c r="M107"/>
    </row>
    <row r="108" spans="1:13" ht="12.75">
      <c r="A108" s="1355" t="s">
        <v>585</v>
      </c>
      <c r="B108" s="1260" t="s">
        <v>284</v>
      </c>
      <c r="C108" s="1406">
        <v>69008</v>
      </c>
      <c r="D108" s="1355"/>
      <c r="E108" s="1406">
        <v>43593</v>
      </c>
      <c r="F108" s="1261">
        <v>112601</v>
      </c>
      <c r="G108" s="1240"/>
      <c r="H108" s="1238"/>
      <c r="I108" s="1238"/>
      <c r="J108" s="1238"/>
      <c r="K108" s="287"/>
      <c r="L108"/>
      <c r="M108"/>
    </row>
    <row r="109" spans="1:13" ht="12.75">
      <c r="A109" s="1355" t="s">
        <v>584</v>
      </c>
      <c r="B109" s="1260" t="s">
        <v>284</v>
      </c>
      <c r="C109" s="1406">
        <v>51464</v>
      </c>
      <c r="D109" s="1355"/>
      <c r="E109" s="1406">
        <v>34875</v>
      </c>
      <c r="F109" s="1261">
        <v>86339</v>
      </c>
      <c r="G109" s="1240"/>
      <c r="H109" s="1238"/>
      <c r="I109" s="1238"/>
      <c r="J109" s="1238"/>
      <c r="K109" s="287"/>
      <c r="L109"/>
      <c r="M109"/>
    </row>
    <row r="110" spans="1:13" ht="12.75">
      <c r="A110" s="1355" t="s">
        <v>151</v>
      </c>
      <c r="B110" s="1260" t="s">
        <v>284</v>
      </c>
      <c r="C110" s="1406">
        <v>1125799</v>
      </c>
      <c r="D110" s="1355"/>
      <c r="E110" s="1406">
        <v>715153</v>
      </c>
      <c r="F110" s="1261">
        <v>1840952</v>
      </c>
      <c r="G110" s="1240"/>
      <c r="H110" s="1238"/>
      <c r="I110" s="1238"/>
      <c r="J110" s="1238"/>
      <c r="K110" s="287"/>
      <c r="L110"/>
      <c r="M110"/>
    </row>
    <row r="111" spans="1:13" ht="12.75">
      <c r="A111" s="1355" t="s">
        <v>1271</v>
      </c>
      <c r="B111" s="1260" t="s">
        <v>284</v>
      </c>
      <c r="C111" s="1406">
        <v>2314873</v>
      </c>
      <c r="D111" s="1355"/>
      <c r="E111" s="1406">
        <v>1500970</v>
      </c>
      <c r="F111" s="1261">
        <v>3815843</v>
      </c>
      <c r="G111" s="1240"/>
      <c r="H111" s="1238"/>
      <c r="I111" s="1238"/>
      <c r="J111" s="1238"/>
      <c r="K111" s="287"/>
      <c r="L111"/>
      <c r="M111"/>
    </row>
    <row r="112" spans="1:13" ht="12.75">
      <c r="A112" s="1355" t="s">
        <v>1287</v>
      </c>
      <c r="B112" s="1260" t="s">
        <v>284</v>
      </c>
      <c r="C112" s="1406">
        <v>952731</v>
      </c>
      <c r="D112" s="1355"/>
      <c r="E112" s="1406">
        <v>753328</v>
      </c>
      <c r="F112" s="1261">
        <v>1706059</v>
      </c>
      <c r="G112" s="1240"/>
      <c r="H112" s="1238"/>
      <c r="I112" s="1238"/>
      <c r="J112" s="1238"/>
      <c r="K112" s="287"/>
      <c r="L112"/>
      <c r="M112"/>
    </row>
    <row r="113" spans="1:13" ht="12.75">
      <c r="A113" s="1355" t="s">
        <v>1288</v>
      </c>
      <c r="B113" s="1260" t="s">
        <v>284</v>
      </c>
      <c r="C113" s="1406">
        <v>649438</v>
      </c>
      <c r="D113" s="1355"/>
      <c r="E113" s="1406">
        <v>496643</v>
      </c>
      <c r="F113" s="1261">
        <v>1146081</v>
      </c>
      <c r="G113" s="1240"/>
      <c r="H113" s="1238"/>
      <c r="I113" s="1238"/>
      <c r="J113" s="1238"/>
      <c r="K113" s="287"/>
      <c r="L113"/>
      <c r="M113"/>
    </row>
    <row r="114" spans="1:13" ht="12.75">
      <c r="A114" s="1355"/>
      <c r="B114" s="1260"/>
      <c r="C114" s="1406"/>
      <c r="D114" s="1355"/>
      <c r="E114" s="1406"/>
      <c r="F114" s="1261"/>
      <c r="G114" s="1240"/>
      <c r="H114" s="1238"/>
      <c r="I114" s="1238"/>
      <c r="J114" s="1238"/>
      <c r="K114" s="287"/>
      <c r="L114"/>
      <c r="M114"/>
    </row>
    <row r="115" spans="1:13" ht="12.75">
      <c r="A115" s="1355" t="s">
        <v>1271</v>
      </c>
      <c r="B115" s="1260" t="s">
        <v>159</v>
      </c>
      <c r="C115" s="1406"/>
      <c r="D115" s="1355"/>
      <c r="E115" s="1406">
        <v>-1</v>
      </c>
      <c r="F115" s="1261">
        <v>-1</v>
      </c>
      <c r="G115" s="1240"/>
      <c r="H115" s="1238"/>
      <c r="I115" s="1238"/>
      <c r="J115" s="1238"/>
      <c r="K115" s="287"/>
      <c r="L115"/>
      <c r="M115"/>
    </row>
    <row r="116" spans="1:13" ht="12.75">
      <c r="A116" s="1355" t="s">
        <v>151</v>
      </c>
      <c r="B116" s="1260" t="s">
        <v>159</v>
      </c>
      <c r="C116" s="1406"/>
      <c r="D116" s="1355"/>
      <c r="E116" s="1406">
        <v>-1</v>
      </c>
      <c r="F116" s="1261">
        <v>-1</v>
      </c>
      <c r="G116" s="1240"/>
      <c r="H116" s="1238"/>
      <c r="I116" s="1238"/>
      <c r="J116" s="1238"/>
      <c r="K116" s="287"/>
      <c r="L116"/>
      <c r="M116"/>
    </row>
    <row r="117" spans="1:13" ht="12.75">
      <c r="A117" s="1260" t="s">
        <v>1068</v>
      </c>
      <c r="B117" s="1260" t="s">
        <v>159</v>
      </c>
      <c r="C117" s="1261"/>
      <c r="D117" s="1261"/>
      <c r="E117" s="1261">
        <v>-1</v>
      </c>
      <c r="F117" s="1261">
        <v>-1</v>
      </c>
      <c r="G117" s="1240"/>
      <c r="H117" s="1238"/>
      <c r="I117" s="1238"/>
      <c r="J117" s="1238"/>
      <c r="K117" s="287"/>
      <c r="L117"/>
      <c r="M117"/>
    </row>
    <row r="118" spans="1:13" ht="12.75">
      <c r="A118" s="1355" t="s">
        <v>1284</v>
      </c>
      <c r="B118" s="1260" t="s">
        <v>159</v>
      </c>
      <c r="C118" s="1261"/>
      <c r="D118" s="1261"/>
      <c r="E118" s="1406">
        <v>-1</v>
      </c>
      <c r="F118" s="1261">
        <v>-1</v>
      </c>
      <c r="G118" s="1240"/>
      <c r="H118" s="1238"/>
      <c r="I118" s="1238"/>
      <c r="J118" s="1238"/>
      <c r="K118" s="287"/>
      <c r="L118"/>
      <c r="M118"/>
    </row>
    <row r="119" spans="1:13" ht="12.75">
      <c r="A119" s="1355" t="s">
        <v>1339</v>
      </c>
      <c r="B119" s="1260" t="s">
        <v>159</v>
      </c>
      <c r="C119" s="1261"/>
      <c r="D119" s="1261"/>
      <c r="E119" s="1406">
        <v>-1</v>
      </c>
      <c r="F119" s="1261">
        <v>-1</v>
      </c>
      <c r="G119" s="1240"/>
      <c r="H119" s="1238"/>
      <c r="I119" s="1238"/>
      <c r="J119" s="1238"/>
      <c r="K119" s="287"/>
      <c r="L119"/>
      <c r="M119"/>
    </row>
    <row r="120" spans="1:13" ht="12.75">
      <c r="A120" s="1355" t="s">
        <v>1285</v>
      </c>
      <c r="B120" s="1260" t="s">
        <v>159</v>
      </c>
      <c r="C120" s="1261"/>
      <c r="D120" s="1261"/>
      <c r="E120" s="1406">
        <v>-3</v>
      </c>
      <c r="F120" s="1261">
        <v>-3</v>
      </c>
      <c r="G120" s="1240"/>
      <c r="H120" s="1238"/>
      <c r="I120" s="1238"/>
      <c r="J120" s="1238"/>
      <c r="K120" s="287"/>
      <c r="L120"/>
      <c r="M120"/>
    </row>
    <row r="121" spans="1:13" ht="12.75">
      <c r="A121" s="1355" t="s">
        <v>290</v>
      </c>
      <c r="B121" s="1260" t="s">
        <v>159</v>
      </c>
      <c r="C121" s="1261"/>
      <c r="D121" s="1261"/>
      <c r="E121" s="1406">
        <v>-4</v>
      </c>
      <c r="F121" s="1261">
        <v>-4</v>
      </c>
      <c r="G121" s="1240"/>
      <c r="H121" s="1238"/>
      <c r="I121" s="1238"/>
      <c r="J121" s="1238"/>
      <c r="K121" s="287"/>
      <c r="L121"/>
      <c r="M121"/>
    </row>
    <row r="122" spans="1:13" ht="12.75">
      <c r="A122" s="1355" t="s">
        <v>525</v>
      </c>
      <c r="B122" s="1260" t="s">
        <v>159</v>
      </c>
      <c r="C122" s="1261"/>
      <c r="D122" s="1261"/>
      <c r="E122" s="1406">
        <v>-1</v>
      </c>
      <c r="F122" s="1261">
        <v>-1</v>
      </c>
      <c r="G122" s="1240"/>
      <c r="H122" s="1238"/>
      <c r="I122" s="1238"/>
      <c r="J122" s="1238"/>
      <c r="K122" s="1241"/>
      <c r="L122" s="1260"/>
      <c r="M122"/>
    </row>
    <row r="123" spans="1:13" ht="12.75">
      <c r="A123" s="1355" t="s">
        <v>1373</v>
      </c>
      <c r="B123" s="1260" t="s">
        <v>159</v>
      </c>
      <c r="C123" s="1261"/>
      <c r="D123" s="1261"/>
      <c r="E123" s="1406">
        <v>-128</v>
      </c>
      <c r="F123" s="1261">
        <v>-128</v>
      </c>
      <c r="G123" s="1240"/>
      <c r="H123" s="1238"/>
      <c r="I123" s="1238"/>
      <c r="J123" s="1238"/>
      <c r="K123" s="1241"/>
      <c r="L123" s="1260"/>
      <c r="M123"/>
    </row>
    <row r="124" spans="1:13" ht="12.75">
      <c r="A124" s="1355"/>
      <c r="B124" s="1260"/>
      <c r="C124" s="1261"/>
      <c r="D124" s="1261"/>
      <c r="E124" s="1406"/>
      <c r="F124" s="1261"/>
      <c r="G124" s="1240"/>
      <c r="H124" s="1238"/>
      <c r="I124" s="1238"/>
      <c r="J124" s="1238"/>
      <c r="K124" s="1241"/>
      <c r="L124" s="1260"/>
      <c r="M124"/>
    </row>
    <row r="125" spans="1:13" ht="12.75">
      <c r="A125" s="1355"/>
      <c r="B125" s="1260"/>
      <c r="C125" s="1261"/>
      <c r="D125" s="1261"/>
      <c r="E125" s="1406"/>
      <c r="F125" s="1261"/>
      <c r="G125" s="1240"/>
      <c r="H125" s="1238"/>
      <c r="I125" s="1238"/>
      <c r="J125" s="1238"/>
      <c r="K125" s="1241"/>
      <c r="L125" s="1260"/>
      <c r="M125"/>
    </row>
    <row r="126" spans="1:13" ht="12.75">
      <c r="A126" s="1355"/>
      <c r="B126" s="1260"/>
      <c r="C126" s="1261"/>
      <c r="D126" s="1261"/>
      <c r="E126" s="1406"/>
      <c r="F126" s="1261"/>
      <c r="G126" s="1240"/>
      <c r="H126" s="1238"/>
      <c r="I126" s="1238"/>
      <c r="J126" s="1238"/>
      <c r="K126" s="1241"/>
      <c r="L126" s="1260"/>
      <c r="M126"/>
    </row>
    <row r="127" spans="1:13" ht="12.75">
      <c r="A127" s="1355"/>
      <c r="B127" s="1260"/>
      <c r="C127" s="1261"/>
      <c r="D127" s="1261"/>
      <c r="E127" s="1406"/>
      <c r="F127" s="1261"/>
      <c r="G127" s="1240"/>
      <c r="H127" s="1238"/>
      <c r="I127" s="1238"/>
      <c r="J127" s="1238"/>
      <c r="K127" s="1241"/>
      <c r="L127" s="1260"/>
      <c r="M127"/>
    </row>
    <row r="128" spans="1:13" ht="12.75">
      <c r="A128" s="1355"/>
      <c r="B128" s="1260"/>
      <c r="C128" s="1261"/>
      <c r="D128" s="1261"/>
      <c r="E128" s="1406"/>
      <c r="F128" s="1261"/>
      <c r="G128" s="1240"/>
      <c r="H128" s="1238"/>
      <c r="I128" s="1238"/>
      <c r="J128" s="1238"/>
      <c r="K128" s="1241"/>
      <c r="L128" s="1260"/>
      <c r="M128"/>
    </row>
    <row r="129" spans="1:13" ht="12.75">
      <c r="A129" s="1355"/>
      <c r="B129" s="1260"/>
      <c r="C129" s="1261"/>
      <c r="D129" s="1261"/>
      <c r="E129" s="1406"/>
      <c r="F129" s="1261"/>
      <c r="G129" s="1240"/>
      <c r="H129" s="1238"/>
      <c r="I129" s="1238"/>
      <c r="J129" s="1238"/>
      <c r="K129" s="1241"/>
      <c r="L129" s="1260"/>
      <c r="M129"/>
    </row>
    <row r="130" spans="1:13" ht="12.75">
      <c r="A130" s="1355"/>
      <c r="B130" s="1260"/>
      <c r="C130" s="1261"/>
      <c r="D130" s="1261"/>
      <c r="E130" s="1406"/>
      <c r="F130" s="1261"/>
      <c r="G130" s="1240"/>
      <c r="H130" s="1238"/>
      <c r="I130" s="1238"/>
      <c r="J130" s="1238"/>
      <c r="K130" s="1241"/>
      <c r="L130" s="1260"/>
      <c r="M130"/>
    </row>
    <row r="131" spans="1:13" ht="12.75">
      <c r="A131" s="1355"/>
      <c r="B131" s="1260"/>
      <c r="C131" s="1261"/>
      <c r="D131" s="1261"/>
      <c r="E131" s="1406"/>
      <c r="F131" s="1261"/>
      <c r="G131" s="1240"/>
      <c r="H131" s="1238"/>
      <c r="I131" s="1238"/>
      <c r="J131" s="1238"/>
      <c r="K131" s="1241"/>
      <c r="L131" s="1260"/>
      <c r="M131"/>
    </row>
    <row r="132" spans="1:13" ht="12.75">
      <c r="A132" s="1355"/>
      <c r="B132" s="1260"/>
      <c r="C132" s="1261"/>
      <c r="D132" s="1261"/>
      <c r="E132" s="1406"/>
      <c r="F132" s="1261"/>
      <c r="G132" s="1240"/>
      <c r="H132" s="1238"/>
      <c r="I132" s="1238"/>
      <c r="J132" s="1238"/>
      <c r="K132" s="1241"/>
      <c r="L132" s="1260"/>
      <c r="M132"/>
    </row>
    <row r="133" spans="1:13" ht="12.75">
      <c r="A133" s="1355"/>
      <c r="B133" s="1260"/>
      <c r="C133" s="1261"/>
      <c r="D133" s="1261"/>
      <c r="E133" s="1406"/>
      <c r="F133" s="1261"/>
      <c r="G133" s="1240"/>
      <c r="H133" s="1238"/>
      <c r="I133" s="1238"/>
      <c r="J133" s="1238"/>
      <c r="K133" s="1241"/>
      <c r="L133" s="1260"/>
      <c r="M133"/>
    </row>
    <row r="134" spans="1:13" ht="12.75">
      <c r="A134" s="1355"/>
      <c r="B134" s="1260"/>
      <c r="C134" s="1261"/>
      <c r="D134" s="1261"/>
      <c r="E134" s="1406"/>
      <c r="F134" s="1261"/>
      <c r="G134" s="1240"/>
      <c r="H134" s="1238"/>
      <c r="I134" s="1238"/>
      <c r="J134" s="1238"/>
      <c r="K134" s="1241"/>
      <c r="L134" s="1260"/>
      <c r="M134"/>
    </row>
    <row r="135" spans="1:13" ht="12.75">
      <c r="A135" s="1355"/>
      <c r="B135" s="1260"/>
      <c r="C135" s="1261"/>
      <c r="D135" s="1261"/>
      <c r="E135" s="1406"/>
      <c r="F135" s="1261"/>
      <c r="G135" s="1240"/>
      <c r="H135" s="1238"/>
      <c r="I135" s="1238"/>
      <c r="J135" s="1238"/>
      <c r="K135" s="1241"/>
      <c r="L135" s="1260"/>
      <c r="M135"/>
    </row>
    <row r="136" spans="1:13" ht="12.75">
      <c r="A136" s="1355"/>
      <c r="B136" s="1260"/>
      <c r="C136" s="1261"/>
      <c r="D136" s="1261"/>
      <c r="E136" s="1406"/>
      <c r="F136" s="1261"/>
      <c r="G136" s="1240"/>
      <c r="H136" s="1238"/>
      <c r="I136" s="1238"/>
      <c r="J136" s="1238"/>
      <c r="K136" s="1241"/>
      <c r="L136" s="1260"/>
      <c r="M136"/>
    </row>
    <row r="137" spans="1:13" ht="12.75">
      <c r="A137" s="1355"/>
      <c r="B137" s="1260"/>
      <c r="C137" s="1261"/>
      <c r="D137" s="1261"/>
      <c r="E137" s="1406"/>
      <c r="F137" s="1261"/>
      <c r="G137" s="1240"/>
      <c r="H137" s="1238"/>
      <c r="I137" s="1238"/>
      <c r="J137" s="1238"/>
      <c r="K137" s="1241"/>
      <c r="L137" s="1260"/>
      <c r="M137"/>
    </row>
    <row r="138" spans="1:13" ht="12.75">
      <c r="A138" s="1355"/>
      <c r="B138" s="1260"/>
      <c r="C138" s="1261"/>
      <c r="D138" s="1261"/>
      <c r="E138" s="1406"/>
      <c r="F138" s="1261"/>
      <c r="G138" s="1240"/>
      <c r="H138" s="1238"/>
      <c r="I138" s="1238"/>
      <c r="J138" s="1238"/>
      <c r="K138" s="1241"/>
      <c r="L138" s="1260"/>
      <c r="M138"/>
    </row>
    <row r="139" spans="1:13" ht="12.75">
      <c r="A139" s="1355"/>
      <c r="B139" s="1260"/>
      <c r="C139" s="1261"/>
      <c r="D139" s="1261"/>
      <c r="E139" s="1406"/>
      <c r="F139" s="1261"/>
      <c r="G139" s="1240"/>
      <c r="H139" s="1238"/>
      <c r="I139" s="1238"/>
      <c r="J139" s="1238"/>
      <c r="K139" s="1241"/>
      <c r="L139" s="1260"/>
      <c r="M139"/>
    </row>
    <row r="140" spans="1:13" ht="12.75">
      <c r="A140" s="1355"/>
      <c r="B140" s="1260"/>
      <c r="C140" s="1261"/>
      <c r="D140" s="1261"/>
      <c r="E140" s="1406"/>
      <c r="F140" s="1261"/>
      <c r="G140" s="1240"/>
      <c r="H140" s="1238"/>
      <c r="I140" s="1238"/>
      <c r="J140" s="1238"/>
      <c r="K140" s="1241"/>
      <c r="L140" s="1260"/>
      <c r="M140"/>
    </row>
    <row r="141" spans="1:13" ht="12.75">
      <c r="A141" s="1355"/>
      <c r="B141" s="1260"/>
      <c r="C141" s="1261"/>
      <c r="D141" s="1261"/>
      <c r="E141" s="1406"/>
      <c r="F141" s="1261"/>
      <c r="G141" s="1240"/>
      <c r="H141" s="1238"/>
      <c r="I141" s="1238"/>
      <c r="J141" s="1238"/>
      <c r="K141" s="1241"/>
      <c r="L141" s="1260"/>
      <c r="M141"/>
    </row>
    <row r="142" spans="1:13" ht="12.75">
      <c r="A142" s="1355"/>
      <c r="B142" s="1260"/>
      <c r="C142" s="1261"/>
      <c r="D142" s="1261"/>
      <c r="E142" s="1406"/>
      <c r="F142" s="1261"/>
      <c r="G142" s="1240"/>
      <c r="H142" s="1238"/>
      <c r="I142" s="1238"/>
      <c r="J142" s="1238"/>
      <c r="K142" s="1241"/>
      <c r="L142" s="1260"/>
      <c r="M142"/>
    </row>
    <row r="143" spans="1:13" ht="12.75">
      <c r="A143" s="1355"/>
      <c r="B143" s="1260"/>
      <c r="C143" s="1261"/>
      <c r="D143" s="1261"/>
      <c r="E143" s="1406"/>
      <c r="F143" s="1261"/>
      <c r="G143" s="1240"/>
      <c r="H143" s="1238"/>
      <c r="I143" s="1238"/>
      <c r="J143" s="1238"/>
      <c r="K143" s="1241"/>
      <c r="L143" s="1260"/>
      <c r="M143"/>
    </row>
    <row r="144" spans="1:13" ht="12.75">
      <c r="A144" s="1260" t="s">
        <v>521</v>
      </c>
      <c r="B144" s="1260"/>
      <c r="C144" s="1261"/>
      <c r="D144" s="1261"/>
      <c r="E144" s="1261"/>
      <c r="F144" s="1261"/>
      <c r="G144" s="1240"/>
      <c r="H144" s="1238"/>
      <c r="I144" s="1238"/>
      <c r="J144" s="1238"/>
      <c r="K144" s="1241"/>
      <c r="L144" s="1260"/>
      <c r="M144"/>
    </row>
    <row r="145" spans="1:13" ht="13.5" thickBot="1">
      <c r="A145" s="804"/>
      <c r="B145" s="1139"/>
      <c r="C145" s="1113"/>
      <c r="D145" s="1113"/>
      <c r="E145" s="1113"/>
      <c r="F145" s="1113"/>
      <c r="G145" s="1114"/>
      <c r="H145" s="1114"/>
      <c r="I145" s="1114"/>
      <c r="J145" s="1114"/>
      <c r="K145" s="1219"/>
      <c r="L145"/>
    </row>
    <row r="146" spans="1:13">
      <c r="A146" s="1115" t="s">
        <v>847</v>
      </c>
      <c r="B146" s="1116"/>
      <c r="C146" s="1127">
        <f>SUM(C39:C145)</f>
        <v>16508600</v>
      </c>
      <c r="D146" s="1127">
        <f>SUM(D39:D145)</f>
        <v>1139522</v>
      </c>
      <c r="E146" s="1127">
        <f>SUM(E39:E145)</f>
        <v>10124045</v>
      </c>
      <c r="F146" s="1127">
        <f>SUM(F39:F145)</f>
        <v>27772167</v>
      </c>
      <c r="G146" s="1127">
        <v>0</v>
      </c>
      <c r="H146" s="1127">
        <v>0</v>
      </c>
      <c r="I146" s="1127">
        <v>0</v>
      </c>
      <c r="J146" s="1127">
        <v>0</v>
      </c>
      <c r="K146" s="1128">
        <f>SUM(K39:K145)</f>
        <v>2590492.12</v>
      </c>
      <c r="L146" s="1110"/>
    </row>
    <row r="147" spans="1:13">
      <c r="A147" s="1107" t="s">
        <v>160</v>
      </c>
      <c r="B147" s="1108"/>
      <c r="C147" s="1108"/>
      <c r="D147" s="1108"/>
      <c r="E147" s="1108"/>
      <c r="F147" s="1112">
        <v>27772167</v>
      </c>
      <c r="G147" s="1108"/>
      <c r="H147" s="1110"/>
      <c r="I147" s="1110"/>
      <c r="J147" s="1110"/>
      <c r="K147" s="1109"/>
      <c r="L147" s="1110"/>
    </row>
    <row r="148" spans="1:13">
      <c r="A148" s="1107" t="s">
        <v>293</v>
      </c>
      <c r="B148" s="1108"/>
      <c r="C148" s="1108"/>
      <c r="D148" s="1108"/>
      <c r="E148" s="1108"/>
      <c r="F148" s="453">
        <f>F146-F147</f>
        <v>0</v>
      </c>
      <c r="G148" s="1108"/>
      <c r="H148" s="1110"/>
      <c r="I148" s="1110"/>
      <c r="J148" s="1110"/>
      <c r="K148" s="1109"/>
      <c r="L148" s="1110"/>
    </row>
    <row r="149" spans="1:13">
      <c r="A149" s="1107" t="s">
        <v>845</v>
      </c>
      <c r="B149" s="1110"/>
      <c r="C149" s="1110"/>
      <c r="D149" s="1110"/>
      <c r="E149" s="1110"/>
      <c r="F149" s="1110"/>
      <c r="G149" s="1110"/>
      <c r="H149" s="1110"/>
      <c r="I149" s="1110"/>
      <c r="J149" s="1110"/>
      <c r="K149" s="1117">
        <v>0</v>
      </c>
      <c r="L149" s="1110"/>
    </row>
    <row r="150" spans="1:13">
      <c r="A150" s="1107" t="s">
        <v>203</v>
      </c>
      <c r="B150" s="1110"/>
      <c r="C150" s="1110"/>
      <c r="D150" s="1110"/>
      <c r="E150" s="1110"/>
      <c r="F150" s="1110"/>
      <c r="G150" s="1110"/>
      <c r="H150" s="1110"/>
      <c r="I150" s="1110"/>
      <c r="J150" s="1110"/>
      <c r="K150" s="1111">
        <f>K103+K99+K98+K95+K89+K84+K81+K79+K75+K71+K70+K69+K67+K66+K65+K58</f>
        <v>1702265.12</v>
      </c>
    </row>
    <row r="151" spans="1:13">
      <c r="A151" s="1107" t="s">
        <v>204</v>
      </c>
      <c r="B151" s="1110"/>
      <c r="C151" s="1110"/>
      <c r="D151" s="1110"/>
      <c r="E151" s="1110"/>
      <c r="F151" s="1110"/>
      <c r="G151" s="1110"/>
      <c r="H151" s="1110"/>
      <c r="I151" s="1110"/>
      <c r="J151" s="1110"/>
      <c r="K151" s="1117">
        <v>0</v>
      </c>
    </row>
    <row r="152" spans="1:13">
      <c r="A152" s="1107" t="s">
        <v>205</v>
      </c>
      <c r="B152" s="1110"/>
      <c r="C152" s="1110"/>
      <c r="D152" s="1110"/>
      <c r="E152" s="1110"/>
      <c r="F152" s="1110"/>
      <c r="G152" s="1110"/>
      <c r="H152" s="1110"/>
      <c r="I152" s="1110"/>
      <c r="J152" s="1110"/>
      <c r="K152" s="1117">
        <f>K102+K101+K100+K97+K96+K94+K93+K92+K91+K90+K88+K87+K86+K85+K83+K82+K80+K78+K77+K76+K74+K68</f>
        <v>888227</v>
      </c>
    </row>
    <row r="153" spans="1:13" ht="12" thickBot="1">
      <c r="A153" s="1118" t="s">
        <v>709</v>
      </c>
      <c r="B153" s="1139"/>
      <c r="C153" s="1139"/>
      <c r="D153" s="1139"/>
      <c r="E153" s="1139"/>
      <c r="F153" s="1139"/>
      <c r="G153" s="1139"/>
      <c r="H153" s="1139"/>
      <c r="I153" s="1139"/>
      <c r="J153" s="1139"/>
      <c r="K153" s="1119">
        <f>SUM(K149:K152)</f>
        <v>2590492.12</v>
      </c>
      <c r="L153" s="1110"/>
    </row>
    <row r="155" spans="1:13">
      <c r="K155" s="455"/>
    </row>
    <row r="156" spans="1:13">
      <c r="I156" s="1138"/>
      <c r="K156" s="455"/>
    </row>
    <row r="157" spans="1:13" ht="12.75">
      <c r="C157" s="1355"/>
      <c r="D157" s="1355"/>
      <c r="E157" s="1355"/>
      <c r="F157" s="1356"/>
      <c r="G157" s="1357"/>
      <c r="H157" s="1261"/>
      <c r="I157" s="1240"/>
      <c r="J157" s="1242"/>
      <c r="K157" s="1242"/>
      <c r="L157" s="1242"/>
      <c r="M157"/>
    </row>
    <row r="158" spans="1:13" ht="12.75">
      <c r="C158" s="1355"/>
      <c r="D158" s="1355"/>
      <c r="E158" s="1357"/>
      <c r="F158" s="1356"/>
      <c r="G158" s="1357"/>
      <c r="H158" s="1261"/>
      <c r="I158" s="1240"/>
      <c r="J158" s="1238"/>
      <c r="K158" s="1238"/>
      <c r="L158" s="1238"/>
      <c r="M158"/>
    </row>
    <row r="159" spans="1:13" ht="12.75">
      <c r="C159" s="1355"/>
      <c r="D159" s="1355"/>
      <c r="E159" s="1357"/>
      <c r="F159" s="1356"/>
      <c r="G159" s="1357"/>
      <c r="H159" s="1261"/>
      <c r="I159" s="1240"/>
      <c r="J159" s="1242"/>
      <c r="K159" s="1242"/>
      <c r="L159" s="1242"/>
      <c r="M159"/>
    </row>
    <row r="160" spans="1:13" ht="12.75">
      <c r="C160" s="1355"/>
      <c r="D160" s="1355"/>
      <c r="E160" s="1355"/>
      <c r="F160" s="1356"/>
      <c r="G160" s="1357"/>
      <c r="H160" s="1261"/>
      <c r="I160" s="1240"/>
      <c r="J160" s="1238"/>
      <c r="K160" s="1238"/>
      <c r="L160" s="1238"/>
      <c r="M160"/>
    </row>
    <row r="161" spans="1:13" ht="12.75">
      <c r="C161" s="1260"/>
      <c r="D161" s="1260"/>
      <c r="E161" s="1261"/>
      <c r="F161" s="1261"/>
      <c r="G161" s="1261"/>
      <c r="H161" s="1261"/>
      <c r="I161" s="1240"/>
      <c r="J161" s="1238"/>
      <c r="K161" s="1238"/>
      <c r="L161" s="1238"/>
      <c r="M161"/>
    </row>
    <row r="162" spans="1:13" ht="12.75">
      <c r="C162" s="1260"/>
      <c r="D162" s="1260"/>
      <c r="E162" s="1357"/>
      <c r="F162" s="1356"/>
      <c r="G162" s="1357"/>
      <c r="H162" s="1261"/>
      <c r="I162" s="1240"/>
      <c r="J162" s="1238"/>
      <c r="K162" s="1238"/>
      <c r="L162" s="1238"/>
      <c r="M162"/>
    </row>
    <row r="163" spans="1:13" ht="12.75">
      <c r="C163" s="1260"/>
      <c r="D163" s="1260"/>
      <c r="E163" s="1357"/>
      <c r="F163" s="1356"/>
      <c r="G163" s="1357"/>
      <c r="H163" s="1261"/>
      <c r="I163" s="1240"/>
      <c r="J163" s="1242"/>
      <c r="K163" s="1242"/>
      <c r="L163" s="1242"/>
      <c r="M163"/>
    </row>
    <row r="164" spans="1:13" ht="12.75">
      <c r="A164" s="1260"/>
      <c r="B164" s="1260"/>
      <c r="C164" s="1260"/>
      <c r="D164" s="1260"/>
      <c r="E164" s="1357"/>
      <c r="F164" s="1356"/>
      <c r="G164" s="1357"/>
      <c r="H164" s="1261"/>
      <c r="I164" s="1240"/>
      <c r="J164" s="1242"/>
      <c r="K164" s="1242"/>
      <c r="L164" s="1242"/>
      <c r="M164"/>
    </row>
    <row r="165" spans="1:13" ht="12.75">
      <c r="A165" s="1260"/>
      <c r="B165" s="1260"/>
      <c r="C165" s="1260"/>
      <c r="D165" s="1260"/>
      <c r="E165" s="1357"/>
      <c r="F165" s="1356"/>
      <c r="G165" s="1357"/>
      <c r="H165" s="1261"/>
      <c r="I165" s="1240"/>
      <c r="J165" s="1238"/>
      <c r="K165" s="1238"/>
      <c r="L165" s="1238"/>
      <c r="M165"/>
    </row>
    <row r="166" spans="1:13" ht="12.75">
      <c r="A166" s="1260"/>
      <c r="B166" s="1260"/>
      <c r="C166" s="1260"/>
      <c r="D166" s="1260"/>
      <c r="E166" s="1356"/>
      <c r="F166" s="1356"/>
      <c r="G166" s="1356"/>
      <c r="H166" s="1261"/>
      <c r="I166" s="1240"/>
      <c r="J166" s="1238"/>
      <c r="K166" s="1238"/>
      <c r="L166" s="1238"/>
      <c r="M166"/>
    </row>
    <row r="167" spans="1:13" ht="12.75">
      <c r="A167" s="1260"/>
      <c r="B167" s="1260"/>
      <c r="C167" s="1260"/>
      <c r="D167" s="1260"/>
      <c r="E167" s="1357"/>
      <c r="F167" s="1355"/>
      <c r="G167" s="1357"/>
      <c r="H167" s="1261"/>
      <c r="I167" s="1240"/>
      <c r="J167" s="1238"/>
      <c r="K167" s="1238"/>
      <c r="L167" s="1238"/>
      <c r="M167"/>
    </row>
    <row r="168" spans="1:13" ht="12.75">
      <c r="A168" s="1260"/>
      <c r="B168" s="1260"/>
      <c r="C168" s="1260"/>
      <c r="D168" s="1260"/>
      <c r="E168" s="1357"/>
      <c r="F168" s="1355"/>
      <c r="G168" s="1357"/>
      <c r="H168" s="1261"/>
      <c r="I168" s="1240"/>
      <c r="J168" s="1238"/>
      <c r="K168" s="1238"/>
      <c r="L168" s="1238"/>
      <c r="M168"/>
    </row>
    <row r="169" spans="1:13" ht="12.75">
      <c r="A169" s="1260"/>
      <c r="B169" s="1260"/>
      <c r="C169" s="1260"/>
      <c r="D169" s="1260"/>
      <c r="E169" s="1357"/>
      <c r="F169" s="1355"/>
      <c r="G169" s="1357"/>
      <c r="H169" s="1261"/>
      <c r="I169" s="1240"/>
      <c r="J169" s="1238"/>
      <c r="K169" s="1238"/>
      <c r="L169" s="1238"/>
      <c r="M169"/>
    </row>
    <row r="170" spans="1:13" ht="12.75">
      <c r="A170" s="1260"/>
      <c r="B170" s="1260"/>
      <c r="C170" s="1260"/>
      <c r="D170" s="1260"/>
      <c r="E170" s="1357"/>
      <c r="F170" s="1355"/>
      <c r="G170" s="1357"/>
      <c r="H170" s="1261"/>
      <c r="I170" s="1240"/>
      <c r="J170" s="1238"/>
      <c r="K170" s="1238"/>
      <c r="L170" s="1238"/>
      <c r="M170"/>
    </row>
    <row r="171" spans="1:13" ht="12.75">
      <c r="A171" s="1260"/>
      <c r="B171" s="1260"/>
      <c r="C171" s="1260"/>
      <c r="D171" s="1260"/>
      <c r="E171" s="1261"/>
      <c r="F171" s="1261"/>
      <c r="G171" s="1261"/>
      <c r="H171" s="1261"/>
      <c r="I171" s="1240"/>
      <c r="J171" s="1242"/>
      <c r="K171" s="1242"/>
      <c r="L171" s="1242"/>
      <c r="M171"/>
    </row>
    <row r="172" spans="1:13">
      <c r="A172" s="1260"/>
      <c r="B172" s="1260"/>
      <c r="C172" s="1260"/>
      <c r="D172" s="1260"/>
      <c r="E172" s="1357"/>
      <c r="F172" s="1355"/>
      <c r="G172" s="1357"/>
      <c r="H172" s="1261"/>
      <c r="I172" s="1240"/>
      <c r="J172" s="1238"/>
      <c r="K172" s="1238"/>
      <c r="L172" s="1238"/>
      <c r="M172" s="1260"/>
    </row>
    <row r="173" spans="1:13">
      <c r="A173" s="1260"/>
      <c r="B173" s="1260"/>
      <c r="C173" s="1260"/>
      <c r="D173" s="1260"/>
      <c r="E173" s="1357"/>
      <c r="F173" s="1355"/>
      <c r="G173" s="1357"/>
      <c r="H173" s="1261"/>
      <c r="I173" s="1240"/>
      <c r="J173" s="1238"/>
      <c r="K173" s="1238"/>
      <c r="L173" s="1238"/>
      <c r="M173" s="1260"/>
    </row>
    <row r="174" spans="1:13" ht="12.75">
      <c r="A174" s="1260"/>
      <c r="B174" s="1260"/>
      <c r="C174" s="1260"/>
      <c r="D174" s="1260"/>
      <c r="E174" s="1357"/>
      <c r="F174" s="1355"/>
      <c r="G174" s="1357"/>
      <c r="H174" s="1261"/>
      <c r="I174" s="1240"/>
      <c r="J174" s="1242"/>
      <c r="K174" s="1242"/>
      <c r="L174" s="1242"/>
      <c r="M174"/>
    </row>
    <row r="175" spans="1:13">
      <c r="A175" s="1260"/>
      <c r="B175" s="1260"/>
      <c r="C175" s="1260"/>
      <c r="D175" s="1260"/>
      <c r="E175" s="1355"/>
      <c r="F175" s="1355"/>
      <c r="G175" s="1357"/>
      <c r="H175" s="1261"/>
      <c r="I175" s="1240"/>
      <c r="J175" s="1238"/>
      <c r="K175" s="1238"/>
      <c r="L175" s="1284"/>
      <c r="M175" s="1260"/>
    </row>
    <row r="176" spans="1:13">
      <c r="A176" s="1260"/>
      <c r="B176" s="1260"/>
      <c r="C176" s="1260"/>
      <c r="D176" s="1260"/>
      <c r="E176" s="1357"/>
      <c r="F176" s="1355"/>
      <c r="G176" s="1357"/>
      <c r="H176" s="1261"/>
      <c r="I176" s="1240"/>
      <c r="J176" s="1238"/>
      <c r="K176" s="1238"/>
      <c r="L176" s="1238"/>
      <c r="M176" s="1260"/>
    </row>
    <row r="177" spans="1:13">
      <c r="A177" s="1260"/>
      <c r="B177" s="1260"/>
      <c r="C177" s="1260"/>
      <c r="D177" s="1260"/>
      <c r="E177" s="1357"/>
      <c r="F177" s="1355"/>
      <c r="G177" s="1357"/>
      <c r="H177" s="1261"/>
      <c r="I177" s="1240"/>
      <c r="J177" s="1238"/>
      <c r="K177" s="1238"/>
      <c r="L177" s="1238"/>
      <c r="M177" s="1260"/>
    </row>
    <row r="178" spans="1:13">
      <c r="A178" s="1260"/>
      <c r="B178" s="1260"/>
      <c r="C178" s="1260"/>
      <c r="D178" s="1260"/>
      <c r="E178" s="1357"/>
      <c r="F178" s="1355"/>
      <c r="G178" s="1357"/>
      <c r="H178" s="1261"/>
      <c r="I178" s="1240"/>
      <c r="J178" s="1238"/>
      <c r="K178" s="1238"/>
      <c r="L178" s="1238"/>
      <c r="M178" s="1260"/>
    </row>
    <row r="179" spans="1:13">
      <c r="A179" s="1260"/>
      <c r="B179" s="1260"/>
      <c r="C179" s="1260"/>
      <c r="D179" s="1260"/>
      <c r="E179" s="1357"/>
      <c r="F179" s="1355"/>
      <c r="G179" s="1357"/>
      <c r="H179" s="1261"/>
      <c r="I179" s="1240"/>
      <c r="J179" s="1238"/>
      <c r="K179" s="1238"/>
      <c r="L179" s="1238"/>
      <c r="M179" s="1260"/>
    </row>
    <row r="180" spans="1:13">
      <c r="A180" s="1260"/>
      <c r="B180" s="1260"/>
      <c r="C180" s="1260"/>
      <c r="D180" s="1260"/>
      <c r="E180" s="1357"/>
      <c r="F180" s="1355"/>
      <c r="G180" s="1357"/>
      <c r="H180" s="1261"/>
      <c r="I180" s="1240"/>
      <c r="J180" s="1238"/>
      <c r="K180" s="1238"/>
      <c r="L180" s="1238"/>
      <c r="M180" s="1260"/>
    </row>
    <row r="181" spans="1:13">
      <c r="A181" s="1260"/>
      <c r="B181" s="1260"/>
      <c r="C181" s="1260"/>
      <c r="D181" s="1260"/>
      <c r="E181" s="1357"/>
      <c r="F181" s="1355"/>
      <c r="G181" s="1357"/>
      <c r="H181" s="1261"/>
      <c r="I181" s="1240"/>
      <c r="J181" s="1238"/>
      <c r="K181" s="1238"/>
      <c r="L181" s="1238"/>
      <c r="M181" s="1238"/>
    </row>
    <row r="182" spans="1:13">
      <c r="A182" s="1260"/>
      <c r="B182" s="1260"/>
      <c r="C182" s="1260"/>
      <c r="D182" s="1260"/>
      <c r="E182" s="1357"/>
      <c r="F182" s="1355"/>
      <c r="G182" s="1357"/>
      <c r="H182" s="1261"/>
      <c r="I182" s="1240"/>
      <c r="J182" s="1238"/>
      <c r="K182" s="1238"/>
      <c r="L182" s="1238"/>
      <c r="M182" s="1238"/>
    </row>
    <row r="183" spans="1:13" ht="12.75">
      <c r="A183" s="1260"/>
      <c r="B183" s="1260"/>
      <c r="C183" s="1260"/>
      <c r="D183" s="1260"/>
      <c r="E183" s="1261"/>
      <c r="F183" s="1261"/>
      <c r="G183" s="1261"/>
      <c r="H183" s="1261"/>
      <c r="I183" s="1240"/>
      <c r="J183" s="1238"/>
      <c r="K183" s="1238"/>
      <c r="L183" s="1238"/>
      <c r="M183"/>
    </row>
    <row r="184" spans="1:13">
      <c r="A184" s="1260"/>
      <c r="B184" s="1260"/>
      <c r="C184" s="1355"/>
      <c r="D184" s="1260"/>
      <c r="E184" s="1357"/>
      <c r="F184" s="1355"/>
      <c r="G184" s="1357"/>
      <c r="H184" s="1261"/>
      <c r="I184" s="1240"/>
      <c r="J184" s="1238"/>
      <c r="K184" s="1238"/>
      <c r="L184" s="1238"/>
      <c r="M184" s="1260"/>
    </row>
    <row r="185" spans="1:13">
      <c r="A185" s="1260"/>
      <c r="B185" s="1260"/>
      <c r="C185" s="1355"/>
      <c r="D185" s="1260"/>
      <c r="E185" s="1357"/>
      <c r="F185" s="1355"/>
      <c r="G185" s="1357"/>
      <c r="H185" s="1261"/>
      <c r="I185" s="1240"/>
      <c r="J185" s="1238"/>
      <c r="K185" s="1238"/>
      <c r="L185" s="1238"/>
      <c r="M185" s="1260"/>
    </row>
    <row r="186" spans="1:13">
      <c r="A186" s="1260"/>
      <c r="B186" s="1260"/>
      <c r="C186" s="1355"/>
      <c r="D186" s="1260"/>
      <c r="E186" s="1357"/>
      <c r="F186" s="1355"/>
      <c r="G186" s="1357"/>
      <c r="H186" s="1261"/>
      <c r="I186" s="1240"/>
      <c r="J186" s="1238"/>
      <c r="K186" s="1238"/>
      <c r="L186" s="1238"/>
      <c r="M186" s="1260"/>
    </row>
    <row r="187" spans="1:13">
      <c r="A187" s="1260"/>
      <c r="B187" s="1260"/>
      <c r="C187" s="1355"/>
      <c r="D187" s="1260"/>
      <c r="E187" s="1357"/>
      <c r="F187" s="1355"/>
      <c r="G187" s="1357"/>
      <c r="H187" s="1261"/>
      <c r="I187" s="1240"/>
      <c r="J187" s="1238"/>
      <c r="K187" s="1238"/>
      <c r="L187" s="1238"/>
      <c r="M187" s="1260"/>
    </row>
    <row r="188" spans="1:13">
      <c r="A188" s="1260"/>
      <c r="B188" s="1260"/>
      <c r="C188" s="1355"/>
      <c r="D188" s="1260"/>
      <c r="E188" s="1357"/>
      <c r="F188" s="1355"/>
      <c r="G188" s="1357"/>
      <c r="H188" s="1261"/>
      <c r="I188" s="1240"/>
      <c r="J188" s="1238"/>
      <c r="K188" s="1238"/>
      <c r="L188" s="1238"/>
      <c r="M188" s="1260"/>
    </row>
    <row r="189" spans="1:13">
      <c r="A189" s="1260"/>
      <c r="B189" s="1260"/>
      <c r="C189" s="1355"/>
      <c r="D189" s="1260"/>
      <c r="E189" s="1357"/>
      <c r="F189" s="1355"/>
      <c r="G189" s="1357"/>
      <c r="H189" s="1261"/>
      <c r="I189" s="1240"/>
      <c r="J189" s="1238"/>
      <c r="K189" s="1238"/>
      <c r="L189" s="1238"/>
      <c r="M189" s="1260"/>
    </row>
    <row r="190" spans="1:13">
      <c r="A190" s="1260"/>
      <c r="B190" s="1260"/>
      <c r="C190" s="1355"/>
      <c r="D190" s="1260"/>
      <c r="E190" s="1357"/>
      <c r="F190" s="1355"/>
      <c r="G190" s="1357"/>
      <c r="H190" s="1261"/>
      <c r="I190" s="1240"/>
      <c r="J190" s="1238"/>
      <c r="K190" s="1238"/>
      <c r="L190" s="1238"/>
      <c r="M190" s="1260"/>
    </row>
    <row r="191" spans="1:13">
      <c r="A191" s="1260"/>
      <c r="B191" s="1260"/>
      <c r="C191" s="1355"/>
      <c r="D191" s="1260"/>
      <c r="E191" s="1356"/>
      <c r="F191" s="1357"/>
      <c r="G191" s="1357"/>
      <c r="H191" s="1261"/>
      <c r="I191" s="1240"/>
      <c r="J191" s="1238"/>
      <c r="K191" s="1238"/>
      <c r="L191" s="1238"/>
      <c r="M191" s="1260"/>
    </row>
    <row r="192" spans="1:13">
      <c r="A192" s="1260"/>
      <c r="B192" s="1260"/>
      <c r="C192" s="1355"/>
      <c r="D192" s="1260"/>
      <c r="E192" s="1356"/>
      <c r="F192" s="1357"/>
      <c r="G192" s="1357"/>
      <c r="H192" s="1261"/>
      <c r="I192" s="1240"/>
      <c r="J192" s="1242"/>
      <c r="K192" s="1242"/>
      <c r="L192" s="1242"/>
      <c r="M192" s="1260"/>
    </row>
    <row r="193" spans="1:13">
      <c r="A193" s="1260"/>
      <c r="B193" s="1260"/>
      <c r="C193" s="1355"/>
      <c r="D193" s="1260"/>
      <c r="E193" s="1356"/>
      <c r="F193" s="1357"/>
      <c r="G193" s="1357"/>
      <c r="H193" s="1261"/>
      <c r="I193" s="1240"/>
      <c r="J193" s="1242"/>
      <c r="K193" s="1242"/>
      <c r="L193" s="1242"/>
      <c r="M193" s="1260"/>
    </row>
    <row r="194" spans="1:13">
      <c r="A194" s="1260"/>
      <c r="B194" s="1260"/>
      <c r="C194" s="1355"/>
      <c r="D194" s="1260"/>
      <c r="E194" s="1356"/>
      <c r="F194" s="1357"/>
      <c r="G194" s="1357"/>
      <c r="H194" s="1261"/>
      <c r="I194" s="1240"/>
      <c r="J194" s="1242"/>
      <c r="K194" s="1242"/>
      <c r="L194" s="1242"/>
      <c r="M194" s="1260"/>
    </row>
    <row r="195" spans="1:13">
      <c r="A195" s="1260"/>
      <c r="B195" s="1260"/>
      <c r="C195" s="1355"/>
      <c r="D195" s="1260"/>
      <c r="E195" s="1356"/>
      <c r="F195" s="1357"/>
      <c r="G195" s="1357"/>
      <c r="H195" s="1261"/>
      <c r="I195" s="1240"/>
      <c r="J195" s="1242"/>
      <c r="K195" s="1242"/>
      <c r="L195" s="1242"/>
      <c r="M195" s="1260"/>
    </row>
    <row r="196" spans="1:13">
      <c r="A196" s="1260"/>
      <c r="B196" s="1260"/>
      <c r="C196" s="1355"/>
      <c r="D196" s="1260"/>
      <c r="E196" s="1356"/>
      <c r="F196" s="1357"/>
      <c r="G196" s="1357"/>
      <c r="H196" s="1261"/>
      <c r="I196" s="1240"/>
      <c r="J196" s="1242"/>
      <c r="K196" s="1242"/>
      <c r="L196" s="1242"/>
      <c r="M196" s="1260"/>
    </row>
    <row r="197" spans="1:13">
      <c r="A197" s="1260"/>
      <c r="B197" s="1260"/>
      <c r="C197" s="1355"/>
      <c r="D197" s="1260"/>
      <c r="E197" s="1356"/>
      <c r="F197" s="1357"/>
      <c r="G197" s="1357"/>
      <c r="H197" s="1261"/>
      <c r="I197" s="1240"/>
      <c r="J197" s="1238"/>
      <c r="K197" s="1238"/>
      <c r="L197" s="1238"/>
      <c r="M197" s="1260"/>
    </row>
    <row r="198" spans="1:13">
      <c r="A198" s="1260"/>
      <c r="B198" s="1260"/>
      <c r="C198" s="1355"/>
      <c r="D198" s="1260"/>
      <c r="E198" s="1356"/>
      <c r="F198" s="1357"/>
      <c r="G198" s="1357"/>
      <c r="H198" s="1261"/>
      <c r="I198" s="1240"/>
      <c r="J198" s="1238"/>
      <c r="K198" s="1238"/>
      <c r="L198" s="1238"/>
      <c r="M198" s="1260"/>
    </row>
    <row r="199" spans="1:13">
      <c r="A199" s="1260"/>
      <c r="B199" s="1260"/>
      <c r="C199" s="1355"/>
      <c r="D199" s="1260"/>
      <c r="E199" s="1356"/>
      <c r="F199" s="1357"/>
      <c r="G199" s="1357"/>
      <c r="H199" s="1261"/>
      <c r="I199" s="1240"/>
      <c r="J199" s="1238"/>
      <c r="K199" s="1238"/>
      <c r="L199" s="1238"/>
      <c r="M199" s="1260"/>
    </row>
    <row r="200" spans="1:13">
      <c r="A200" s="1260"/>
      <c r="B200" s="1260"/>
      <c r="C200" s="1355"/>
      <c r="D200" s="1260"/>
      <c r="E200" s="1356"/>
      <c r="F200" s="1357"/>
      <c r="G200" s="1357"/>
      <c r="H200" s="1261"/>
      <c r="I200" s="1240"/>
      <c r="J200" s="1238"/>
      <c r="K200" s="1238"/>
      <c r="L200" s="1238"/>
      <c r="M200" s="1260"/>
    </row>
    <row r="201" spans="1:13">
      <c r="A201" s="1260"/>
      <c r="B201" s="1260"/>
      <c r="C201" s="1355"/>
      <c r="D201" s="1260"/>
      <c r="E201" s="1356"/>
      <c r="F201" s="1357"/>
      <c r="G201" s="1357"/>
      <c r="H201" s="1261"/>
      <c r="I201" s="1240"/>
      <c r="J201" s="1238"/>
      <c r="K201" s="1238"/>
      <c r="L201" s="1238"/>
      <c r="M201" s="1260"/>
    </row>
    <row r="202" spans="1:13">
      <c r="A202" s="1260"/>
      <c r="B202" s="1260"/>
      <c r="C202" s="1355"/>
      <c r="D202" s="1260"/>
      <c r="E202" s="1356"/>
      <c r="F202" s="1357"/>
      <c r="G202" s="1357"/>
      <c r="H202" s="1261"/>
      <c r="I202" s="1240"/>
      <c r="J202" s="1238"/>
      <c r="K202" s="1238"/>
      <c r="L202" s="1238"/>
      <c r="M202" s="1260"/>
    </row>
    <row r="203" spans="1:13">
      <c r="A203" s="1260"/>
      <c r="B203" s="1260"/>
      <c r="C203" s="1355"/>
      <c r="D203" s="1260"/>
      <c r="E203" s="1356"/>
      <c r="F203" s="1357"/>
      <c r="G203" s="1357"/>
      <c r="H203" s="1261"/>
      <c r="I203" s="1240"/>
      <c r="J203" s="1238"/>
      <c r="K203" s="1238"/>
      <c r="L203" s="1238"/>
      <c r="M203" s="1260"/>
    </row>
    <row r="204" spans="1:13">
      <c r="A204" s="1260"/>
      <c r="B204" s="1260"/>
      <c r="C204" s="1355"/>
      <c r="D204" s="1260"/>
      <c r="E204" s="1356"/>
      <c r="F204" s="1357"/>
      <c r="G204" s="1357"/>
      <c r="H204" s="1261"/>
      <c r="I204" s="1240"/>
      <c r="J204" s="1238"/>
      <c r="K204" s="1238"/>
      <c r="L204" s="1238"/>
      <c r="M204" s="1260"/>
    </row>
    <row r="205" spans="1:13">
      <c r="A205" s="1260"/>
      <c r="B205" s="1260"/>
      <c r="C205" s="1355"/>
      <c r="D205" s="1260"/>
      <c r="E205" s="1356"/>
      <c r="F205" s="1357"/>
      <c r="G205" s="1357"/>
      <c r="H205" s="1261"/>
      <c r="I205" s="1240"/>
      <c r="J205" s="1238"/>
      <c r="K205" s="1238"/>
      <c r="L205" s="1238"/>
      <c r="M205" s="1260"/>
    </row>
    <row r="206" spans="1:13">
      <c r="A206" s="1260"/>
      <c r="B206" s="1260"/>
      <c r="C206" s="1355"/>
      <c r="D206" s="1260"/>
      <c r="E206" s="1356"/>
      <c r="F206" s="1357"/>
      <c r="G206" s="1357"/>
      <c r="H206" s="1261"/>
      <c r="I206" s="1240"/>
      <c r="J206" s="1238"/>
      <c r="K206" s="1238"/>
      <c r="L206" s="1238"/>
      <c r="M206" s="1260"/>
    </row>
    <row r="207" spans="1:13">
      <c r="A207" s="1260"/>
      <c r="B207" s="1260"/>
      <c r="C207" s="1355"/>
      <c r="D207" s="1260"/>
      <c r="E207" s="1356"/>
      <c r="F207" s="1357"/>
      <c r="G207" s="1357"/>
      <c r="H207" s="1261"/>
      <c r="I207" s="1240"/>
      <c r="J207" s="1242"/>
      <c r="K207" s="1242"/>
      <c r="L207" s="1242"/>
      <c r="M207" s="1260"/>
    </row>
    <row r="208" spans="1:13">
      <c r="A208" s="1260"/>
      <c r="B208" s="1260"/>
      <c r="C208" s="1355"/>
      <c r="D208" s="1260"/>
      <c r="E208" s="1356"/>
      <c r="F208" s="1357"/>
      <c r="G208" s="1357"/>
      <c r="H208" s="1261"/>
      <c r="I208" s="1240"/>
      <c r="J208" s="1242"/>
      <c r="K208" s="1242"/>
      <c r="L208" s="1242"/>
      <c r="M208" s="1260"/>
    </row>
    <row r="209" spans="1:13">
      <c r="A209" s="1260"/>
      <c r="B209" s="1260"/>
      <c r="C209" s="1355"/>
      <c r="D209" s="1260"/>
      <c r="E209" s="1356"/>
      <c r="F209" s="1357"/>
      <c r="G209" s="1357"/>
      <c r="H209" s="1261"/>
      <c r="I209" s="1240"/>
      <c r="J209" s="1242"/>
      <c r="K209" s="1242"/>
      <c r="L209" s="1242"/>
      <c r="M209" s="1260"/>
    </row>
    <row r="210" spans="1:13">
      <c r="A210" s="1260"/>
      <c r="B210" s="1260"/>
      <c r="C210" s="1355"/>
      <c r="D210" s="1260"/>
      <c r="E210" s="1356"/>
      <c r="F210" s="1357"/>
      <c r="G210" s="1357"/>
      <c r="H210" s="1261"/>
      <c r="I210" s="1240"/>
      <c r="J210" s="1242"/>
      <c r="K210" s="1242"/>
      <c r="L210" s="1242"/>
      <c r="M210" s="1260"/>
    </row>
    <row r="211" spans="1:13">
      <c r="A211" s="1260"/>
      <c r="B211" s="1260"/>
      <c r="C211" s="1355"/>
      <c r="D211" s="1260"/>
      <c r="E211" s="1356"/>
      <c r="F211" s="1357"/>
      <c r="G211" s="1357"/>
      <c r="H211" s="1261"/>
      <c r="I211" s="1240"/>
      <c r="J211" s="1242"/>
      <c r="K211" s="1242"/>
      <c r="L211" s="1242"/>
      <c r="M211" s="1260"/>
    </row>
    <row r="212" spans="1:13">
      <c r="A212" s="1260"/>
      <c r="B212" s="1260"/>
      <c r="C212" s="1355"/>
      <c r="D212" s="1260"/>
      <c r="E212" s="1356"/>
      <c r="F212" s="1357"/>
      <c r="G212" s="1357"/>
      <c r="H212" s="1261"/>
      <c r="I212" s="1240"/>
      <c r="J212" s="1242"/>
      <c r="K212" s="1242"/>
      <c r="L212" s="1242"/>
      <c r="M212" s="1260"/>
    </row>
    <row r="213" spans="1:13">
      <c r="A213" s="1260"/>
      <c r="B213" s="1260"/>
      <c r="C213" s="1260"/>
      <c r="D213" s="1260"/>
      <c r="E213" s="1261"/>
      <c r="F213" s="1261"/>
      <c r="G213" s="1261"/>
      <c r="H213" s="1261"/>
      <c r="I213" s="1240"/>
      <c r="J213" s="1238"/>
      <c r="K213" s="1238"/>
      <c r="L213" s="1238"/>
      <c r="M213" s="1260"/>
    </row>
    <row r="214" spans="1:13">
      <c r="A214" s="1260"/>
      <c r="B214" s="1260"/>
      <c r="C214" s="1355"/>
      <c r="D214" s="1260"/>
      <c r="E214" s="1357"/>
      <c r="F214" s="1355"/>
      <c r="G214" s="1357"/>
      <c r="H214" s="1261"/>
      <c r="I214" s="1240"/>
      <c r="J214" s="1238"/>
      <c r="K214" s="1238"/>
      <c r="L214" s="1238"/>
      <c r="M214" s="1260"/>
    </row>
    <row r="215" spans="1:13">
      <c r="A215" s="1260"/>
      <c r="B215" s="1260"/>
      <c r="C215" s="1355"/>
      <c r="D215" s="1260"/>
      <c r="E215" s="1357"/>
      <c r="F215" s="1355"/>
      <c r="G215" s="1357"/>
      <c r="H215" s="1261"/>
      <c r="I215" s="1240"/>
      <c r="J215" s="1238"/>
      <c r="K215" s="1238"/>
      <c r="L215" s="1238"/>
      <c r="M215" s="1260"/>
    </row>
    <row r="216" spans="1:13">
      <c r="A216" s="1260"/>
      <c r="B216" s="1260"/>
      <c r="C216" s="1355"/>
      <c r="D216" s="1260"/>
      <c r="E216" s="1357"/>
      <c r="F216" s="1355"/>
      <c r="G216" s="1357"/>
      <c r="H216" s="1261"/>
      <c r="I216" s="1240"/>
      <c r="J216" s="1238"/>
      <c r="K216" s="1238"/>
      <c r="L216" s="1238"/>
      <c r="M216" s="1260"/>
    </row>
    <row r="217" spans="1:13">
      <c r="A217" s="1260"/>
      <c r="B217" s="1260"/>
      <c r="C217" s="1355"/>
      <c r="D217" s="1260"/>
      <c r="E217" s="1357"/>
      <c r="F217" s="1355"/>
      <c r="G217" s="1357"/>
      <c r="H217" s="1261"/>
      <c r="I217" s="1240"/>
      <c r="J217" s="1238"/>
      <c r="K217" s="1238"/>
      <c r="L217" s="1238"/>
      <c r="M217" s="1260"/>
    </row>
    <row r="218" spans="1:13">
      <c r="A218" s="1260"/>
      <c r="B218" s="1260"/>
      <c r="C218" s="1355"/>
      <c r="D218" s="1260"/>
      <c r="E218" s="1357"/>
      <c r="F218" s="1355"/>
      <c r="G218" s="1357"/>
      <c r="H218" s="1261"/>
      <c r="I218" s="1240"/>
      <c r="J218" s="1238"/>
      <c r="K218" s="1238"/>
      <c r="L218" s="1238"/>
      <c r="M218" s="1260"/>
    </row>
    <row r="219" spans="1:13">
      <c r="A219" s="1260"/>
      <c r="B219" s="1260"/>
      <c r="C219" s="1355"/>
      <c r="D219" s="1260"/>
      <c r="E219" s="1357"/>
      <c r="F219" s="1355"/>
      <c r="G219" s="1357"/>
      <c r="H219" s="1261"/>
      <c r="I219" s="1240"/>
      <c r="J219" s="1238"/>
      <c r="K219" s="1238"/>
      <c r="L219" s="1238"/>
      <c r="M219" s="1260"/>
    </row>
    <row r="220" spans="1:13">
      <c r="A220" s="1260"/>
      <c r="B220" s="1260"/>
      <c r="C220" s="1355"/>
      <c r="D220" s="1260"/>
      <c r="E220" s="1357"/>
      <c r="F220" s="1355"/>
      <c r="G220" s="1357"/>
      <c r="H220" s="1261"/>
      <c r="I220" s="1240"/>
      <c r="J220" s="1238"/>
      <c r="K220" s="1238"/>
      <c r="L220" s="1238"/>
      <c r="M220" s="1260"/>
    </row>
    <row r="221" spans="1:13">
      <c r="A221" s="1260"/>
      <c r="B221" s="1260"/>
      <c r="C221" s="1355"/>
      <c r="D221" s="1260"/>
      <c r="E221" s="1357"/>
      <c r="F221" s="1355"/>
      <c r="G221" s="1357"/>
      <c r="H221" s="1261"/>
      <c r="I221" s="1240"/>
      <c r="J221" s="1238"/>
      <c r="K221" s="1238"/>
      <c r="L221" s="1238"/>
      <c r="M221" s="1260"/>
    </row>
    <row r="222" spans="1:13">
      <c r="A222" s="1260"/>
      <c r="B222" s="1260"/>
      <c r="C222" s="1355"/>
      <c r="D222" s="1260"/>
      <c r="E222" s="1357"/>
      <c r="F222" s="1355"/>
      <c r="G222" s="1357"/>
      <c r="H222" s="1261"/>
      <c r="I222" s="1240"/>
      <c r="J222" s="1238"/>
      <c r="K222" s="1238"/>
      <c r="L222" s="1238"/>
      <c r="M222" s="1260"/>
    </row>
    <row r="223" spans="1:13">
      <c r="A223" s="1260"/>
      <c r="B223" s="1260"/>
      <c r="C223" s="1355"/>
      <c r="D223" s="1260"/>
      <c r="E223" s="1357"/>
      <c r="F223" s="1355"/>
      <c r="G223" s="1357"/>
      <c r="H223" s="1261"/>
      <c r="I223" s="1240"/>
      <c r="J223" s="1238"/>
      <c r="K223" s="1238"/>
      <c r="L223" s="1238"/>
      <c r="M223" s="1260"/>
    </row>
    <row r="224" spans="1:13">
      <c r="A224" s="1260"/>
      <c r="B224" s="1260"/>
      <c r="C224" s="1260"/>
      <c r="D224" s="1260"/>
      <c r="E224" s="1261"/>
      <c r="F224" s="1261"/>
      <c r="G224" s="1261"/>
      <c r="H224" s="1261"/>
      <c r="I224" s="1240"/>
      <c r="J224" s="1238"/>
      <c r="K224" s="1238"/>
      <c r="L224" s="1238"/>
      <c r="M224" s="1260"/>
    </row>
    <row r="225" spans="1:13">
      <c r="A225" s="1260"/>
      <c r="B225" s="1260"/>
      <c r="C225" s="1260"/>
      <c r="D225" s="1260"/>
      <c r="E225" s="1261"/>
      <c r="F225" s="1261"/>
      <c r="G225" s="1261"/>
      <c r="H225" s="1261"/>
      <c r="I225" s="1240"/>
      <c r="J225" s="1238"/>
      <c r="K225" s="1238"/>
      <c r="L225" s="1238"/>
      <c r="M225" s="1260"/>
    </row>
    <row r="226" spans="1:13">
      <c r="A226" s="1260"/>
      <c r="B226" s="1260"/>
      <c r="C226" s="1260"/>
      <c r="D226" s="1260"/>
      <c r="E226" s="1261"/>
      <c r="F226" s="1261"/>
      <c r="G226" s="1357"/>
      <c r="H226" s="1261"/>
      <c r="I226" s="1240"/>
      <c r="J226" s="1238"/>
      <c r="K226" s="1238"/>
      <c r="L226" s="1238"/>
      <c r="M226" s="1260"/>
    </row>
    <row r="227" spans="1:13">
      <c r="A227" s="1260"/>
      <c r="B227" s="1260"/>
      <c r="C227" s="1260"/>
      <c r="D227" s="1260"/>
      <c r="E227" s="1261"/>
      <c r="F227" s="1261"/>
      <c r="G227" s="1357"/>
      <c r="H227" s="1261"/>
      <c r="I227" s="1240"/>
      <c r="J227" s="1238"/>
      <c r="K227" s="1238"/>
      <c r="L227" s="1238"/>
      <c r="M227" s="1260"/>
    </row>
    <row r="228" spans="1:13">
      <c r="A228" s="1260"/>
      <c r="B228" s="1260"/>
      <c r="C228" s="1260"/>
      <c r="D228" s="1260"/>
      <c r="E228" s="1261"/>
      <c r="F228" s="1261"/>
      <c r="G228" s="1357"/>
      <c r="H228" s="1261"/>
      <c r="I228" s="1240"/>
      <c r="J228" s="1238"/>
      <c r="K228" s="1238"/>
      <c r="L228" s="1238"/>
      <c r="M228" s="1260"/>
    </row>
    <row r="229" spans="1:13">
      <c r="A229" s="1260"/>
      <c r="B229" s="1260"/>
      <c r="C229" s="1260"/>
      <c r="D229" s="1260"/>
      <c r="E229" s="1261"/>
      <c r="F229" s="1261"/>
      <c r="G229" s="1357"/>
      <c r="H229" s="1261"/>
      <c r="I229" s="1240"/>
      <c r="J229" s="1238"/>
      <c r="K229" s="1238"/>
      <c r="L229" s="1238"/>
      <c r="M229" s="1260"/>
    </row>
    <row r="230" spans="1:13">
      <c r="A230" s="1260"/>
      <c r="B230" s="1260"/>
      <c r="C230" s="1260"/>
      <c r="D230" s="1260"/>
      <c r="E230" s="1261"/>
      <c r="F230" s="1261"/>
      <c r="G230" s="1357"/>
      <c r="H230" s="1261"/>
      <c r="I230" s="1240"/>
      <c r="J230" s="1238"/>
      <c r="K230" s="1238"/>
      <c r="L230" s="1238"/>
      <c r="M230" s="1260"/>
    </row>
    <row r="231" spans="1:13">
      <c r="A231" s="1260"/>
      <c r="B231" s="1260"/>
      <c r="C231" s="1260"/>
      <c r="D231" s="1260"/>
      <c r="E231" s="1261"/>
      <c r="F231" s="1261"/>
      <c r="G231" s="1357"/>
      <c r="H231" s="1261"/>
      <c r="I231" s="1240"/>
      <c r="J231" s="1238"/>
      <c r="K231" s="1238"/>
      <c r="L231" s="1238"/>
      <c r="M231" s="1260"/>
    </row>
    <row r="232" spans="1:13">
      <c r="A232" s="1260"/>
      <c r="B232" s="1260"/>
      <c r="C232" s="1260"/>
      <c r="D232" s="1260"/>
      <c r="E232" s="1261"/>
      <c r="F232" s="1261"/>
      <c r="G232" s="1357"/>
      <c r="H232" s="1261"/>
      <c r="I232" s="1240"/>
      <c r="J232" s="1238"/>
      <c r="K232" s="1238"/>
      <c r="L232" s="1238"/>
      <c r="M232" s="1260"/>
    </row>
    <row r="233" spans="1:13">
      <c r="A233" s="1260"/>
      <c r="B233" s="1260"/>
      <c r="C233" s="1260"/>
      <c r="D233" s="1260"/>
      <c r="E233" s="1261"/>
      <c r="F233" s="1261"/>
      <c r="G233" s="1357"/>
      <c r="H233" s="1261"/>
      <c r="I233" s="1240"/>
      <c r="J233" s="1238"/>
      <c r="K233" s="1238"/>
      <c r="L233" s="1238"/>
      <c r="M233" s="1260"/>
    </row>
    <row r="234" spans="1:13">
      <c r="A234" s="1260"/>
      <c r="B234" s="1260"/>
      <c r="C234" s="1260"/>
      <c r="D234" s="1260"/>
      <c r="E234" s="1261"/>
      <c r="F234" s="1261"/>
      <c r="G234" s="1357"/>
      <c r="H234" s="1261"/>
      <c r="I234" s="1240"/>
      <c r="J234" s="1238"/>
      <c r="K234" s="1238"/>
      <c r="L234" s="1238"/>
      <c r="M234" s="1260"/>
    </row>
    <row r="235" spans="1:13">
      <c r="A235" s="1260"/>
      <c r="B235" s="1260"/>
      <c r="C235" s="1260"/>
      <c r="D235" s="1260"/>
      <c r="E235" s="1261"/>
      <c r="F235" s="1261"/>
      <c r="G235" s="1357"/>
      <c r="H235" s="1261"/>
      <c r="I235" s="1240"/>
      <c r="J235" s="1238"/>
      <c r="K235" s="1238"/>
      <c r="L235" s="1238"/>
      <c r="M235" s="1260"/>
    </row>
    <row r="236" spans="1:13">
      <c r="A236" s="1260"/>
      <c r="B236" s="1260"/>
      <c r="C236" s="1260"/>
      <c r="D236" s="1260"/>
      <c r="E236" s="1261"/>
      <c r="F236" s="1261"/>
      <c r="G236" s="1357"/>
      <c r="H236" s="1261"/>
      <c r="I236" s="1240"/>
      <c r="J236" s="1238"/>
      <c r="K236" s="1238"/>
      <c r="L236" s="1238"/>
      <c r="M236" s="1260"/>
    </row>
    <row r="237" spans="1:13">
      <c r="A237" s="1260"/>
      <c r="B237" s="1260"/>
      <c r="C237" s="1260"/>
      <c r="D237" s="1260"/>
      <c r="E237" s="1261"/>
      <c r="F237" s="1261"/>
      <c r="G237" s="1357"/>
      <c r="H237" s="1261"/>
      <c r="I237" s="1240"/>
      <c r="J237" s="1238"/>
      <c r="K237" s="1238"/>
      <c r="L237" s="1238"/>
      <c r="M237" s="1260"/>
    </row>
    <row r="238" spans="1:13">
      <c r="A238" s="1260"/>
      <c r="B238" s="1260"/>
      <c r="C238" s="1260"/>
      <c r="D238" s="1260"/>
      <c r="E238" s="1261"/>
      <c r="F238" s="1261"/>
      <c r="G238" s="1357"/>
      <c r="H238" s="1261"/>
      <c r="I238" s="1240"/>
      <c r="J238" s="1238"/>
      <c r="K238" s="1238"/>
      <c r="L238" s="1238"/>
      <c r="M238" s="1260"/>
    </row>
    <row r="239" spans="1:13">
      <c r="A239" s="1260"/>
      <c r="B239" s="1260"/>
      <c r="C239" s="1260"/>
      <c r="D239" s="1260"/>
      <c r="E239" s="1261"/>
      <c r="F239" s="1261"/>
      <c r="G239" s="1357"/>
      <c r="H239" s="1261"/>
      <c r="I239" s="1240"/>
      <c r="J239" s="1238"/>
      <c r="K239" s="1238"/>
      <c r="L239" s="1238"/>
      <c r="M239" s="1260"/>
    </row>
    <row r="240" spans="1:13">
      <c r="A240" s="1260"/>
      <c r="B240" s="1260"/>
      <c r="C240" s="1260"/>
      <c r="D240" s="1260"/>
      <c r="E240" s="1261"/>
      <c r="F240" s="1261"/>
      <c r="G240" s="1357"/>
      <c r="H240" s="1261"/>
      <c r="I240" s="1240"/>
      <c r="J240" s="1238"/>
      <c r="K240" s="1238"/>
      <c r="L240" s="1238"/>
      <c r="M240" s="1260"/>
    </row>
    <row r="241" spans="1:13">
      <c r="A241" s="1260"/>
      <c r="B241" s="1260"/>
      <c r="C241" s="1260"/>
      <c r="D241" s="1260"/>
      <c r="E241" s="1261"/>
      <c r="F241" s="1261"/>
      <c r="G241" s="1357"/>
      <c r="H241" s="1261"/>
      <c r="I241" s="1240"/>
      <c r="J241" s="1238"/>
      <c r="K241" s="1238"/>
      <c r="L241" s="1238"/>
      <c r="M241" s="1260"/>
    </row>
    <row r="242" spans="1:13">
      <c r="A242" s="1260"/>
      <c r="B242" s="1260"/>
      <c r="C242" s="1260"/>
      <c r="D242" s="1260"/>
      <c r="E242" s="1261"/>
      <c r="F242" s="1261"/>
      <c r="G242" s="1357"/>
      <c r="H242" s="1261"/>
      <c r="I242" s="1240"/>
      <c r="J242" s="1238"/>
      <c r="K242" s="1238"/>
      <c r="L242" s="1238"/>
      <c r="M242" s="1260"/>
    </row>
    <row r="243" spans="1:13">
      <c r="A243" s="1260"/>
      <c r="B243" s="1260"/>
      <c r="C243" s="1260"/>
      <c r="D243" s="1260"/>
      <c r="E243" s="1261"/>
      <c r="F243" s="1261"/>
      <c r="G243" s="1357"/>
      <c r="H243" s="1261"/>
      <c r="I243" s="1240"/>
      <c r="J243" s="1238"/>
      <c r="K243" s="1238"/>
      <c r="L243" s="1238"/>
      <c r="M243" s="1260"/>
    </row>
    <row r="244" spans="1:13">
      <c r="A244" s="1260"/>
      <c r="B244" s="1260"/>
      <c r="C244" s="1260"/>
      <c r="D244" s="1260"/>
      <c r="E244" s="1261"/>
      <c r="F244" s="1261"/>
      <c r="G244" s="1357"/>
      <c r="H244" s="1261"/>
      <c r="I244" s="1240"/>
      <c r="J244" s="1238"/>
      <c r="K244" s="1238"/>
      <c r="L244" s="1238"/>
      <c r="M244" s="1260"/>
    </row>
    <row r="245" spans="1:13">
      <c r="A245" s="1260"/>
      <c r="B245" s="1260"/>
      <c r="C245" s="1260"/>
      <c r="D245" s="1260"/>
      <c r="E245" s="1261"/>
      <c r="F245" s="1261"/>
      <c r="G245" s="1357"/>
      <c r="H245" s="1261"/>
      <c r="I245" s="1240"/>
      <c r="J245" s="1238"/>
      <c r="K245" s="1238"/>
      <c r="L245" s="1238"/>
      <c r="M245" s="1260"/>
    </row>
    <row r="246" spans="1:13">
      <c r="A246" s="1260"/>
      <c r="B246" s="1260"/>
      <c r="C246" s="1260"/>
      <c r="D246" s="1260"/>
      <c r="E246" s="1261"/>
      <c r="F246" s="1261"/>
      <c r="G246" s="1357"/>
      <c r="H246" s="1261"/>
      <c r="I246" s="1240"/>
      <c r="J246" s="1238"/>
      <c r="K246" s="1238"/>
      <c r="L246" s="1238"/>
      <c r="M246" s="1260"/>
    </row>
    <row r="247" spans="1:13">
      <c r="A247" s="1260"/>
      <c r="B247" s="1260"/>
      <c r="C247" s="1260"/>
      <c r="D247" s="1260"/>
      <c r="E247" s="1261"/>
      <c r="F247" s="1261"/>
      <c r="G247" s="1357"/>
      <c r="H247" s="1261"/>
      <c r="I247" s="1240"/>
      <c r="J247" s="1238"/>
      <c r="K247" s="1238"/>
      <c r="L247" s="1238"/>
      <c r="M247" s="1260"/>
    </row>
    <row r="248" spans="1:13">
      <c r="A248" s="1260"/>
      <c r="B248" s="1260"/>
      <c r="C248" s="1260"/>
      <c r="D248" s="1260"/>
      <c r="E248" s="1261"/>
      <c r="F248" s="1261"/>
      <c r="G248" s="1357"/>
      <c r="H248" s="1261"/>
      <c r="I248" s="1240"/>
      <c r="J248" s="1238"/>
      <c r="K248" s="1238"/>
      <c r="L248" s="1238"/>
      <c r="M248" s="1260"/>
    </row>
    <row r="249" spans="1:13">
      <c r="A249" s="1260"/>
      <c r="B249" s="1260"/>
      <c r="C249" s="1260"/>
      <c r="D249" s="1260"/>
      <c r="E249" s="1261"/>
      <c r="F249" s="1261"/>
      <c r="G249" s="1357"/>
      <c r="H249" s="1261"/>
      <c r="I249" s="1240"/>
      <c r="J249" s="1238"/>
      <c r="K249" s="1238"/>
      <c r="L249" s="1238"/>
      <c r="M249" s="1260"/>
    </row>
    <row r="250" spans="1:13">
      <c r="C250" s="1260"/>
      <c r="D250" s="1260"/>
      <c r="E250" s="1261"/>
      <c r="F250" s="1261"/>
      <c r="G250" s="1357"/>
      <c r="H250" s="1261"/>
      <c r="I250" s="1240"/>
      <c r="J250" s="1238"/>
      <c r="K250" s="1238"/>
      <c r="L250" s="1238"/>
      <c r="M250" s="1260"/>
    </row>
  </sheetData>
  <phoneticPr fontId="49" type="noConversion"/>
  <pageMargins left="0.18" right="0.7" top="0.17" bottom="0.22" header="0.3" footer="0.3"/>
  <pageSetup scale="63" fitToHeight="2" orientation="landscape" r:id="rId1"/>
  <rowBreaks count="1" manualBreakCount="1">
    <brk id="35" max="11"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A1:AO41"/>
  <sheetViews>
    <sheetView zoomScale="65" zoomScaleNormal="65" workbookViewId="0">
      <pane xSplit="3" ySplit="4" topLeftCell="D5" activePane="bottomRight" state="frozen"/>
      <selection pane="topRight" activeCell="D1" sqref="D1"/>
      <selection pane="bottomLeft" activeCell="A5" sqref="A5"/>
      <selection pane="bottomRight" activeCell="G46" sqref="G46"/>
    </sheetView>
  </sheetViews>
  <sheetFormatPr defaultRowHeight="12.75"/>
  <cols>
    <col min="1" max="1" width="7.140625" customWidth="1"/>
    <col min="2" max="2" width="15.5703125" style="41" customWidth="1"/>
    <col min="3" max="3" width="41.42578125" customWidth="1"/>
    <col min="4" max="7" width="15.7109375" style="329" bestFit="1" customWidth="1"/>
    <col min="8" max="8" width="15.28515625" style="329" bestFit="1" customWidth="1"/>
    <col min="9" max="9" width="15.7109375" style="329" bestFit="1" customWidth="1"/>
    <col min="10" max="11" width="15.28515625" style="329" bestFit="1" customWidth="1"/>
    <col min="12" max="16" width="15.7109375" style="329" bestFit="1" customWidth="1"/>
    <col min="17" max="17" width="20.85546875" style="329" bestFit="1" customWidth="1"/>
    <col min="18" max="18" width="4" style="329" customWidth="1"/>
    <col min="19" max="19" width="8.28515625" bestFit="1" customWidth="1"/>
    <col min="20" max="20" width="15.5703125" customWidth="1"/>
    <col min="21" max="21" width="16.85546875" customWidth="1"/>
    <col min="22" max="22" width="12.28515625" bestFit="1" customWidth="1"/>
    <col min="23" max="23" width="17.140625" customWidth="1"/>
    <col min="25" max="25" width="11.28515625" bestFit="1" customWidth="1"/>
    <col min="26" max="26" width="13.7109375" customWidth="1"/>
    <col min="27" max="27" width="36.42578125" customWidth="1"/>
    <col min="28" max="38" width="16.42578125" customWidth="1"/>
    <col min="39" max="40" width="14.28515625" bestFit="1" customWidth="1"/>
    <col min="41" max="41" width="2.7109375" customWidth="1"/>
  </cols>
  <sheetData>
    <row r="1" spans="1:40" ht="15.75">
      <c r="A1" s="1" t="s">
        <v>540</v>
      </c>
      <c r="P1" s="285"/>
    </row>
    <row r="2" spans="1:40">
      <c r="B2" s="1244"/>
      <c r="D2" s="600" t="s">
        <v>183</v>
      </c>
      <c r="E2" s="600" t="s">
        <v>474</v>
      </c>
      <c r="F2" s="600" t="s">
        <v>475</v>
      </c>
      <c r="G2" s="600" t="s">
        <v>476</v>
      </c>
      <c r="H2" s="600" t="s">
        <v>622</v>
      </c>
      <c r="I2" s="600" t="s">
        <v>623</v>
      </c>
      <c r="J2" s="600" t="s">
        <v>624</v>
      </c>
      <c r="K2" s="600" t="s">
        <v>477</v>
      </c>
      <c r="L2" s="600" t="s">
        <v>478</v>
      </c>
      <c r="M2" s="600" t="s">
        <v>479</v>
      </c>
      <c r="N2" s="600" t="s">
        <v>480</v>
      </c>
      <c r="O2" s="600" t="s">
        <v>481</v>
      </c>
      <c r="P2" s="600" t="s">
        <v>183</v>
      </c>
      <c r="Q2" s="600" t="s">
        <v>412</v>
      </c>
    </row>
    <row r="3" spans="1:40">
      <c r="A3" s="325" t="s">
        <v>186</v>
      </c>
      <c r="B3" s="325" t="s">
        <v>187</v>
      </c>
      <c r="C3" s="325" t="s">
        <v>188</v>
      </c>
      <c r="D3" s="334">
        <v>2024</v>
      </c>
      <c r="E3" s="333">
        <v>2025</v>
      </c>
      <c r="F3" s="333">
        <v>2025</v>
      </c>
      <c r="G3" s="333">
        <v>2025</v>
      </c>
      <c r="H3" s="333">
        <v>2025</v>
      </c>
      <c r="I3" s="333">
        <v>2025</v>
      </c>
      <c r="J3" s="333">
        <v>2025</v>
      </c>
      <c r="K3" s="333">
        <v>2025</v>
      </c>
      <c r="L3" s="333">
        <v>2025</v>
      </c>
      <c r="M3" s="333">
        <v>2025</v>
      </c>
      <c r="N3" s="333">
        <v>2025</v>
      </c>
      <c r="O3" s="333">
        <v>2025</v>
      </c>
      <c r="P3" s="333">
        <v>2025</v>
      </c>
      <c r="Q3" s="601" t="s">
        <v>214</v>
      </c>
      <c r="R3" s="335"/>
      <c r="T3" s="644" t="s">
        <v>189</v>
      </c>
      <c r="U3" s="644" t="s">
        <v>190</v>
      </c>
      <c r="V3" s="644" t="s">
        <v>191</v>
      </c>
      <c r="W3" s="644" t="s">
        <v>117</v>
      </c>
    </row>
    <row r="4" spans="1:40">
      <c r="B4" s="110" t="s">
        <v>211</v>
      </c>
      <c r="C4" s="69"/>
      <c r="D4" s="285"/>
      <c r="E4" s="285"/>
      <c r="F4" s="285"/>
      <c r="G4" s="285"/>
      <c r="H4" s="285"/>
      <c r="I4" s="285"/>
      <c r="J4" s="285"/>
      <c r="K4" s="285"/>
      <c r="L4" s="285"/>
      <c r="M4" s="285"/>
      <c r="N4" s="285"/>
      <c r="O4" s="285"/>
      <c r="P4" s="285"/>
      <c r="Q4" s="335"/>
      <c r="R4" s="335"/>
    </row>
    <row r="5" spans="1:40">
      <c r="A5" s="338" t="s">
        <v>126</v>
      </c>
      <c r="B5" s="338" t="s">
        <v>1272</v>
      </c>
      <c r="C5" s="102" t="s">
        <v>1273</v>
      </c>
      <c r="D5" s="1351">
        <v>231483</v>
      </c>
      <c r="E5" s="1351">
        <v>216188.43</v>
      </c>
      <c r="F5" s="1351">
        <v>200893.86</v>
      </c>
      <c r="G5" s="1351">
        <v>1493291.25</v>
      </c>
      <c r="H5" s="1351">
        <v>1343248.02</v>
      </c>
      <c r="I5" s="1351">
        <v>1193204.79</v>
      </c>
      <c r="J5" s="1351">
        <v>1043161.56</v>
      </c>
      <c r="K5" s="1351">
        <v>893118.33</v>
      </c>
      <c r="L5" s="1351">
        <v>743075.1</v>
      </c>
      <c r="M5" s="1351">
        <v>754130.09000000008</v>
      </c>
      <c r="N5" s="1351">
        <v>723015.83</v>
      </c>
      <c r="O5" s="1351">
        <v>691901.57000000007</v>
      </c>
      <c r="P5" s="1351">
        <v>660787.31000000006</v>
      </c>
      <c r="Q5" s="470">
        <f>AVERAGE(D5:P5)</f>
        <v>783653.78</v>
      </c>
      <c r="R5" s="328"/>
      <c r="S5" s="102" t="s">
        <v>1228</v>
      </c>
      <c r="V5" s="327">
        <f>+Q5</f>
        <v>783653.78</v>
      </c>
    </row>
    <row r="6" spans="1:40">
      <c r="B6" s="330" t="s">
        <v>131</v>
      </c>
      <c r="C6" s="331"/>
      <c r="D6" s="336">
        <f t="shared" ref="D6:Q6" si="0">SUM(D5:D5)</f>
        <v>231483</v>
      </c>
      <c r="E6" s="336">
        <f t="shared" si="0"/>
        <v>216188.43</v>
      </c>
      <c r="F6" s="336">
        <f t="shared" si="0"/>
        <v>200893.86</v>
      </c>
      <c r="G6" s="336">
        <f t="shared" si="0"/>
        <v>1493291.25</v>
      </c>
      <c r="H6" s="336">
        <f t="shared" si="0"/>
        <v>1343248.02</v>
      </c>
      <c r="I6" s="336">
        <f t="shared" si="0"/>
        <v>1193204.79</v>
      </c>
      <c r="J6" s="336">
        <f t="shared" si="0"/>
        <v>1043161.56</v>
      </c>
      <c r="K6" s="336">
        <f t="shared" si="0"/>
        <v>893118.33</v>
      </c>
      <c r="L6" s="336">
        <f t="shared" si="0"/>
        <v>743075.1</v>
      </c>
      <c r="M6" s="336">
        <f t="shared" si="0"/>
        <v>754130.09000000008</v>
      </c>
      <c r="N6" s="336">
        <f t="shared" si="0"/>
        <v>723015.83</v>
      </c>
      <c r="O6" s="336">
        <f t="shared" si="0"/>
        <v>691901.57000000007</v>
      </c>
      <c r="P6" s="336">
        <f t="shared" si="0"/>
        <v>660787.31000000006</v>
      </c>
      <c r="Q6" s="336">
        <f t="shared" si="0"/>
        <v>783653.78</v>
      </c>
      <c r="R6" s="337"/>
      <c r="S6" s="332"/>
      <c r="T6" s="332"/>
      <c r="U6" s="332"/>
      <c r="V6" s="643">
        <f>SUM(V5:V5)</f>
        <v>783653.78</v>
      </c>
      <c r="AB6" s="599"/>
      <c r="AC6" s="599"/>
      <c r="AD6" s="599"/>
      <c r="AE6" s="599"/>
      <c r="AF6" s="599"/>
      <c r="AG6" s="599"/>
      <c r="AH6" s="599"/>
      <c r="AI6" s="599"/>
      <c r="AJ6" s="599"/>
      <c r="AK6" s="599"/>
      <c r="AL6" s="599"/>
      <c r="AN6" s="599"/>
    </row>
    <row r="7" spans="1:40">
      <c r="B7" s="69"/>
      <c r="C7" s="69"/>
      <c r="D7" s="1290"/>
      <c r="E7" s="1290"/>
      <c r="F7" s="1290"/>
      <c r="G7" s="1290"/>
      <c r="H7" s="1290"/>
      <c r="I7" s="1290"/>
      <c r="J7" s="1290"/>
      <c r="K7" s="1290"/>
      <c r="L7" s="1290"/>
      <c r="M7" s="1290"/>
      <c r="N7" s="1290"/>
      <c r="O7" s="1290"/>
      <c r="P7" s="1291"/>
      <c r="Q7" s="335"/>
      <c r="R7" s="328"/>
      <c r="S7" s="102"/>
      <c r="V7" s="327"/>
      <c r="AB7" s="599"/>
      <c r="AC7" s="599"/>
      <c r="AD7" s="599"/>
      <c r="AE7" s="599"/>
      <c r="AF7" s="599"/>
      <c r="AG7" s="599"/>
      <c r="AH7" s="599"/>
      <c r="AI7" s="599"/>
      <c r="AJ7" s="599"/>
      <c r="AK7" s="599"/>
      <c r="AL7" s="599"/>
      <c r="AM7" s="599"/>
      <c r="AN7" s="599"/>
    </row>
    <row r="8" spans="1:40">
      <c r="B8" s="69"/>
      <c r="C8" s="69"/>
      <c r="D8" s="1290"/>
      <c r="E8" s="1290"/>
      <c r="F8" s="1290"/>
      <c r="G8" s="1290"/>
      <c r="H8" s="1290"/>
      <c r="I8" s="1290"/>
      <c r="J8" s="1290"/>
      <c r="K8" s="1290"/>
      <c r="L8" s="1290"/>
      <c r="M8" s="1290"/>
      <c r="N8" s="1290"/>
      <c r="O8" s="1290"/>
      <c r="P8" s="1291"/>
      <c r="Q8" s="335"/>
      <c r="AB8" s="599"/>
      <c r="AC8" s="599"/>
      <c r="AD8" s="599"/>
      <c r="AF8" s="599"/>
      <c r="AG8" s="599"/>
      <c r="AH8" s="599"/>
      <c r="AI8" s="599"/>
      <c r="AJ8" s="599"/>
      <c r="AK8" s="599"/>
      <c r="AL8" s="599"/>
      <c r="AM8" s="599"/>
      <c r="AN8" s="599"/>
    </row>
    <row r="9" spans="1:40">
      <c r="B9" s="110" t="s">
        <v>212</v>
      </c>
      <c r="C9" s="69"/>
      <c r="D9" s="1290"/>
      <c r="E9" s="1290"/>
      <c r="F9" s="1290"/>
      <c r="G9" s="1290"/>
      <c r="H9" s="1290"/>
      <c r="I9" s="1290"/>
      <c r="J9" s="1290"/>
      <c r="K9" s="1290"/>
      <c r="L9" s="1290"/>
      <c r="M9" s="1290"/>
      <c r="N9" s="1290"/>
      <c r="O9" s="1290"/>
      <c r="P9" s="1291"/>
      <c r="Q9" s="335"/>
      <c r="R9" s="335"/>
      <c r="AB9" s="599"/>
      <c r="AC9" s="599"/>
      <c r="AD9" s="599"/>
      <c r="AE9" s="599"/>
      <c r="AF9" s="599"/>
      <c r="AG9" s="599"/>
      <c r="AH9" s="599"/>
      <c r="AI9" s="599"/>
      <c r="AJ9" s="599"/>
      <c r="AK9" s="599"/>
      <c r="AL9" s="599"/>
      <c r="AN9" s="599"/>
    </row>
    <row r="10" spans="1:40">
      <c r="A10" s="338" t="s">
        <v>129</v>
      </c>
      <c r="B10" t="s">
        <v>1063</v>
      </c>
      <c r="C10" t="s">
        <v>828</v>
      </c>
      <c r="D10" s="1262">
        <v>95600</v>
      </c>
      <c r="E10" s="1262">
        <v>1263.8900000000001</v>
      </c>
      <c r="F10" s="1262">
        <v>0</v>
      </c>
      <c r="G10" s="1262">
        <v>2516.67</v>
      </c>
      <c r="H10" s="1262">
        <v>0</v>
      </c>
      <c r="I10" s="1262">
        <v>0</v>
      </c>
      <c r="J10" s="1262">
        <v>133279.18</v>
      </c>
      <c r="K10" s="1262">
        <v>15333.33</v>
      </c>
      <c r="L10" s="1262">
        <v>0</v>
      </c>
      <c r="M10" s="1262">
        <v>0</v>
      </c>
      <c r="N10" s="1262">
        <v>0</v>
      </c>
      <c r="O10" s="1262">
        <v>0</v>
      </c>
      <c r="P10" s="1262">
        <v>23244.58</v>
      </c>
      <c r="Q10" s="470">
        <f>AVERAGE(D10:P10)</f>
        <v>20864.434615384613</v>
      </c>
      <c r="R10" s="326"/>
      <c r="S10" s="102" t="s">
        <v>413</v>
      </c>
      <c r="W10" s="327">
        <f t="shared" ref="W10:W20" si="1">+Q10</f>
        <v>20864.434615384613</v>
      </c>
      <c r="AB10" s="599"/>
      <c r="AC10" s="599"/>
      <c r="AD10" s="599"/>
      <c r="AE10" s="599"/>
      <c r="AJ10" s="599"/>
      <c r="AK10" s="599"/>
      <c r="AL10" s="599"/>
      <c r="AM10" s="599"/>
      <c r="AN10" s="599"/>
    </row>
    <row r="11" spans="1:40">
      <c r="A11" s="338" t="s">
        <v>129</v>
      </c>
      <c r="B11" t="s">
        <v>1064</v>
      </c>
      <c r="C11" t="s">
        <v>1204</v>
      </c>
      <c r="D11" s="1262">
        <v>0</v>
      </c>
      <c r="E11" s="1262"/>
      <c r="F11" s="1262"/>
      <c r="G11" s="1262"/>
      <c r="H11" s="1262"/>
      <c r="I11" s="1262"/>
      <c r="J11" s="1262"/>
      <c r="K11" s="1262"/>
      <c r="L11" s="1262"/>
      <c r="M11" s="1262"/>
      <c r="N11" s="1262"/>
      <c r="O11" s="1262"/>
      <c r="P11" s="1262"/>
      <c r="Q11" s="470">
        <f>AVERAGE(D11:P11)</f>
        <v>0</v>
      </c>
      <c r="R11" s="328"/>
      <c r="S11" s="102" t="s">
        <v>413</v>
      </c>
      <c r="T11" s="339"/>
      <c r="W11" s="327">
        <f t="shared" si="1"/>
        <v>0</v>
      </c>
      <c r="AB11" s="599"/>
      <c r="AC11" s="599"/>
      <c r="AD11" s="599"/>
      <c r="AE11" s="599"/>
      <c r="AJ11" s="599"/>
      <c r="AK11" s="599"/>
      <c r="AL11" s="599"/>
      <c r="AM11" s="599"/>
      <c r="AN11" s="599"/>
    </row>
    <row r="12" spans="1:40">
      <c r="A12" s="338" t="s">
        <v>129</v>
      </c>
      <c r="B12" t="s">
        <v>1214</v>
      </c>
      <c r="C12" t="s">
        <v>1215</v>
      </c>
      <c r="D12" s="1262">
        <v>19102981.449999999</v>
      </c>
      <c r="E12" s="1262">
        <v>21231779.780000001</v>
      </c>
      <c r="F12" s="1262">
        <v>17498476.989999998</v>
      </c>
      <c r="G12" s="1262">
        <v>14988743.609999999</v>
      </c>
      <c r="H12" s="1262">
        <v>12841720.310000001</v>
      </c>
      <c r="I12" s="1262">
        <v>16195789.949999999</v>
      </c>
      <c r="J12" s="1262">
        <v>15279959.859999999</v>
      </c>
      <c r="K12" s="1262">
        <v>13002541.119999999</v>
      </c>
      <c r="L12" s="1262">
        <v>10332706.49</v>
      </c>
      <c r="M12" s="1262">
        <v>7775338.4400000004</v>
      </c>
      <c r="N12" s="1262">
        <v>5214993.59</v>
      </c>
      <c r="O12" s="1262">
        <v>2659271.14</v>
      </c>
      <c r="P12" s="1262">
        <v>24840960.789999999</v>
      </c>
      <c r="Q12" s="470">
        <f t="shared" ref="Q12:Q20" si="2">AVERAGE(D12:P12)</f>
        <v>13920404.886153845</v>
      </c>
      <c r="R12" s="328"/>
      <c r="S12" s="102" t="s">
        <v>414</v>
      </c>
      <c r="T12" s="327"/>
      <c r="U12" s="102"/>
      <c r="V12" s="102"/>
      <c r="W12" s="327">
        <f t="shared" si="1"/>
        <v>13920404.886153845</v>
      </c>
      <c r="AB12" s="599"/>
      <c r="AC12" s="599"/>
      <c r="AD12" s="599"/>
      <c r="AE12" s="599"/>
      <c r="AJ12" s="599"/>
      <c r="AK12" s="599"/>
      <c r="AL12" s="599"/>
      <c r="AM12" s="599"/>
      <c r="AN12" s="599"/>
    </row>
    <row r="13" spans="1:40">
      <c r="A13" s="338" t="s">
        <v>129</v>
      </c>
      <c r="B13" t="s">
        <v>1216</v>
      </c>
      <c r="C13" t="s">
        <v>1217</v>
      </c>
      <c r="D13" s="1262">
        <v>1094965.8999999999</v>
      </c>
      <c r="E13" s="1262">
        <v>1898880.08</v>
      </c>
      <c r="F13" s="1262">
        <v>3099052.42</v>
      </c>
      <c r="G13" s="1262">
        <v>2762023.62</v>
      </c>
      <c r="H13" s="1262">
        <v>2792178.2199999997</v>
      </c>
      <c r="I13" s="1262">
        <v>2420933.1799999997</v>
      </c>
      <c r="J13" s="1262">
        <v>2049688.1400000001</v>
      </c>
      <c r="K13" s="1262">
        <v>1843712.62</v>
      </c>
      <c r="L13" s="1262">
        <v>1480729.6500000001</v>
      </c>
      <c r="M13" s="1262">
        <v>1598082.34</v>
      </c>
      <c r="N13" s="1262">
        <v>1226260.74</v>
      </c>
      <c r="O13" s="1262">
        <v>854439.13</v>
      </c>
      <c r="P13" s="1262">
        <v>1728648.93</v>
      </c>
      <c r="Q13" s="470">
        <f t="shared" si="2"/>
        <v>1911507.305384615</v>
      </c>
      <c r="R13" s="328"/>
      <c r="S13" s="102" t="s">
        <v>414</v>
      </c>
      <c r="T13" s="327"/>
      <c r="U13" s="102"/>
      <c r="V13" s="102"/>
      <c r="W13" s="327">
        <f t="shared" si="1"/>
        <v>1911507.305384615</v>
      </c>
      <c r="AB13" s="599"/>
      <c r="AC13" s="599"/>
      <c r="AD13" s="599"/>
      <c r="AE13" s="599"/>
      <c r="AF13" s="599"/>
      <c r="AG13" s="599"/>
      <c r="AH13" s="599"/>
      <c r="AI13" s="599"/>
      <c r="AJ13" s="599"/>
      <c r="AK13" s="599"/>
      <c r="AL13" s="599"/>
      <c r="AM13" s="599"/>
      <c r="AN13" s="599"/>
    </row>
    <row r="14" spans="1:40">
      <c r="A14" s="338" t="s">
        <v>129</v>
      </c>
      <c r="B14" t="s">
        <v>1218</v>
      </c>
      <c r="C14" t="s">
        <v>1219</v>
      </c>
      <c r="D14" s="1262">
        <v>117507.93</v>
      </c>
      <c r="E14" s="1262">
        <v>-38.44</v>
      </c>
      <c r="F14" s="1262">
        <v>0</v>
      </c>
      <c r="G14" s="1262">
        <v>1500000</v>
      </c>
      <c r="H14" s="1262">
        <v>1500000</v>
      </c>
      <c r="I14" s="1262">
        <v>1299887.0900000001</v>
      </c>
      <c r="J14" s="1262">
        <v>1078266.92</v>
      </c>
      <c r="K14" s="1262">
        <v>890588.07</v>
      </c>
      <c r="L14" s="1262">
        <v>676100.19</v>
      </c>
      <c r="M14" s="1262">
        <v>461577.41</v>
      </c>
      <c r="N14" s="1262">
        <v>245243.39</v>
      </c>
      <c r="O14" s="1262">
        <v>0.01</v>
      </c>
      <c r="P14" s="1262">
        <v>0.01</v>
      </c>
      <c r="Q14" s="470">
        <f t="shared" si="2"/>
        <v>597625.58307692304</v>
      </c>
      <c r="R14" s="328"/>
      <c r="S14" s="102" t="s">
        <v>413</v>
      </c>
      <c r="T14" s="327"/>
      <c r="U14" s="102"/>
      <c r="V14" s="102"/>
      <c r="W14" s="327">
        <f t="shared" si="1"/>
        <v>597625.58307692304</v>
      </c>
      <c r="AB14" s="599"/>
      <c r="AC14" s="599"/>
      <c r="AD14" s="599"/>
      <c r="AE14" s="599"/>
      <c r="AF14" s="599"/>
      <c r="AG14" s="599"/>
      <c r="AH14" s="599"/>
      <c r="AI14" s="599"/>
      <c r="AJ14" s="599"/>
      <c r="AK14" s="599"/>
      <c r="AL14" s="599"/>
      <c r="AM14" s="599"/>
      <c r="AN14" s="599"/>
    </row>
    <row r="15" spans="1:40">
      <c r="A15" s="338" t="s">
        <v>129</v>
      </c>
      <c r="B15" t="s">
        <v>1220</v>
      </c>
      <c r="C15" t="s">
        <v>1221</v>
      </c>
      <c r="D15" s="1262">
        <v>12879340.33</v>
      </c>
      <c r="E15" s="1262">
        <v>17097248.780000001</v>
      </c>
      <c r="F15" s="1262">
        <v>14066332.41</v>
      </c>
      <c r="G15" s="1262">
        <v>10761042.939999999</v>
      </c>
      <c r="H15" s="1262">
        <v>11338311.74</v>
      </c>
      <c r="I15" s="1262">
        <v>10497625.27</v>
      </c>
      <c r="J15" s="1262">
        <v>10500038.74</v>
      </c>
      <c r="K15" s="1262">
        <v>19809096.25</v>
      </c>
      <c r="L15" s="1262">
        <v>23933275.23</v>
      </c>
      <c r="M15" s="1262">
        <v>16259057.15</v>
      </c>
      <c r="N15" s="1262">
        <v>15812530.73</v>
      </c>
      <c r="O15" s="1262">
        <v>12208276.939999999</v>
      </c>
      <c r="P15" s="1262">
        <v>11720756.310000001</v>
      </c>
      <c r="Q15" s="470">
        <f t="shared" si="2"/>
        <v>14375610.216923077</v>
      </c>
      <c r="R15" s="328"/>
      <c r="S15" s="102" t="s">
        <v>413</v>
      </c>
      <c r="T15" s="327"/>
      <c r="U15" s="102"/>
      <c r="V15" s="102"/>
      <c r="W15" s="327">
        <f t="shared" si="1"/>
        <v>14375610.216923077</v>
      </c>
      <c r="AB15" s="599"/>
      <c r="AC15" s="599"/>
      <c r="AD15" s="599"/>
      <c r="AE15" s="599"/>
      <c r="AF15" s="599"/>
      <c r="AG15" s="599"/>
      <c r="AH15" s="599"/>
      <c r="AI15" s="599"/>
      <c r="AJ15" s="599"/>
      <c r="AK15" s="599"/>
      <c r="AL15" s="599"/>
      <c r="AM15" s="599"/>
      <c r="AN15" s="599"/>
    </row>
    <row r="16" spans="1:40">
      <c r="A16" s="338" t="s">
        <v>129</v>
      </c>
      <c r="B16" t="s">
        <v>1222</v>
      </c>
      <c r="C16" t="s">
        <v>1223</v>
      </c>
      <c r="D16" s="1262">
        <v>4825292.4000000004</v>
      </c>
      <c r="E16" s="1262">
        <v>4517110.83</v>
      </c>
      <c r="F16" s="1262">
        <v>4371603</v>
      </c>
      <c r="G16" s="1262">
        <v>3665285.33</v>
      </c>
      <c r="H16" s="1262">
        <v>3408457.92</v>
      </c>
      <c r="I16" s="1262">
        <v>2795605.41</v>
      </c>
      <c r="J16" s="1262">
        <v>2188317.67</v>
      </c>
      <c r="K16" s="1262">
        <v>1836634.88</v>
      </c>
      <c r="L16" s="1262">
        <v>1870848.98</v>
      </c>
      <c r="M16" s="1262">
        <v>5711678.8600000003</v>
      </c>
      <c r="N16" s="1262">
        <v>4267754.34</v>
      </c>
      <c r="O16" s="1262">
        <v>13965054.58</v>
      </c>
      <c r="P16" s="1262">
        <v>12562190.310000001</v>
      </c>
      <c r="Q16" s="470">
        <f t="shared" si="2"/>
        <v>5075833.4238461545</v>
      </c>
      <c r="R16" s="328"/>
      <c r="S16" s="102" t="s">
        <v>413</v>
      </c>
      <c r="T16" s="327"/>
      <c r="U16" s="102"/>
      <c r="V16" s="102"/>
      <c r="W16" s="327">
        <f t="shared" si="1"/>
        <v>5075833.4238461545</v>
      </c>
      <c r="AB16" s="599"/>
      <c r="AC16" s="599"/>
      <c r="AD16" s="599"/>
      <c r="AE16" s="599"/>
      <c r="AF16" s="599"/>
      <c r="AG16" s="599"/>
      <c r="AH16" s="599"/>
      <c r="AI16" s="599"/>
      <c r="AJ16" s="599"/>
      <c r="AK16" s="599"/>
      <c r="AL16" s="599"/>
      <c r="AM16" s="599"/>
      <c r="AN16" s="599"/>
    </row>
    <row r="17" spans="1:41">
      <c r="A17" s="338" t="s">
        <v>129</v>
      </c>
      <c r="B17" t="s">
        <v>1224</v>
      </c>
      <c r="C17" t="s">
        <v>1225</v>
      </c>
      <c r="D17" s="1262">
        <v>16104427.92</v>
      </c>
      <c r="E17" s="1262">
        <v>857271.17</v>
      </c>
      <c r="F17" s="1262">
        <v>779337.42</v>
      </c>
      <c r="G17" s="1262">
        <v>701403.67</v>
      </c>
      <c r="H17" s="1262">
        <v>623469.92000000004</v>
      </c>
      <c r="I17" s="1262">
        <v>545536.17000000004</v>
      </c>
      <c r="J17" s="1262">
        <v>467602.42</v>
      </c>
      <c r="K17" s="1262">
        <v>389668.67</v>
      </c>
      <c r="L17" s="1262">
        <v>311734.92</v>
      </c>
      <c r="M17" s="1262">
        <v>233801.17</v>
      </c>
      <c r="N17" s="1262">
        <v>155867.42000000001</v>
      </c>
      <c r="O17" s="1262">
        <v>1013138.67</v>
      </c>
      <c r="P17" s="1262">
        <v>43419826.640000001</v>
      </c>
      <c r="Q17" s="470">
        <f t="shared" si="2"/>
        <v>5046391.2446153862</v>
      </c>
      <c r="R17" s="328"/>
      <c r="S17" s="102" t="s">
        <v>413</v>
      </c>
      <c r="T17" s="327"/>
      <c r="U17" s="102"/>
      <c r="V17" s="102"/>
      <c r="W17" s="327">
        <f t="shared" si="1"/>
        <v>5046391.2446153862</v>
      </c>
      <c r="AB17" s="599"/>
      <c r="AC17" s="599"/>
      <c r="AD17" s="599"/>
      <c r="AE17" s="599"/>
      <c r="AF17" s="599"/>
      <c r="AG17" s="599"/>
      <c r="AH17" s="599"/>
      <c r="AI17" s="599"/>
      <c r="AJ17" s="599"/>
      <c r="AK17" s="599"/>
      <c r="AL17" s="599"/>
      <c r="AM17" s="599"/>
      <c r="AN17" s="599"/>
    </row>
    <row r="18" spans="1:41">
      <c r="A18" s="338" t="s">
        <v>129</v>
      </c>
      <c r="B18" t="s">
        <v>1274</v>
      </c>
      <c r="C18" s="102" t="s">
        <v>1276</v>
      </c>
      <c r="D18" s="1262">
        <v>1926140.9</v>
      </c>
      <c r="E18" s="1262">
        <v>1906108.52</v>
      </c>
      <c r="F18" s="1262">
        <v>3267129.75</v>
      </c>
      <c r="G18" s="1262">
        <v>3107197.57</v>
      </c>
      <c r="H18" s="1262">
        <v>3018415.7</v>
      </c>
      <c r="I18" s="1262">
        <v>2805206.64</v>
      </c>
      <c r="J18" s="1262">
        <v>2591997.59</v>
      </c>
      <c r="K18" s="1262">
        <v>2391577.2599999998</v>
      </c>
      <c r="L18" s="1262">
        <v>2368625.5499999998</v>
      </c>
      <c r="M18" s="1262">
        <v>6184136.54</v>
      </c>
      <c r="N18" s="1262">
        <v>6767164.5899999999</v>
      </c>
      <c r="O18" s="1262">
        <v>5808943.4100000001</v>
      </c>
      <c r="P18" s="1262">
        <v>5574585.5700000003</v>
      </c>
      <c r="Q18" s="470">
        <f t="shared" si="2"/>
        <v>3670556.1223076922</v>
      </c>
      <c r="R18" s="328"/>
      <c r="S18" s="102" t="s">
        <v>413</v>
      </c>
      <c r="T18" s="327"/>
      <c r="U18" s="102"/>
      <c r="V18" s="102"/>
      <c r="W18" s="327">
        <f t="shared" si="1"/>
        <v>3670556.1223076922</v>
      </c>
      <c r="AB18" s="599"/>
      <c r="AC18" s="599"/>
      <c r="AD18" s="599"/>
      <c r="AE18" s="599"/>
      <c r="AF18" s="599"/>
      <c r="AG18" s="599"/>
      <c r="AH18" s="599"/>
      <c r="AI18" s="599"/>
      <c r="AJ18" s="599"/>
      <c r="AK18" s="599"/>
      <c r="AL18" s="599"/>
      <c r="AM18" s="599"/>
      <c r="AN18" s="599"/>
    </row>
    <row r="19" spans="1:41">
      <c r="A19" s="338" t="s">
        <v>129</v>
      </c>
      <c r="B19" t="s">
        <v>1275</v>
      </c>
      <c r="C19" s="102" t="s">
        <v>1223</v>
      </c>
      <c r="D19" s="1262">
        <v>0.04</v>
      </c>
      <c r="E19" s="1262">
        <v>0.04</v>
      </c>
      <c r="F19" s="1262">
        <v>0.04</v>
      </c>
      <c r="G19" s="1262">
        <v>0.04</v>
      </c>
      <c r="H19" s="1262">
        <v>0</v>
      </c>
      <c r="I19" s="1262">
        <v>0</v>
      </c>
      <c r="J19" s="1262">
        <v>0</v>
      </c>
      <c r="K19" s="1262">
        <v>0</v>
      </c>
      <c r="L19" s="1262">
        <v>0</v>
      </c>
      <c r="M19" s="1262">
        <v>561893.22</v>
      </c>
      <c r="N19" s="1262">
        <v>537463.07999999996</v>
      </c>
      <c r="O19" s="1262">
        <v>513032.94</v>
      </c>
      <c r="P19" s="1262">
        <v>488602.8</v>
      </c>
      <c r="Q19" s="470">
        <f t="shared" si="2"/>
        <v>161614.78461538459</v>
      </c>
      <c r="R19" s="328"/>
      <c r="S19" s="102" t="s">
        <v>202</v>
      </c>
      <c r="T19" s="327"/>
      <c r="U19" s="102"/>
      <c r="V19" s="102"/>
      <c r="W19" s="327">
        <f t="shared" si="1"/>
        <v>161614.78461538459</v>
      </c>
      <c r="AB19" s="599"/>
      <c r="AC19" s="599"/>
      <c r="AD19" s="599"/>
      <c r="AE19" s="599"/>
      <c r="AF19" s="599"/>
      <c r="AG19" s="599"/>
      <c r="AH19" s="599"/>
      <c r="AI19" s="599"/>
      <c r="AJ19" s="599"/>
      <c r="AK19" s="599"/>
      <c r="AL19" s="599"/>
      <c r="AM19" s="599"/>
      <c r="AN19" s="599"/>
    </row>
    <row r="20" spans="1:41">
      <c r="A20" s="338" t="s">
        <v>129</v>
      </c>
      <c r="B20" s="102" t="s">
        <v>1304</v>
      </c>
      <c r="C20" s="102" t="s">
        <v>1305</v>
      </c>
      <c r="D20" s="1262">
        <v>12057171.84</v>
      </c>
      <c r="E20" s="1262">
        <v>13880744.819999998</v>
      </c>
      <c r="F20" s="1262">
        <v>13043183.01</v>
      </c>
      <c r="G20" s="1262">
        <v>10525341.699999999</v>
      </c>
      <c r="H20" s="1262">
        <v>12262579.300000001</v>
      </c>
      <c r="I20" s="1262">
        <v>10913778.23</v>
      </c>
      <c r="J20" s="1262">
        <v>14849046.960000001</v>
      </c>
      <c r="K20" s="1262">
        <v>13597445.710000001</v>
      </c>
      <c r="L20" s="1262">
        <v>14415724.949999999</v>
      </c>
      <c r="M20" s="1262">
        <v>11688478.549999999</v>
      </c>
      <c r="N20" s="1262">
        <v>8541561.2699999996</v>
      </c>
      <c r="O20" s="1262">
        <v>7927404.3300000001</v>
      </c>
      <c r="P20" s="1262">
        <v>15349400.98</v>
      </c>
      <c r="Q20" s="470">
        <f t="shared" si="2"/>
        <v>12234758.588461539</v>
      </c>
      <c r="R20" s="328"/>
      <c r="S20" s="102" t="s">
        <v>413</v>
      </c>
      <c r="T20" s="327"/>
      <c r="U20" s="102"/>
      <c r="V20" s="102"/>
      <c r="W20" s="327">
        <f t="shared" si="1"/>
        <v>12234758.588461539</v>
      </c>
      <c r="AB20" s="599"/>
      <c r="AC20" s="599"/>
      <c r="AD20" s="599"/>
      <c r="AE20" s="599"/>
      <c r="AF20" s="599"/>
      <c r="AG20" s="599"/>
      <c r="AH20" s="599"/>
      <c r="AI20" s="599"/>
      <c r="AJ20" s="599"/>
      <c r="AK20" s="599"/>
      <c r="AL20" s="599"/>
      <c r="AM20" s="599"/>
      <c r="AN20" s="599"/>
    </row>
    <row r="21" spans="1:41">
      <c r="A21" s="338"/>
      <c r="B21" s="102"/>
      <c r="C21" s="102"/>
      <c r="D21" s="1262"/>
      <c r="E21" s="1262"/>
      <c r="F21" s="1262"/>
      <c r="G21" s="1262"/>
      <c r="H21" s="1262"/>
      <c r="I21" s="1262"/>
      <c r="J21" s="1262"/>
      <c r="K21" s="1262"/>
      <c r="L21" s="1262"/>
      <c r="M21" s="1262"/>
      <c r="N21" s="1262"/>
      <c r="O21" s="1262"/>
      <c r="P21" s="1262"/>
      <c r="Q21" s="470"/>
      <c r="R21" s="328"/>
      <c r="S21" s="102"/>
      <c r="T21" s="327"/>
      <c r="U21" s="102"/>
      <c r="V21" s="102"/>
      <c r="W21" s="327"/>
      <c r="AB21" s="599"/>
      <c r="AC21" s="599"/>
      <c r="AD21" s="599"/>
      <c r="AE21" s="599"/>
      <c r="AF21" s="599"/>
      <c r="AG21" s="599"/>
      <c r="AH21" s="599"/>
      <c r="AI21" s="599"/>
      <c r="AJ21" s="599"/>
      <c r="AK21" s="599"/>
      <c r="AL21" s="599"/>
      <c r="AM21" s="599"/>
      <c r="AN21" s="599"/>
    </row>
    <row r="22" spans="1:41">
      <c r="A22" s="338"/>
      <c r="B22" s="330" t="s">
        <v>132</v>
      </c>
      <c r="C22" s="330"/>
      <c r="D22" s="336">
        <f t="shared" ref="D22:Q22" si="3">SUM(D10:D21)</f>
        <v>68203428.709999993</v>
      </c>
      <c r="E22" s="336">
        <f t="shared" si="3"/>
        <v>61390369.470000006</v>
      </c>
      <c r="F22" s="336">
        <f t="shared" si="3"/>
        <v>56125115.039999992</v>
      </c>
      <c r="G22" s="336">
        <f t="shared" si="3"/>
        <v>48013555.149999991</v>
      </c>
      <c r="H22" s="336">
        <f t="shared" si="3"/>
        <v>47785133.110000014</v>
      </c>
      <c r="I22" s="336">
        <f t="shared" si="3"/>
        <v>47474361.939999998</v>
      </c>
      <c r="J22" s="336">
        <f t="shared" si="3"/>
        <v>49138197.480000012</v>
      </c>
      <c r="K22" s="336">
        <f t="shared" si="3"/>
        <v>53776597.910000004</v>
      </c>
      <c r="L22" s="336">
        <f t="shared" si="3"/>
        <v>55389745.959999993</v>
      </c>
      <c r="M22" s="336">
        <f t="shared" si="3"/>
        <v>50474043.68</v>
      </c>
      <c r="N22" s="336">
        <f t="shared" si="3"/>
        <v>42768839.149999991</v>
      </c>
      <c r="O22" s="336">
        <f t="shared" si="3"/>
        <v>44949561.149999991</v>
      </c>
      <c r="P22" s="336">
        <f t="shared" si="3"/>
        <v>115708216.91999999</v>
      </c>
      <c r="Q22" s="336">
        <f t="shared" si="3"/>
        <v>57015166.590000004</v>
      </c>
      <c r="R22" s="328"/>
      <c r="S22" s="102"/>
      <c r="T22" s="327"/>
      <c r="W22" s="336">
        <f>SUM(W10:W21)</f>
        <v>57015166.590000004</v>
      </c>
      <c r="AB22" s="599"/>
      <c r="AC22" s="599"/>
      <c r="AD22" s="599"/>
      <c r="AE22" s="599"/>
      <c r="AF22" s="599"/>
      <c r="AG22" s="599"/>
      <c r="AH22" s="599"/>
      <c r="AI22" s="599"/>
      <c r="AJ22" s="599"/>
      <c r="AK22" s="599"/>
      <c r="AL22" s="599"/>
      <c r="AM22" s="599"/>
      <c r="AN22" s="599"/>
    </row>
    <row r="23" spans="1:41">
      <c r="A23" s="338"/>
      <c r="B23" s="504"/>
      <c r="C23" s="102"/>
      <c r="D23" s="1233"/>
      <c r="E23" s="1233"/>
      <c r="F23" s="1233"/>
      <c r="G23" s="1233"/>
      <c r="H23" s="1233"/>
      <c r="I23" s="1233"/>
      <c r="J23" s="1233"/>
      <c r="K23" s="1233"/>
      <c r="L23" s="1233"/>
      <c r="M23" s="1233"/>
      <c r="N23" s="1233"/>
      <c r="O23" s="1233"/>
      <c r="P23" s="1233"/>
      <c r="Q23" s="470"/>
      <c r="R23" s="328"/>
      <c r="S23" s="102"/>
      <c r="T23" s="327"/>
      <c r="AC23" s="599"/>
      <c r="AD23" s="599"/>
      <c r="AI23" s="599"/>
      <c r="AJ23" s="599"/>
      <c r="AM23" s="599"/>
      <c r="AN23" s="599"/>
    </row>
    <row r="24" spans="1:41">
      <c r="A24" s="338"/>
      <c r="B24" s="504"/>
      <c r="C24" s="102"/>
      <c r="D24" s="1233"/>
      <c r="E24" s="1233"/>
      <c r="F24" s="1233"/>
      <c r="G24" s="1233"/>
      <c r="H24" s="1233"/>
      <c r="I24" s="1233"/>
      <c r="J24" s="1233"/>
      <c r="K24" s="1233"/>
      <c r="L24" s="1233"/>
      <c r="M24" s="1233"/>
      <c r="N24" s="1233"/>
      <c r="O24" s="1233"/>
      <c r="P24" s="1233"/>
      <c r="Q24" s="470"/>
      <c r="R24" s="328"/>
      <c r="S24" s="102"/>
      <c r="T24" s="327"/>
      <c r="AC24" s="599"/>
      <c r="AD24" s="599"/>
      <c r="AI24" s="599"/>
      <c r="AJ24" s="599"/>
      <c r="AM24" s="599"/>
      <c r="AN24" s="599"/>
    </row>
    <row r="25" spans="1:41">
      <c r="B25" s="110" t="s">
        <v>217</v>
      </c>
      <c r="C25" s="102"/>
      <c r="D25" s="1233"/>
      <c r="E25" s="1233"/>
      <c r="F25" s="1233"/>
      <c r="G25" s="1233"/>
      <c r="H25" s="1233"/>
      <c r="I25" s="1233"/>
      <c r="J25" s="1233"/>
      <c r="K25" s="1233"/>
      <c r="L25" s="1233"/>
      <c r="M25" s="1233"/>
      <c r="N25" s="1233"/>
      <c r="O25" s="1233"/>
      <c r="P25" s="1233"/>
      <c r="Q25" s="470"/>
      <c r="R25" s="328"/>
      <c r="S25" s="102"/>
      <c r="T25" s="327"/>
      <c r="AC25" s="599"/>
      <c r="AD25" s="599"/>
      <c r="AI25" s="599"/>
      <c r="AJ25" s="599"/>
      <c r="AM25" s="599"/>
      <c r="AN25" s="599"/>
    </row>
    <row r="26" spans="1:41">
      <c r="A26" s="102"/>
      <c r="B26" s="338"/>
      <c r="C26" s="102"/>
      <c r="D26" s="1233"/>
      <c r="E26" s="1233"/>
      <c r="F26" s="1233"/>
      <c r="G26" s="1233"/>
      <c r="H26" s="1233"/>
      <c r="I26" s="1233"/>
      <c r="J26" s="1233"/>
      <c r="K26" s="1233"/>
      <c r="L26" s="1233"/>
      <c r="M26" s="1233"/>
      <c r="N26" s="1262"/>
      <c r="O26" s="1262"/>
      <c r="P26" s="1262"/>
      <c r="Q26" s="470"/>
      <c r="R26" s="328"/>
      <c r="S26" s="102"/>
      <c r="T26" s="327"/>
      <c r="U26" s="68">
        <f>Q26</f>
        <v>0</v>
      </c>
      <c r="AC26" s="599"/>
      <c r="AD26" s="599"/>
      <c r="AI26" s="599"/>
      <c r="AJ26" s="599"/>
      <c r="AM26" s="599"/>
      <c r="AN26" s="599"/>
    </row>
    <row r="27" spans="1:41" s="102" customFormat="1">
      <c r="A27" s="338"/>
      <c r="B27" s="330" t="s">
        <v>213</v>
      </c>
      <c r="C27" s="330"/>
      <c r="D27" s="336">
        <f t="shared" ref="D27:Q27" si="4">SUM(D26:D26)</f>
        <v>0</v>
      </c>
      <c r="E27" s="336">
        <f t="shared" si="4"/>
        <v>0</v>
      </c>
      <c r="F27" s="336">
        <f t="shared" si="4"/>
        <v>0</v>
      </c>
      <c r="G27" s="336">
        <f t="shared" si="4"/>
        <v>0</v>
      </c>
      <c r="H27" s="336">
        <f t="shared" si="4"/>
        <v>0</v>
      </c>
      <c r="I27" s="336">
        <f t="shared" si="4"/>
        <v>0</v>
      </c>
      <c r="J27" s="336">
        <f t="shared" si="4"/>
        <v>0</v>
      </c>
      <c r="K27" s="336">
        <f t="shared" si="4"/>
        <v>0</v>
      </c>
      <c r="L27" s="336">
        <f t="shared" si="4"/>
        <v>0</v>
      </c>
      <c r="M27" s="336">
        <f t="shared" si="4"/>
        <v>0</v>
      </c>
      <c r="N27" s="336">
        <f t="shared" si="4"/>
        <v>0</v>
      </c>
      <c r="O27" s="336">
        <f t="shared" si="4"/>
        <v>0</v>
      </c>
      <c r="P27" s="336">
        <f t="shared" si="4"/>
        <v>0</v>
      </c>
      <c r="Q27" s="336">
        <f t="shared" si="4"/>
        <v>0</v>
      </c>
      <c r="R27" s="328"/>
      <c r="T27" s="327"/>
      <c r="U27" s="336">
        <f>SUM(U26:U26)</f>
        <v>0</v>
      </c>
      <c r="V27"/>
      <c r="W27"/>
      <c r="Y27"/>
      <c r="Z27"/>
      <c r="AA27"/>
      <c r="AB27" s="599"/>
      <c r="AC27" s="599"/>
      <c r="AD27" s="599"/>
      <c r="AE27"/>
      <c r="AF27" s="599"/>
      <c r="AG27" s="599"/>
      <c r="AH27" s="599"/>
      <c r="AI27" s="599"/>
      <c r="AJ27" s="599"/>
      <c r="AM27"/>
      <c r="AN27" s="599"/>
      <c r="AO27" s="339"/>
    </row>
    <row r="28" spans="1:41" s="102" customFormat="1">
      <c r="A28" s="338"/>
      <c r="B28" s="504"/>
      <c r="D28" s="1233"/>
      <c r="E28" s="1233"/>
      <c r="F28" s="1233"/>
      <c r="G28" s="1233"/>
      <c r="H28" s="1233"/>
      <c r="I28" s="1233"/>
      <c r="J28" s="1233"/>
      <c r="K28" s="1233"/>
      <c r="L28" s="1233"/>
      <c r="M28" s="1233"/>
      <c r="N28" s="1233"/>
      <c r="O28" s="1233"/>
      <c r="P28" s="1233"/>
      <c r="Q28" s="470"/>
      <c r="R28" s="328"/>
      <c r="T28" s="327"/>
      <c r="U28"/>
      <c r="V28"/>
      <c r="W28"/>
      <c r="Y28"/>
      <c r="Z28"/>
      <c r="AA28"/>
      <c r="AB28" s="599"/>
      <c r="AC28" s="599"/>
      <c r="AD28" s="599"/>
      <c r="AE28"/>
      <c r="AF28" s="599"/>
      <c r="AG28" s="599"/>
      <c r="AH28" s="599"/>
      <c r="AI28" s="599"/>
      <c r="AJ28" s="599"/>
      <c r="AM28"/>
      <c r="AN28" s="599"/>
      <c r="AO28" s="339"/>
    </row>
    <row r="29" spans="1:41" s="102" customFormat="1">
      <c r="A29" s="338"/>
      <c r="B29" s="504"/>
      <c r="D29" s="1233"/>
      <c r="E29" s="1233"/>
      <c r="F29" s="1233"/>
      <c r="G29" s="1233"/>
      <c r="H29" s="1233"/>
      <c r="I29" s="1233"/>
      <c r="J29" s="1233"/>
      <c r="K29" s="1233"/>
      <c r="L29" s="1233"/>
      <c r="M29" s="1233"/>
      <c r="N29" s="1233"/>
      <c r="O29" s="1233"/>
      <c r="P29" s="1233"/>
      <c r="Q29" s="470"/>
      <c r="R29" s="328"/>
      <c r="T29" s="327"/>
      <c r="U29"/>
      <c r="V29"/>
      <c r="W29"/>
      <c r="Y29"/>
      <c r="Z29"/>
      <c r="AA29"/>
      <c r="AB29" s="599"/>
      <c r="AC29" s="599"/>
      <c r="AD29" s="599"/>
      <c r="AE29"/>
      <c r="AF29" s="599"/>
      <c r="AG29" s="599"/>
      <c r="AH29" s="599"/>
      <c r="AI29" s="599"/>
      <c r="AJ29" s="599"/>
      <c r="AM29"/>
      <c r="AN29" s="599"/>
      <c r="AO29" s="339"/>
    </row>
    <row r="30" spans="1:41" s="102" customFormat="1">
      <c r="A30" s="338"/>
      <c r="B30" s="110" t="s">
        <v>215</v>
      </c>
      <c r="D30" s="1233"/>
      <c r="E30" s="1233"/>
      <c r="F30" s="1233"/>
      <c r="G30" s="1233"/>
      <c r="H30" s="1233"/>
      <c r="I30" s="1233"/>
      <c r="J30" s="1233"/>
      <c r="K30" s="1233"/>
      <c r="L30" s="1233"/>
      <c r="M30" s="1233"/>
      <c r="N30" s="1233"/>
      <c r="O30" s="1233"/>
      <c r="P30" s="1233"/>
      <c r="Q30" s="470"/>
      <c r="R30" s="328"/>
      <c r="T30" s="327"/>
      <c r="U30"/>
      <c r="V30"/>
      <c r="W30"/>
      <c r="Y30"/>
      <c r="Z30"/>
      <c r="AA30"/>
      <c r="AB30" s="599"/>
      <c r="AC30" s="599"/>
      <c r="AD30" s="599"/>
      <c r="AE30"/>
      <c r="AF30" s="599"/>
      <c r="AG30" s="599"/>
      <c r="AH30" s="599"/>
      <c r="AI30" s="599"/>
      <c r="AJ30" s="599"/>
      <c r="AM30"/>
      <c r="AN30" s="599"/>
      <c r="AO30" s="339"/>
    </row>
    <row r="31" spans="1:41" s="102" customFormat="1">
      <c r="A31" s="338" t="s">
        <v>271</v>
      </c>
      <c r="B31" t="s">
        <v>1154</v>
      </c>
      <c r="C31" s="102" t="s">
        <v>1306</v>
      </c>
      <c r="D31" s="1262">
        <v>7782927.3899999997</v>
      </c>
      <c r="E31" s="1262">
        <v>8488989.5999999996</v>
      </c>
      <c r="F31" s="1262">
        <v>8488989.5999999996</v>
      </c>
      <c r="G31" s="1262">
        <v>8488989.5999999996</v>
      </c>
      <c r="H31" s="1262">
        <v>9266761.0700000003</v>
      </c>
      <c r="I31" s="1262">
        <v>9266761.0700000003</v>
      </c>
      <c r="J31" s="1262">
        <v>9266761.0700000003</v>
      </c>
      <c r="K31" s="1262">
        <v>9318800.7999999989</v>
      </c>
      <c r="L31" s="1262">
        <v>9318800.7999999989</v>
      </c>
      <c r="M31" s="1262">
        <v>9318800.7999999989</v>
      </c>
      <c r="N31" s="1262">
        <v>10144677.16</v>
      </c>
      <c r="O31" s="1262">
        <v>6586276.4100000001</v>
      </c>
      <c r="P31" s="1262">
        <v>0</v>
      </c>
      <c r="Q31" s="470">
        <f t="shared" ref="Q31:Q36" si="5">AVERAGE(D31:P31)</f>
        <v>8133656.5669230763</v>
      </c>
      <c r="R31" s="328"/>
      <c r="T31" s="327">
        <f t="shared" ref="T31:T36" si="6">Q31</f>
        <v>8133656.5669230763</v>
      </c>
      <c r="U31"/>
      <c r="V31"/>
      <c r="W31"/>
      <c r="Y31"/>
      <c r="Z31"/>
      <c r="AA31"/>
      <c r="AB31" s="599"/>
      <c r="AC31" s="599"/>
      <c r="AD31" s="599"/>
      <c r="AE31"/>
      <c r="AF31" s="599"/>
      <c r="AG31" s="599"/>
      <c r="AH31" s="599"/>
      <c r="AI31" s="599"/>
      <c r="AJ31" s="599"/>
      <c r="AM31"/>
      <c r="AN31" s="599"/>
      <c r="AO31" s="339"/>
    </row>
    <row r="32" spans="1:41">
      <c r="A32" s="338" t="s">
        <v>271</v>
      </c>
      <c r="B32" t="s">
        <v>1155</v>
      </c>
      <c r="C32" t="s">
        <v>210</v>
      </c>
      <c r="D32" s="1262">
        <v>7122703.5999999987</v>
      </c>
      <c r="E32" s="1262">
        <v>7899128.0499999998</v>
      </c>
      <c r="F32" s="1262">
        <v>7899128.0499999998</v>
      </c>
      <c r="G32" s="1262">
        <v>7899128.0499999998</v>
      </c>
      <c r="H32" s="1262">
        <v>8670118.1400000006</v>
      </c>
      <c r="I32" s="1262">
        <v>8670118.1300000008</v>
      </c>
      <c r="J32" s="1262">
        <v>8670118.1300000008</v>
      </c>
      <c r="K32" s="1262">
        <v>9262451.6800000016</v>
      </c>
      <c r="L32" s="1262">
        <v>9262451.6800000016</v>
      </c>
      <c r="M32" s="1262">
        <v>9262451.6800000016</v>
      </c>
      <c r="N32" s="1262">
        <v>10142518.719999999</v>
      </c>
      <c r="O32" s="1262">
        <v>10142518.719999999</v>
      </c>
      <c r="P32" s="1262">
        <v>10142518.719999999</v>
      </c>
      <c r="Q32" s="470">
        <f t="shared" si="5"/>
        <v>8849642.5653846152</v>
      </c>
      <c r="T32" s="327">
        <f t="shared" si="6"/>
        <v>8849642.5653846152</v>
      </c>
      <c r="AM32" s="599"/>
      <c r="AN32" s="599"/>
    </row>
    <row r="33" spans="1:20">
      <c r="A33" s="338" t="s">
        <v>271</v>
      </c>
      <c r="B33" t="s">
        <v>1137</v>
      </c>
      <c r="C33" t="s">
        <v>1138</v>
      </c>
      <c r="D33" s="1262">
        <v>33006</v>
      </c>
      <c r="E33" s="1262">
        <v>33006</v>
      </c>
      <c r="F33" s="1262">
        <v>33006</v>
      </c>
      <c r="G33" s="1262">
        <v>33006</v>
      </c>
      <c r="H33" s="1262">
        <v>33006</v>
      </c>
      <c r="I33" s="1262">
        <v>33006</v>
      </c>
      <c r="J33" s="1262">
        <v>33006</v>
      </c>
      <c r="K33" s="1262">
        <v>33006</v>
      </c>
      <c r="L33" s="1262">
        <v>33006</v>
      </c>
      <c r="M33" s="1262">
        <v>33006</v>
      </c>
      <c r="N33" s="1262">
        <v>33006</v>
      </c>
      <c r="O33" s="1262">
        <v>33006</v>
      </c>
      <c r="P33" s="1262">
        <v>0</v>
      </c>
      <c r="Q33" s="470">
        <f t="shared" si="5"/>
        <v>30467.076923076922</v>
      </c>
      <c r="T33" s="327">
        <f t="shared" si="6"/>
        <v>30467.076923076922</v>
      </c>
    </row>
    <row r="34" spans="1:20">
      <c r="A34" s="338" t="s">
        <v>271</v>
      </c>
      <c r="B34" t="s">
        <v>1115</v>
      </c>
      <c r="C34" s="102" t="s">
        <v>1319</v>
      </c>
      <c r="D34" s="1262">
        <v>350368.38</v>
      </c>
      <c r="E34" s="1262">
        <v>280252.38</v>
      </c>
      <c r="F34" s="1262">
        <v>210136.38</v>
      </c>
      <c r="G34" s="1262">
        <v>140020.38</v>
      </c>
      <c r="H34" s="1262">
        <v>69904.37999999999</v>
      </c>
      <c r="I34" s="1262">
        <v>-211.57999999999998</v>
      </c>
      <c r="J34" s="1262">
        <v>-209.96</v>
      </c>
      <c r="K34" s="1262">
        <v>590803.76</v>
      </c>
      <c r="L34" s="1262">
        <v>531700.66</v>
      </c>
      <c r="M34" s="1262">
        <v>472598.66000000003</v>
      </c>
      <c r="N34" s="1262">
        <v>413496.66000000003</v>
      </c>
      <c r="O34" s="1262">
        <v>354396.66000000003</v>
      </c>
      <c r="P34" s="1262">
        <v>421916.66000000003</v>
      </c>
      <c r="Q34" s="470">
        <f t="shared" si="5"/>
        <v>295013.34000000003</v>
      </c>
      <c r="T34" s="327">
        <f t="shared" si="6"/>
        <v>295013.34000000003</v>
      </c>
    </row>
    <row r="35" spans="1:20">
      <c r="A35" s="338" t="s">
        <v>271</v>
      </c>
      <c r="B35" s="103" t="s">
        <v>1226</v>
      </c>
      <c r="C35" t="s">
        <v>1227</v>
      </c>
      <c r="D35" s="1262">
        <v>851003</v>
      </c>
      <c r="E35" s="1262">
        <v>851003</v>
      </c>
      <c r="F35" s="1262">
        <v>851003</v>
      </c>
      <c r="G35" s="1262">
        <v>851003</v>
      </c>
      <c r="H35" s="1262">
        <v>851003</v>
      </c>
      <c r="I35" s="1262">
        <v>851003</v>
      </c>
      <c r="J35" s="1262">
        <v>851003</v>
      </c>
      <c r="K35" s="1262">
        <v>851003</v>
      </c>
      <c r="L35" s="1262">
        <v>851003</v>
      </c>
      <c r="M35" s="1262">
        <v>851003</v>
      </c>
      <c r="N35" s="1262">
        <v>851003</v>
      </c>
      <c r="O35" s="1262">
        <v>851003</v>
      </c>
      <c r="P35" s="1262">
        <v>5323488</v>
      </c>
      <c r="Q35" s="470">
        <f t="shared" si="5"/>
        <v>1195040.3076923077</v>
      </c>
      <c r="T35" s="327">
        <f t="shared" si="6"/>
        <v>1195040.3076923077</v>
      </c>
    </row>
    <row r="36" spans="1:20">
      <c r="A36" s="338" t="s">
        <v>271</v>
      </c>
      <c r="B36" t="s">
        <v>1299</v>
      </c>
      <c r="C36" s="102" t="s">
        <v>1320</v>
      </c>
      <c r="D36" s="1262">
        <v>15689933</v>
      </c>
      <c r="E36" s="1262">
        <v>14494132.75</v>
      </c>
      <c r="F36" s="1262">
        <v>-1680000.25</v>
      </c>
      <c r="G36" s="1262">
        <v>1473332.96</v>
      </c>
      <c r="H36" s="1262">
        <v>3029813.04</v>
      </c>
      <c r="I36" s="1262">
        <v>19291332.969999999</v>
      </c>
      <c r="J36" s="1262">
        <v>-0.89</v>
      </c>
      <c r="K36" s="1262">
        <v>16187883.859999999</v>
      </c>
      <c r="L36" s="1262">
        <v>19292128.809999999</v>
      </c>
      <c r="M36" s="1262">
        <v>3334129.95</v>
      </c>
      <c r="N36" s="1262">
        <v>15292129.949999999</v>
      </c>
      <c r="O36" s="1262">
        <v>796.95</v>
      </c>
      <c r="P36" s="1262">
        <v>14995089.949999999</v>
      </c>
      <c r="Q36" s="470">
        <f t="shared" si="5"/>
        <v>9338515.6192307696</v>
      </c>
      <c r="T36" s="327">
        <f t="shared" si="6"/>
        <v>9338515.6192307696</v>
      </c>
    </row>
    <row r="37" spans="1:20">
      <c r="A37" s="338"/>
      <c r="B37" s="1292"/>
      <c r="D37" s="285"/>
      <c r="E37" s="285"/>
      <c r="F37" s="285"/>
      <c r="G37" s="285"/>
      <c r="H37" s="285"/>
      <c r="I37" s="285"/>
      <c r="J37" s="285"/>
      <c r="K37" s="285"/>
      <c r="L37" s="285"/>
      <c r="M37" s="285"/>
      <c r="N37" s="285"/>
      <c r="O37" s="285"/>
      <c r="P37" s="285"/>
      <c r="Q37" s="470"/>
      <c r="T37" s="327"/>
    </row>
    <row r="38" spans="1:20">
      <c r="B38" s="330" t="s">
        <v>216</v>
      </c>
      <c r="C38" s="330"/>
      <c r="D38" s="336">
        <f t="shared" ref="D38:Q38" si="7">SUM(D31:D37)</f>
        <v>31829941.369999997</v>
      </c>
      <c r="E38" s="336">
        <f t="shared" si="7"/>
        <v>32046511.780000001</v>
      </c>
      <c r="F38" s="336">
        <f t="shared" si="7"/>
        <v>15802262.780000001</v>
      </c>
      <c r="G38" s="336">
        <f t="shared" si="7"/>
        <v>18885479.990000002</v>
      </c>
      <c r="H38" s="336">
        <f t="shared" si="7"/>
        <v>21920605.629999999</v>
      </c>
      <c r="I38" s="336">
        <f t="shared" si="7"/>
        <v>38112009.590000004</v>
      </c>
      <c r="J38" s="336">
        <f t="shared" si="7"/>
        <v>18820677.350000001</v>
      </c>
      <c r="K38" s="336">
        <f t="shared" si="7"/>
        <v>36243949.100000001</v>
      </c>
      <c r="L38" s="336">
        <f t="shared" si="7"/>
        <v>39289090.950000003</v>
      </c>
      <c r="M38" s="336">
        <f t="shared" si="7"/>
        <v>23271990.09</v>
      </c>
      <c r="N38" s="336">
        <f t="shared" si="7"/>
        <v>36876831.489999995</v>
      </c>
      <c r="O38" s="336">
        <f t="shared" si="7"/>
        <v>17967997.739999998</v>
      </c>
      <c r="P38" s="336">
        <f t="shared" si="7"/>
        <v>30883013.329999998</v>
      </c>
      <c r="Q38" s="336">
        <f t="shared" si="7"/>
        <v>27842335.476153847</v>
      </c>
      <c r="T38" s="336">
        <f>SUM(T31:T36)</f>
        <v>27842335.476153847</v>
      </c>
    </row>
    <row r="41" spans="1:20">
      <c r="D41" s="285">
        <f>D38+D27+D22+D6</f>
        <v>100264853.07999998</v>
      </c>
      <c r="P41" s="285">
        <f>P38+P27+P22+P6</f>
        <v>147252017.56</v>
      </c>
    </row>
  </sheetData>
  <phoneticPr fontId="49" type="noConversion"/>
  <pageMargins left="0.17" right="0.17" top="0.17" bottom="0.16" header="0.3" footer="0.3"/>
  <pageSetup paperSize="5" scale="48" fitToHeight="2" orientation="landscape" r:id="rId1"/>
  <colBreaks count="1" manualBreakCount="1">
    <brk id="22"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E158"/>
  <sheetViews>
    <sheetView zoomScale="75" zoomScaleNormal="75" workbookViewId="0">
      <pane ySplit="2" topLeftCell="A39" activePane="bottomLeft" state="frozen"/>
      <selection activeCell="C309" sqref="C309"/>
      <selection pane="bottomLeft" activeCell="B95" sqref="B95"/>
    </sheetView>
  </sheetViews>
  <sheetFormatPr defaultColWidth="9.140625" defaultRowHeight="12.75"/>
  <cols>
    <col min="1" max="1" width="9.140625" style="41"/>
    <col min="2" max="2" width="70.42578125" bestFit="1" customWidth="1"/>
    <col min="3" max="4" width="20.7109375" style="443" customWidth="1"/>
    <col min="5" max="5" width="20.42578125" style="443" customWidth="1"/>
  </cols>
  <sheetData>
    <row r="1" spans="1:5" ht="26.25" customHeight="1">
      <c r="A1" s="1" t="s">
        <v>542</v>
      </c>
      <c r="B1" s="1"/>
      <c r="C1" s="452"/>
      <c r="D1" s="452"/>
      <c r="E1" s="452"/>
    </row>
    <row r="2" spans="1:5" ht="38.25">
      <c r="A2" s="69" t="s">
        <v>141</v>
      </c>
      <c r="B2" s="69" t="s">
        <v>142</v>
      </c>
      <c r="C2" s="442" t="s">
        <v>1350</v>
      </c>
      <c r="D2" s="442" t="s">
        <v>1351</v>
      </c>
      <c r="E2" s="442" t="s">
        <v>1352</v>
      </c>
    </row>
    <row r="3" spans="1:5">
      <c r="A3" s="41">
        <v>1</v>
      </c>
      <c r="B3" t="s">
        <v>1160</v>
      </c>
      <c r="C3" s="108">
        <v>4082000</v>
      </c>
      <c r="D3" s="108">
        <v>3371000</v>
      </c>
      <c r="E3" s="1302">
        <f>C3-D3</f>
        <v>711000</v>
      </c>
    </row>
    <row r="4" spans="1:5">
      <c r="A4" s="41">
        <f t="shared" ref="A4:A80" si="0">+A3+1</f>
        <v>2</v>
      </c>
      <c r="B4" t="s">
        <v>1161</v>
      </c>
      <c r="C4" s="108">
        <v>89000</v>
      </c>
      <c r="D4" s="108">
        <v>75000</v>
      </c>
      <c r="E4" s="1302">
        <f>C4-D4</f>
        <v>14000</v>
      </c>
    </row>
    <row r="5" spans="1:5">
      <c r="A5" s="41">
        <f>+A4+1</f>
        <v>3</v>
      </c>
      <c r="B5" t="s">
        <v>1162</v>
      </c>
      <c r="C5" s="108">
        <v>269000</v>
      </c>
      <c r="D5" s="108">
        <v>225000</v>
      </c>
      <c r="E5" s="1302">
        <f>C5-D5</f>
        <v>44000</v>
      </c>
    </row>
    <row r="6" spans="1:5">
      <c r="A6" s="41">
        <f>+A5+1</f>
        <v>4</v>
      </c>
    </row>
    <row r="7" spans="1:5">
      <c r="A7" s="41">
        <f>+A6+1</f>
        <v>5</v>
      </c>
      <c r="C7" s="1223"/>
      <c r="D7" s="1223"/>
      <c r="E7" s="1302"/>
    </row>
    <row r="8" spans="1:5">
      <c r="A8" s="41">
        <f t="shared" si="0"/>
        <v>6</v>
      </c>
      <c r="B8" s="105" t="s">
        <v>143</v>
      </c>
      <c r="C8" s="1303">
        <f>SUM(C3:C5)</f>
        <v>4440000</v>
      </c>
      <c r="D8" s="1303">
        <f>SUM(D3:D5)</f>
        <v>3671000</v>
      </c>
      <c r="E8" s="1303">
        <f>SUM(E3:E5)</f>
        <v>769000</v>
      </c>
    </row>
    <row r="9" spans="1:5">
      <c r="A9" s="41">
        <f t="shared" si="0"/>
        <v>7</v>
      </c>
      <c r="C9" s="1223"/>
      <c r="D9" s="1223"/>
      <c r="E9" s="1223"/>
    </row>
    <row r="10" spans="1:5">
      <c r="A10" s="41">
        <f t="shared" si="0"/>
        <v>8</v>
      </c>
      <c r="B10" t="s">
        <v>1030</v>
      </c>
      <c r="C10" s="108">
        <v>2000</v>
      </c>
      <c r="D10"/>
      <c r="E10" s="1302">
        <f t="shared" ref="E10:E31" si="1">C10-D10</f>
        <v>2000</v>
      </c>
    </row>
    <row r="11" spans="1:5">
      <c r="A11" s="41">
        <f t="shared" si="0"/>
        <v>9</v>
      </c>
      <c r="B11" t="s">
        <v>1031</v>
      </c>
      <c r="C11" s="108">
        <v>29000</v>
      </c>
      <c r="D11" s="1296">
        <v>11000</v>
      </c>
      <c r="E11" s="1302">
        <f t="shared" si="1"/>
        <v>18000</v>
      </c>
    </row>
    <row r="12" spans="1:5">
      <c r="A12" s="41">
        <f t="shared" si="0"/>
        <v>10</v>
      </c>
      <c r="B12" t="s">
        <v>1032</v>
      </c>
      <c r="C12" s="108">
        <v>132000</v>
      </c>
      <c r="D12" s="1296">
        <v>43000</v>
      </c>
      <c r="E12" s="1302">
        <f t="shared" si="1"/>
        <v>89000</v>
      </c>
    </row>
    <row r="13" spans="1:5">
      <c r="A13" s="41">
        <f t="shared" si="0"/>
        <v>11</v>
      </c>
      <c r="B13" t="s">
        <v>1033</v>
      </c>
      <c r="C13" s="108">
        <v>1000</v>
      </c>
      <c r="D13" s="1296">
        <v>1000</v>
      </c>
      <c r="E13" s="1302">
        <f t="shared" si="1"/>
        <v>0</v>
      </c>
    </row>
    <row r="14" spans="1:5">
      <c r="A14" s="41">
        <f t="shared" si="0"/>
        <v>12</v>
      </c>
      <c r="B14" t="s">
        <v>1034</v>
      </c>
      <c r="C14" s="470">
        <v>7000</v>
      </c>
      <c r="D14" s="1296">
        <v>2000</v>
      </c>
      <c r="E14" s="1302">
        <f t="shared" si="1"/>
        <v>5000</v>
      </c>
    </row>
    <row r="15" spans="1:5">
      <c r="A15" s="41">
        <f t="shared" si="0"/>
        <v>13</v>
      </c>
      <c r="B15" t="s">
        <v>1117</v>
      </c>
      <c r="C15" s="470">
        <v>40000</v>
      </c>
      <c r="D15" s="1296">
        <v>32000</v>
      </c>
      <c r="E15" s="1302">
        <f t="shared" si="1"/>
        <v>8000</v>
      </c>
    </row>
    <row r="16" spans="1:5">
      <c r="A16" s="41">
        <f t="shared" si="0"/>
        <v>14</v>
      </c>
      <c r="B16" t="s">
        <v>1070</v>
      </c>
      <c r="C16" s="470">
        <v>1684000</v>
      </c>
      <c r="D16" s="1296">
        <v>469000</v>
      </c>
      <c r="E16" s="1302">
        <f t="shared" si="1"/>
        <v>1215000</v>
      </c>
    </row>
    <row r="17" spans="1:5">
      <c r="A17" s="41">
        <f t="shared" si="0"/>
        <v>15</v>
      </c>
      <c r="B17" t="s">
        <v>1035</v>
      </c>
      <c r="C17" s="470">
        <v>153000</v>
      </c>
      <c r="D17" s="1296">
        <v>52000</v>
      </c>
      <c r="E17" s="1302">
        <f t="shared" si="1"/>
        <v>101000</v>
      </c>
    </row>
    <row r="18" spans="1:5">
      <c r="A18" s="41">
        <f t="shared" si="0"/>
        <v>16</v>
      </c>
      <c r="B18" t="s">
        <v>1036</v>
      </c>
      <c r="C18" s="108">
        <v>79000</v>
      </c>
      <c r="D18" s="1296">
        <v>72000</v>
      </c>
      <c r="E18" s="1302">
        <f t="shared" si="1"/>
        <v>7000</v>
      </c>
    </row>
    <row r="19" spans="1:5">
      <c r="A19" s="41">
        <f t="shared" si="0"/>
        <v>17</v>
      </c>
      <c r="B19" t="s">
        <v>1037</v>
      </c>
      <c r="C19" s="108">
        <v>405000</v>
      </c>
      <c r="D19" s="1296">
        <v>283000</v>
      </c>
      <c r="E19" s="1302">
        <f t="shared" si="1"/>
        <v>122000</v>
      </c>
    </row>
    <row r="20" spans="1:5">
      <c r="A20" s="41">
        <f t="shared" si="0"/>
        <v>18</v>
      </c>
      <c r="B20" t="s">
        <v>1038</v>
      </c>
      <c r="C20" s="108">
        <v>144000</v>
      </c>
      <c r="D20" s="1296">
        <v>106000</v>
      </c>
      <c r="E20" s="1302">
        <f t="shared" si="1"/>
        <v>38000</v>
      </c>
    </row>
    <row r="21" spans="1:5">
      <c r="A21" s="41">
        <f t="shared" si="0"/>
        <v>19</v>
      </c>
      <c r="B21" t="s">
        <v>1039</v>
      </c>
      <c r="C21" s="108">
        <v>382000</v>
      </c>
      <c r="D21" s="1296">
        <v>-7000</v>
      </c>
      <c r="E21" s="1302">
        <f t="shared" si="1"/>
        <v>389000</v>
      </c>
    </row>
    <row r="22" spans="1:5">
      <c r="A22" s="41">
        <f t="shared" si="0"/>
        <v>20</v>
      </c>
      <c r="B22" t="s">
        <v>1349</v>
      </c>
      <c r="C22" s="108">
        <v>23048000</v>
      </c>
      <c r="D22" s="1296">
        <v>173000</v>
      </c>
      <c r="E22" s="1302">
        <f t="shared" si="1"/>
        <v>22875000</v>
      </c>
    </row>
    <row r="23" spans="1:5">
      <c r="A23" s="41">
        <f t="shared" si="0"/>
        <v>21</v>
      </c>
      <c r="B23" t="s">
        <v>1040</v>
      </c>
      <c r="C23" s="108">
        <v>112000</v>
      </c>
      <c r="D23" s="1296">
        <v>93000</v>
      </c>
      <c r="E23" s="1302">
        <f t="shared" si="1"/>
        <v>19000</v>
      </c>
    </row>
    <row r="24" spans="1:5">
      <c r="A24" s="41">
        <f t="shared" si="0"/>
        <v>22</v>
      </c>
      <c r="B24" t="s">
        <v>1041</v>
      </c>
      <c r="C24" s="108">
        <v>4060000</v>
      </c>
      <c r="D24" s="1296">
        <v>4122000</v>
      </c>
      <c r="E24" s="1302">
        <f t="shared" si="1"/>
        <v>-62000</v>
      </c>
    </row>
    <row r="25" spans="1:5">
      <c r="A25" s="41">
        <f t="shared" si="0"/>
        <v>23</v>
      </c>
      <c r="B25" t="s">
        <v>1059</v>
      </c>
      <c r="C25" s="108">
        <v>5619000</v>
      </c>
      <c r="D25" s="1296">
        <v>4624000</v>
      </c>
      <c r="E25" s="1302">
        <f t="shared" si="1"/>
        <v>995000</v>
      </c>
    </row>
    <row r="26" spans="1:5">
      <c r="A26" s="41">
        <f t="shared" si="0"/>
        <v>24</v>
      </c>
      <c r="B26" t="s">
        <v>1157</v>
      </c>
      <c r="C26" s="108">
        <v>5035000</v>
      </c>
      <c r="D26" s="1296">
        <v>2256000</v>
      </c>
      <c r="E26" s="1302">
        <f t="shared" si="1"/>
        <v>2779000</v>
      </c>
    </row>
    <row r="27" spans="1:5">
      <c r="A27" s="41">
        <f t="shared" si="0"/>
        <v>25</v>
      </c>
      <c r="B27" t="s">
        <v>1042</v>
      </c>
      <c r="C27" s="108">
        <v>3189000</v>
      </c>
      <c r="D27" s="1296">
        <v>977000</v>
      </c>
      <c r="E27" s="1302">
        <f t="shared" si="1"/>
        <v>2212000</v>
      </c>
    </row>
    <row r="28" spans="1:5">
      <c r="A28" s="41">
        <f t="shared" si="0"/>
        <v>26</v>
      </c>
      <c r="B28" t="s">
        <v>1043</v>
      </c>
      <c r="C28" s="108">
        <v>3815000</v>
      </c>
      <c r="D28" s="1296">
        <v>1969000</v>
      </c>
      <c r="E28" s="1302">
        <f t="shared" si="1"/>
        <v>1846000</v>
      </c>
    </row>
    <row r="29" spans="1:5">
      <c r="A29" s="41">
        <f t="shared" si="0"/>
        <v>27</v>
      </c>
      <c r="B29" t="s">
        <v>1044</v>
      </c>
      <c r="C29" s="108">
        <v>1732000</v>
      </c>
      <c r="D29" s="1296">
        <v>852000</v>
      </c>
      <c r="E29" s="1302">
        <f t="shared" si="1"/>
        <v>880000</v>
      </c>
    </row>
    <row r="30" spans="1:5">
      <c r="A30" s="41">
        <f t="shared" si="0"/>
        <v>28</v>
      </c>
      <c r="B30" t="s">
        <v>1045</v>
      </c>
      <c r="C30" s="108">
        <v>411000</v>
      </c>
      <c r="D30" s="1296">
        <v>148000</v>
      </c>
      <c r="E30" s="1302">
        <f t="shared" si="1"/>
        <v>263000</v>
      </c>
    </row>
    <row r="31" spans="1:5">
      <c r="A31" s="41">
        <f t="shared" si="0"/>
        <v>29</v>
      </c>
      <c r="B31" t="s">
        <v>1046</v>
      </c>
      <c r="C31" s="108">
        <v>8919000</v>
      </c>
      <c r="D31" s="1296">
        <v>3235000</v>
      </c>
      <c r="E31" s="1302">
        <f t="shared" si="1"/>
        <v>5684000</v>
      </c>
    </row>
    <row r="32" spans="1:5">
      <c r="A32" s="41">
        <f t="shared" si="0"/>
        <v>30</v>
      </c>
      <c r="B32" t="s">
        <v>1047</v>
      </c>
      <c r="C32" s="108">
        <v>9381000</v>
      </c>
      <c r="D32" s="1296">
        <v>3929000</v>
      </c>
      <c r="E32" s="1302">
        <f t="shared" ref="E32:E72" si="2">C32-D32</f>
        <v>5452000</v>
      </c>
    </row>
    <row r="33" spans="1:5">
      <c r="A33" s="41">
        <f t="shared" si="0"/>
        <v>31</v>
      </c>
      <c r="B33" t="s">
        <v>1048</v>
      </c>
      <c r="C33" s="108">
        <v>2700000</v>
      </c>
      <c r="D33" s="1296">
        <v>985000</v>
      </c>
      <c r="E33" s="1302">
        <f t="shared" si="2"/>
        <v>1715000</v>
      </c>
    </row>
    <row r="34" spans="1:5">
      <c r="A34" s="41">
        <f t="shared" si="0"/>
        <v>32</v>
      </c>
      <c r="B34" t="s">
        <v>1071</v>
      </c>
      <c r="C34" s="108">
        <v>24186000</v>
      </c>
      <c r="D34" s="1296">
        <v>11168000</v>
      </c>
      <c r="E34" s="1302">
        <f t="shared" si="2"/>
        <v>13018000</v>
      </c>
    </row>
    <row r="35" spans="1:5">
      <c r="A35" s="41">
        <f t="shared" si="0"/>
        <v>33</v>
      </c>
      <c r="B35" t="s">
        <v>1049</v>
      </c>
      <c r="C35" s="108">
        <v>1780000</v>
      </c>
      <c r="D35" s="1296">
        <v>682000</v>
      </c>
      <c r="E35" s="1302">
        <f t="shared" si="2"/>
        <v>1098000</v>
      </c>
    </row>
    <row r="36" spans="1:5">
      <c r="A36" s="41">
        <f t="shared" si="0"/>
        <v>34</v>
      </c>
      <c r="B36" t="s">
        <v>1050</v>
      </c>
      <c r="C36" s="108">
        <v>31000</v>
      </c>
      <c r="D36" s="1296">
        <v>13000</v>
      </c>
      <c r="E36" s="1302">
        <f t="shared" si="2"/>
        <v>18000</v>
      </c>
    </row>
    <row r="37" spans="1:5">
      <c r="A37" s="41">
        <f t="shared" si="0"/>
        <v>35</v>
      </c>
      <c r="B37" t="s">
        <v>1051</v>
      </c>
      <c r="C37" s="108">
        <v>206000</v>
      </c>
      <c r="D37" s="1296">
        <v>58000</v>
      </c>
      <c r="E37" s="1302">
        <f t="shared" si="2"/>
        <v>148000</v>
      </c>
    </row>
    <row r="38" spans="1:5">
      <c r="A38" s="41">
        <f t="shared" si="0"/>
        <v>36</v>
      </c>
      <c r="B38" t="s">
        <v>1052</v>
      </c>
      <c r="C38" s="108">
        <v>127000</v>
      </c>
      <c r="D38" s="1296">
        <v>51000</v>
      </c>
      <c r="E38" s="1302">
        <f t="shared" si="2"/>
        <v>76000</v>
      </c>
    </row>
    <row r="39" spans="1:5">
      <c r="A39" s="41">
        <f t="shared" si="0"/>
        <v>37</v>
      </c>
      <c r="B39" t="s">
        <v>1060</v>
      </c>
      <c r="C39" s="108">
        <v>4059000</v>
      </c>
      <c r="D39" s="1296">
        <v>1234000</v>
      </c>
      <c r="E39" s="1302">
        <f t="shared" si="2"/>
        <v>2825000</v>
      </c>
    </row>
    <row r="40" spans="1:5">
      <c r="A40" s="41">
        <f t="shared" si="0"/>
        <v>38</v>
      </c>
      <c r="B40" t="s">
        <v>1061</v>
      </c>
      <c r="C40" s="108">
        <v>4730000</v>
      </c>
      <c r="D40" s="1296">
        <v>1302000</v>
      </c>
      <c r="E40" s="1302">
        <f t="shared" si="2"/>
        <v>3428000</v>
      </c>
    </row>
    <row r="41" spans="1:5">
      <c r="A41" s="41">
        <f t="shared" si="0"/>
        <v>39</v>
      </c>
      <c r="B41" t="s">
        <v>1053</v>
      </c>
      <c r="C41" s="108">
        <v>209000</v>
      </c>
      <c r="D41" s="1296">
        <v>170000</v>
      </c>
      <c r="E41" s="1302">
        <f t="shared" si="2"/>
        <v>39000</v>
      </c>
    </row>
    <row r="42" spans="1:5">
      <c r="A42" s="41">
        <f t="shared" si="0"/>
        <v>40</v>
      </c>
      <c r="B42" t="s">
        <v>1054</v>
      </c>
      <c r="C42" s="108">
        <v>92000</v>
      </c>
      <c r="D42" s="1296">
        <v>-30000</v>
      </c>
      <c r="E42" s="1302">
        <f t="shared" si="2"/>
        <v>122000</v>
      </c>
    </row>
    <row r="43" spans="1:5">
      <c r="A43" s="41">
        <f t="shared" si="0"/>
        <v>41</v>
      </c>
      <c r="B43" t="s">
        <v>1055</v>
      </c>
      <c r="C43" s="108">
        <v>26000</v>
      </c>
      <c r="D43" s="1296">
        <v>15000</v>
      </c>
      <c r="E43" s="1302">
        <f t="shared" si="2"/>
        <v>11000</v>
      </c>
    </row>
    <row r="44" spans="1:5">
      <c r="A44" s="41">
        <f t="shared" si="0"/>
        <v>42</v>
      </c>
      <c r="B44" t="s">
        <v>1072</v>
      </c>
      <c r="C44" s="108">
        <v>2835000</v>
      </c>
      <c r="D44" s="1296">
        <v>748000</v>
      </c>
      <c r="E44" s="1302">
        <f t="shared" si="2"/>
        <v>2087000</v>
      </c>
    </row>
    <row r="45" spans="1:5">
      <c r="A45" s="41">
        <f t="shared" si="0"/>
        <v>43</v>
      </c>
      <c r="B45" t="s">
        <v>1056</v>
      </c>
      <c r="C45" s="108">
        <v>3525000</v>
      </c>
      <c r="D45" s="1296">
        <v>3813000</v>
      </c>
      <c r="E45" s="1302">
        <f t="shared" si="2"/>
        <v>-288000</v>
      </c>
    </row>
    <row r="46" spans="1:5">
      <c r="A46" s="41">
        <f t="shared" si="0"/>
        <v>44</v>
      </c>
      <c r="B46" t="s">
        <v>1057</v>
      </c>
      <c r="C46" s="108">
        <v>137000</v>
      </c>
      <c r="D46" s="1296">
        <v>90000</v>
      </c>
      <c r="E46" s="1302">
        <f t="shared" si="2"/>
        <v>47000</v>
      </c>
    </row>
    <row r="47" spans="1:5">
      <c r="A47" s="41">
        <f t="shared" si="0"/>
        <v>45</v>
      </c>
      <c r="B47" t="s">
        <v>1058</v>
      </c>
      <c r="C47" s="108">
        <v>13000</v>
      </c>
      <c r="D47" s="1296">
        <v>9000</v>
      </c>
      <c r="E47" s="1302">
        <f t="shared" si="2"/>
        <v>4000</v>
      </c>
    </row>
    <row r="48" spans="1:5">
      <c r="A48" s="41">
        <f t="shared" si="0"/>
        <v>46</v>
      </c>
      <c r="B48" t="s">
        <v>0</v>
      </c>
      <c r="C48" s="108">
        <v>2706000</v>
      </c>
      <c r="D48" s="1296">
        <v>999000</v>
      </c>
      <c r="E48" s="1302">
        <f t="shared" si="2"/>
        <v>1707000</v>
      </c>
    </row>
    <row r="49" spans="1:5">
      <c r="A49" s="41">
        <f t="shared" si="0"/>
        <v>47</v>
      </c>
      <c r="B49" t="s">
        <v>1</v>
      </c>
      <c r="C49" s="108">
        <v>2885000</v>
      </c>
      <c r="D49" s="1296">
        <v>923000</v>
      </c>
      <c r="E49" s="1302">
        <f t="shared" si="2"/>
        <v>1962000</v>
      </c>
    </row>
    <row r="50" spans="1:5">
      <c r="A50" s="41">
        <f t="shared" si="0"/>
        <v>48</v>
      </c>
      <c r="B50" t="s">
        <v>2</v>
      </c>
      <c r="C50" s="108">
        <v>2570000</v>
      </c>
      <c r="D50" s="1296">
        <v>1472000</v>
      </c>
      <c r="E50" s="1302">
        <f t="shared" si="2"/>
        <v>1098000</v>
      </c>
    </row>
    <row r="51" spans="1:5">
      <c r="A51" s="41">
        <f t="shared" si="0"/>
        <v>49</v>
      </c>
      <c r="B51" t="s">
        <v>3</v>
      </c>
      <c r="C51" s="108">
        <v>10815000</v>
      </c>
      <c r="D51" s="1296">
        <v>4431000</v>
      </c>
      <c r="E51" s="1302">
        <f t="shared" si="2"/>
        <v>6384000</v>
      </c>
    </row>
    <row r="52" spans="1:5">
      <c r="A52" s="41">
        <f t="shared" si="0"/>
        <v>50</v>
      </c>
      <c r="B52" t="s">
        <v>1152</v>
      </c>
      <c r="C52" s="108">
        <v>9688000</v>
      </c>
      <c r="D52" s="1296">
        <v>3843000</v>
      </c>
      <c r="E52" s="1302">
        <f t="shared" si="2"/>
        <v>5845000</v>
      </c>
    </row>
    <row r="53" spans="1:5">
      <c r="A53" s="41">
        <f t="shared" si="0"/>
        <v>51</v>
      </c>
      <c r="B53" t="s">
        <v>4</v>
      </c>
      <c r="C53" s="108">
        <v>8292000</v>
      </c>
      <c r="D53" s="1296">
        <v>2634000</v>
      </c>
      <c r="E53" s="1302">
        <f t="shared" si="2"/>
        <v>5658000</v>
      </c>
    </row>
    <row r="54" spans="1:5">
      <c r="A54" s="41">
        <f t="shared" si="0"/>
        <v>52</v>
      </c>
      <c r="B54" t="s">
        <v>5</v>
      </c>
      <c r="C54" s="108">
        <v>152000</v>
      </c>
      <c r="D54" s="1296">
        <v>62000</v>
      </c>
      <c r="E54" s="1302">
        <f t="shared" si="2"/>
        <v>90000</v>
      </c>
    </row>
    <row r="55" spans="1:5">
      <c r="A55" s="41">
        <f t="shared" si="0"/>
        <v>53</v>
      </c>
      <c r="B55" t="s">
        <v>6</v>
      </c>
      <c r="C55" s="108">
        <v>159000</v>
      </c>
      <c r="D55" s="1296">
        <v>63000</v>
      </c>
      <c r="E55" s="1302">
        <f t="shared" si="2"/>
        <v>96000</v>
      </c>
    </row>
    <row r="56" spans="1:5">
      <c r="A56" s="41">
        <f t="shared" si="0"/>
        <v>54</v>
      </c>
      <c r="B56" t="s">
        <v>1062</v>
      </c>
      <c r="C56" s="108">
        <v>45000</v>
      </c>
      <c r="D56" s="1296">
        <v>33000</v>
      </c>
      <c r="E56" s="1302">
        <f t="shared" si="2"/>
        <v>12000</v>
      </c>
    </row>
    <row r="57" spans="1:5">
      <c r="A57" s="41">
        <f t="shared" si="0"/>
        <v>55</v>
      </c>
      <c r="B57" t="s">
        <v>7</v>
      </c>
      <c r="C57" s="108">
        <v>1545000</v>
      </c>
      <c r="D57" s="1296">
        <v>853000</v>
      </c>
      <c r="E57" s="1302">
        <f t="shared" si="2"/>
        <v>692000</v>
      </c>
    </row>
    <row r="58" spans="1:5">
      <c r="A58" s="41">
        <f t="shared" si="0"/>
        <v>56</v>
      </c>
      <c r="B58" t="s">
        <v>8</v>
      </c>
      <c r="C58" s="108">
        <v>11000</v>
      </c>
      <c r="D58" s="1296">
        <v>14000</v>
      </c>
      <c r="E58" s="1302">
        <f t="shared" si="2"/>
        <v>-3000</v>
      </c>
    </row>
    <row r="59" spans="1:5">
      <c r="A59" s="41">
        <f t="shared" si="0"/>
        <v>57</v>
      </c>
      <c r="B59" t="s">
        <v>9</v>
      </c>
      <c r="C59" s="108">
        <v>935000</v>
      </c>
      <c r="D59" s="1296">
        <v>426000</v>
      </c>
      <c r="E59" s="1302">
        <f t="shared" si="2"/>
        <v>509000</v>
      </c>
    </row>
    <row r="60" spans="1:5">
      <c r="A60" s="41">
        <f t="shared" si="0"/>
        <v>58</v>
      </c>
      <c r="B60" t="s">
        <v>10</v>
      </c>
      <c r="C60" s="108">
        <v>19000</v>
      </c>
      <c r="D60" s="1296">
        <v>14000</v>
      </c>
      <c r="E60" s="1302">
        <f t="shared" si="2"/>
        <v>5000</v>
      </c>
    </row>
    <row r="61" spans="1:5">
      <c r="A61" s="41">
        <f t="shared" si="0"/>
        <v>59</v>
      </c>
      <c r="B61" t="s">
        <v>1326</v>
      </c>
      <c r="C61" s="108">
        <v>0</v>
      </c>
      <c r="D61" s="1296">
        <v>-17000</v>
      </c>
      <c r="E61" s="1302">
        <f t="shared" si="2"/>
        <v>17000</v>
      </c>
    </row>
    <row r="62" spans="1:5">
      <c r="A62" s="41">
        <f t="shared" si="0"/>
        <v>60</v>
      </c>
      <c r="B62" t="s">
        <v>11</v>
      </c>
      <c r="C62" s="108">
        <v>194000</v>
      </c>
      <c r="D62" s="1296">
        <v>87000</v>
      </c>
      <c r="E62" s="1302">
        <f t="shared" si="2"/>
        <v>107000</v>
      </c>
    </row>
    <row r="63" spans="1:5">
      <c r="A63" s="41">
        <f t="shared" si="0"/>
        <v>61</v>
      </c>
      <c r="B63" t="s">
        <v>12</v>
      </c>
      <c r="C63" s="108">
        <v>85000</v>
      </c>
      <c r="D63" s="1296">
        <v>78000</v>
      </c>
      <c r="E63" s="1302">
        <f t="shared" si="2"/>
        <v>7000</v>
      </c>
    </row>
    <row r="64" spans="1:5">
      <c r="A64" s="41">
        <f t="shared" si="0"/>
        <v>62</v>
      </c>
      <c r="B64" t="s">
        <v>1118</v>
      </c>
      <c r="C64" s="108">
        <v>89000</v>
      </c>
      <c r="D64" s="1296">
        <v>51000</v>
      </c>
      <c r="E64" s="1302">
        <f t="shared" si="2"/>
        <v>38000</v>
      </c>
    </row>
    <row r="65" spans="1:5">
      <c r="A65" s="41">
        <f t="shared" si="0"/>
        <v>63</v>
      </c>
      <c r="B65" t="s">
        <v>13</v>
      </c>
      <c r="C65" s="108">
        <v>152000</v>
      </c>
      <c r="D65" s="1296">
        <v>162000</v>
      </c>
      <c r="E65" s="1302">
        <f t="shared" si="2"/>
        <v>-10000</v>
      </c>
    </row>
    <row r="66" spans="1:5">
      <c r="A66" s="41">
        <f t="shared" si="0"/>
        <v>64</v>
      </c>
      <c r="B66" t="s">
        <v>14</v>
      </c>
      <c r="C66" s="108">
        <v>1175000</v>
      </c>
      <c r="D66" s="1296">
        <v>610000</v>
      </c>
      <c r="E66" s="1302">
        <f t="shared" si="2"/>
        <v>565000</v>
      </c>
    </row>
    <row r="67" spans="1:5">
      <c r="A67" s="41">
        <f t="shared" si="0"/>
        <v>65</v>
      </c>
      <c r="B67" t="s">
        <v>1073</v>
      </c>
      <c r="C67" s="108">
        <v>4534000</v>
      </c>
      <c r="D67" s="1296">
        <v>2055000</v>
      </c>
      <c r="E67" s="1302">
        <f t="shared" si="2"/>
        <v>2479000</v>
      </c>
    </row>
    <row r="68" spans="1:5">
      <c r="A68" s="41">
        <f t="shared" si="0"/>
        <v>66</v>
      </c>
      <c r="B68" t="s">
        <v>15</v>
      </c>
      <c r="C68" s="108">
        <v>1665000</v>
      </c>
      <c r="D68" s="1296">
        <v>800000</v>
      </c>
      <c r="E68" s="1302">
        <f t="shared" si="2"/>
        <v>865000</v>
      </c>
    </row>
    <row r="69" spans="1:5">
      <c r="A69" s="41">
        <f t="shared" si="0"/>
        <v>67</v>
      </c>
      <c r="B69" t="s">
        <v>1158</v>
      </c>
      <c r="C69" s="108">
        <v>3000</v>
      </c>
      <c r="D69" s="1296">
        <v>5000</v>
      </c>
      <c r="E69" s="1302">
        <f t="shared" si="2"/>
        <v>-2000</v>
      </c>
    </row>
    <row r="70" spans="1:5">
      <c r="A70" s="41">
        <f t="shared" si="0"/>
        <v>68</v>
      </c>
      <c r="B70" t="s">
        <v>16</v>
      </c>
      <c r="C70" s="108">
        <v>252000</v>
      </c>
      <c r="D70" s="1296">
        <v>92000</v>
      </c>
      <c r="E70" s="1302">
        <f t="shared" si="2"/>
        <v>160000</v>
      </c>
    </row>
    <row r="71" spans="1:5">
      <c r="A71" s="41">
        <f t="shared" si="0"/>
        <v>69</v>
      </c>
      <c r="B71" t="s">
        <v>17</v>
      </c>
      <c r="C71" s="108">
        <v>9000</v>
      </c>
      <c r="D71" s="1296">
        <v>6000</v>
      </c>
      <c r="E71" s="1302">
        <f t="shared" si="2"/>
        <v>3000</v>
      </c>
    </row>
    <row r="72" spans="1:5">
      <c r="A72" s="41">
        <f t="shared" si="0"/>
        <v>70</v>
      </c>
      <c r="B72" t="s">
        <v>18</v>
      </c>
      <c r="C72" s="108">
        <v>164000</v>
      </c>
      <c r="D72" s="1296">
        <v>35000</v>
      </c>
      <c r="E72" s="1302">
        <f t="shared" si="2"/>
        <v>129000</v>
      </c>
    </row>
    <row r="73" spans="1:5">
      <c r="A73" s="41">
        <f t="shared" si="0"/>
        <v>71</v>
      </c>
      <c r="B73" t="s">
        <v>19</v>
      </c>
      <c r="C73" s="108">
        <v>103000</v>
      </c>
      <c r="D73" s="1296">
        <v>75000</v>
      </c>
      <c r="E73" s="1302">
        <f t="shared" ref="E73:E81" si="3">C73-D73</f>
        <v>28000</v>
      </c>
    </row>
    <row r="74" spans="1:5">
      <c r="A74" s="41">
        <f t="shared" si="0"/>
        <v>72</v>
      </c>
      <c r="B74" t="s">
        <v>20</v>
      </c>
      <c r="C74" s="108">
        <v>63000</v>
      </c>
      <c r="D74" s="1296">
        <v>66000</v>
      </c>
      <c r="E74" s="1302">
        <f t="shared" si="3"/>
        <v>-3000</v>
      </c>
    </row>
    <row r="75" spans="1:5">
      <c r="A75" s="41">
        <f t="shared" si="0"/>
        <v>73</v>
      </c>
      <c r="B75" t="s">
        <v>1119</v>
      </c>
      <c r="C75" s="108">
        <v>68000</v>
      </c>
      <c r="D75" s="1296">
        <v>18000</v>
      </c>
      <c r="E75" s="1302">
        <f t="shared" si="3"/>
        <v>50000</v>
      </c>
    </row>
    <row r="76" spans="1:5">
      <c r="A76" s="41">
        <f t="shared" si="0"/>
        <v>74</v>
      </c>
      <c r="B76" t="s">
        <v>21</v>
      </c>
      <c r="C76" s="108">
        <v>59000</v>
      </c>
      <c r="D76" s="1296">
        <v>56000</v>
      </c>
      <c r="E76" s="1302">
        <f t="shared" si="3"/>
        <v>3000</v>
      </c>
    </row>
    <row r="77" spans="1:5">
      <c r="A77" s="41">
        <f t="shared" si="0"/>
        <v>75</v>
      </c>
      <c r="B77" t="s">
        <v>22</v>
      </c>
      <c r="C77" s="108">
        <v>378000</v>
      </c>
      <c r="D77" s="1296">
        <v>137000</v>
      </c>
      <c r="E77" s="1302">
        <f t="shared" si="3"/>
        <v>241000</v>
      </c>
    </row>
    <row r="78" spans="1:5">
      <c r="A78" s="41">
        <f t="shared" si="0"/>
        <v>76</v>
      </c>
      <c r="B78" t="s">
        <v>1074</v>
      </c>
      <c r="C78" s="108">
        <v>3023000</v>
      </c>
      <c r="D78" s="1296">
        <v>919000</v>
      </c>
      <c r="E78" s="1302">
        <f t="shared" si="3"/>
        <v>2104000</v>
      </c>
    </row>
    <row r="79" spans="1:5">
      <c r="A79" s="41">
        <f t="shared" si="0"/>
        <v>77</v>
      </c>
      <c r="B79" t="s">
        <v>1120</v>
      </c>
      <c r="C79" s="108">
        <v>510000</v>
      </c>
      <c r="D79" s="1296">
        <v>199000</v>
      </c>
      <c r="E79" s="1302">
        <f t="shared" si="3"/>
        <v>311000</v>
      </c>
    </row>
    <row r="80" spans="1:5">
      <c r="A80" s="41">
        <f t="shared" si="0"/>
        <v>78</v>
      </c>
      <c r="B80" t="s">
        <v>1159</v>
      </c>
      <c r="C80" s="108">
        <v>3475000</v>
      </c>
      <c r="D80" s="1296">
        <v>1542000</v>
      </c>
      <c r="E80" s="1302">
        <f t="shared" si="3"/>
        <v>1933000</v>
      </c>
    </row>
    <row r="81" spans="1:5">
      <c r="A81" s="41">
        <f t="shared" ref="A81:A89" si="4">+A80+1</f>
        <v>79</v>
      </c>
      <c r="B81" t="s">
        <v>1075</v>
      </c>
      <c r="C81" s="108">
        <v>22546000</v>
      </c>
      <c r="D81" s="1296">
        <v>8682000</v>
      </c>
      <c r="E81" s="1302">
        <f t="shared" si="3"/>
        <v>13864000</v>
      </c>
    </row>
    <row r="82" spans="1:5">
      <c r="A82" s="41">
        <f t="shared" si="4"/>
        <v>80</v>
      </c>
      <c r="B82" t="s">
        <v>1121</v>
      </c>
      <c r="C82" s="108">
        <v>3837000</v>
      </c>
      <c r="D82" s="1296">
        <v>2052000</v>
      </c>
      <c r="E82" s="1302">
        <f>C80-D80</f>
        <v>1933000</v>
      </c>
    </row>
    <row r="83" spans="1:5">
      <c r="A83" s="41">
        <f t="shared" si="4"/>
        <v>81</v>
      </c>
      <c r="B83" t="s">
        <v>1122</v>
      </c>
      <c r="C83" s="108">
        <v>1080000</v>
      </c>
      <c r="D83" s="1296">
        <v>507000</v>
      </c>
      <c r="E83" s="1302">
        <f>C81-D81</f>
        <v>13864000</v>
      </c>
    </row>
    <row r="84" spans="1:5">
      <c r="A84" s="41">
        <f t="shared" si="4"/>
        <v>82</v>
      </c>
      <c r="B84" t="s">
        <v>1123</v>
      </c>
      <c r="C84" s="285">
        <v>3086000</v>
      </c>
      <c r="D84" s="1296">
        <v>1157000</v>
      </c>
      <c r="E84" s="1302">
        <f t="shared" ref="E84:E85" si="5">C82-D82</f>
        <v>1785000</v>
      </c>
    </row>
    <row r="85" spans="1:5">
      <c r="A85" s="41">
        <f t="shared" si="4"/>
        <v>83</v>
      </c>
      <c r="B85" t="s">
        <v>23</v>
      </c>
      <c r="C85" s="285">
        <v>8000</v>
      </c>
      <c r="D85" s="1296">
        <v>5000</v>
      </c>
      <c r="E85" s="1302">
        <f t="shared" si="5"/>
        <v>573000</v>
      </c>
    </row>
    <row r="86" spans="1:5">
      <c r="A86" s="41">
        <f t="shared" si="4"/>
        <v>84</v>
      </c>
      <c r="C86" s="285"/>
      <c r="E86" s="1302"/>
    </row>
    <row r="87" spans="1:5">
      <c r="A87" s="41">
        <f t="shared" si="4"/>
        <v>85</v>
      </c>
      <c r="B87" s="108"/>
      <c r="C87" s="1300">
        <f>SUM(C10:C86)</f>
        <v>199415000</v>
      </c>
      <c r="D87" s="1300">
        <f t="shared" ref="D87" si="6">SUM(D10:D86)</f>
        <v>78896000</v>
      </c>
      <c r="E87" s="1300">
        <f>SUM(E10:E86)</f>
        <v>134384000</v>
      </c>
    </row>
    <row r="88" spans="1:5">
      <c r="A88" s="41">
        <f t="shared" si="4"/>
        <v>86</v>
      </c>
      <c r="B88" s="108"/>
      <c r="C88" s="1301"/>
      <c r="D88" s="1301"/>
      <c r="E88" s="1301"/>
    </row>
    <row r="89" spans="1:5">
      <c r="A89" s="41">
        <f t="shared" si="4"/>
        <v>87</v>
      </c>
      <c r="B89" s="108"/>
      <c r="C89" s="1300">
        <f>+C87+C8</f>
        <v>203855000</v>
      </c>
      <c r="D89" s="1300">
        <f>+D87+D8</f>
        <v>82567000</v>
      </c>
      <c r="E89" s="1300">
        <f>+E87+E8</f>
        <v>135153000</v>
      </c>
    </row>
    <row r="90" spans="1:5">
      <c r="B90" s="108"/>
    </row>
    <row r="91" spans="1:5">
      <c r="B91" s="108"/>
    </row>
    <row r="92" spans="1:5">
      <c r="B92" s="108"/>
    </row>
    <row r="93" spans="1:5">
      <c r="B93" s="108"/>
    </row>
    <row r="94" spans="1:5">
      <c r="B94" s="108"/>
    </row>
    <row r="95" spans="1:5">
      <c r="B95" s="108"/>
    </row>
    <row r="96" spans="1:5">
      <c r="B96" s="108"/>
    </row>
    <row r="97" spans="2:2">
      <c r="B97" s="108"/>
    </row>
    <row r="98" spans="2:2">
      <c r="B98" s="108"/>
    </row>
    <row r="99" spans="2:2">
      <c r="B99" s="108"/>
    </row>
    <row r="100" spans="2:2">
      <c r="B100" s="108"/>
    </row>
    <row r="101" spans="2:2">
      <c r="B101" s="108"/>
    </row>
    <row r="102" spans="2:2">
      <c r="B102" s="108"/>
    </row>
    <row r="103" spans="2:2">
      <c r="B103" s="108"/>
    </row>
    <row r="104" spans="2:2">
      <c r="B104" s="108"/>
    </row>
    <row r="105" spans="2:2">
      <c r="B105" s="108"/>
    </row>
    <row r="106" spans="2:2">
      <c r="B106" s="108"/>
    </row>
    <row r="107" spans="2:2">
      <c r="B107" s="108"/>
    </row>
    <row r="108" spans="2:2">
      <c r="B108" s="108"/>
    </row>
    <row r="109" spans="2:2">
      <c r="B109" s="108"/>
    </row>
    <row r="110" spans="2:2">
      <c r="B110" s="108"/>
    </row>
    <row r="111" spans="2:2">
      <c r="B111" s="108"/>
    </row>
    <row r="112" spans="2:2">
      <c r="B112" s="108"/>
    </row>
    <row r="113" spans="2:2">
      <c r="B113" s="108"/>
    </row>
    <row r="114" spans="2:2">
      <c r="B114" s="108"/>
    </row>
    <row r="115" spans="2:2">
      <c r="B115" s="108"/>
    </row>
    <row r="116" spans="2:2">
      <c r="B116" s="108"/>
    </row>
    <row r="117" spans="2:2">
      <c r="B117" s="108"/>
    </row>
    <row r="118" spans="2:2">
      <c r="B118" s="108"/>
    </row>
    <row r="119" spans="2:2">
      <c r="B119" s="108"/>
    </row>
    <row r="120" spans="2:2">
      <c r="B120" s="108"/>
    </row>
    <row r="121" spans="2:2">
      <c r="B121" s="108"/>
    </row>
    <row r="122" spans="2:2">
      <c r="B122" s="108"/>
    </row>
    <row r="123" spans="2:2">
      <c r="B123" s="108"/>
    </row>
    <row r="124" spans="2:2">
      <c r="B124" s="108"/>
    </row>
    <row r="125" spans="2:2">
      <c r="B125" s="108"/>
    </row>
    <row r="126" spans="2:2">
      <c r="B126" s="108"/>
    </row>
    <row r="127" spans="2:2">
      <c r="B127" s="108"/>
    </row>
    <row r="128" spans="2:2">
      <c r="B128" s="108"/>
    </row>
    <row r="129" spans="2:2">
      <c r="B129" s="108"/>
    </row>
    <row r="130" spans="2:2">
      <c r="B130" s="108"/>
    </row>
    <row r="131" spans="2:2">
      <c r="B131" s="108"/>
    </row>
    <row r="132" spans="2:2">
      <c r="B132" s="108"/>
    </row>
    <row r="133" spans="2:2">
      <c r="B133" s="108"/>
    </row>
    <row r="134" spans="2:2">
      <c r="B134" s="108"/>
    </row>
    <row r="135" spans="2:2">
      <c r="B135" s="108"/>
    </row>
    <row r="136" spans="2:2">
      <c r="B136" s="108"/>
    </row>
    <row r="137" spans="2:2">
      <c r="B137" s="108"/>
    </row>
    <row r="138" spans="2:2">
      <c r="B138" s="108"/>
    </row>
    <row r="139" spans="2:2">
      <c r="B139" s="108"/>
    </row>
    <row r="140" spans="2:2">
      <c r="B140" s="108"/>
    </row>
    <row r="141" spans="2:2">
      <c r="B141" s="108"/>
    </row>
    <row r="142" spans="2:2">
      <c r="B142" s="108"/>
    </row>
    <row r="143" spans="2:2">
      <c r="B143" s="108"/>
    </row>
    <row r="144" spans="2:2">
      <c r="B144" s="108"/>
    </row>
    <row r="145" spans="2:2">
      <c r="B145" s="108"/>
    </row>
    <row r="146" spans="2:2">
      <c r="B146" s="108"/>
    </row>
    <row r="147" spans="2:2">
      <c r="B147" s="108"/>
    </row>
    <row r="148" spans="2:2">
      <c r="B148" s="108"/>
    </row>
    <row r="149" spans="2:2">
      <c r="B149" s="108"/>
    </row>
    <row r="150" spans="2:2">
      <c r="B150" s="108"/>
    </row>
    <row r="151" spans="2:2">
      <c r="B151" s="108"/>
    </row>
    <row r="152" spans="2:2">
      <c r="B152" s="108"/>
    </row>
    <row r="153" spans="2:2">
      <c r="B153" s="108"/>
    </row>
    <row r="154" spans="2:2">
      <c r="B154" s="108"/>
    </row>
    <row r="155" spans="2:2">
      <c r="B155" s="108"/>
    </row>
    <row r="156" spans="2:2">
      <c r="B156" s="108"/>
    </row>
    <row r="157" spans="2:2">
      <c r="B157" s="108"/>
    </row>
    <row r="158" spans="2:2">
      <c r="B158" s="108"/>
    </row>
  </sheetData>
  <phoneticPr fontId="73" type="noConversion"/>
  <pageMargins left="0.75" right="0.75" top="0.17" bottom="0.16" header="0.5" footer="0.21"/>
  <pageSetup scale="64"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U80"/>
  <sheetViews>
    <sheetView topLeftCell="A25" zoomScaleNormal="100" workbookViewId="0">
      <selection activeCell="N42" sqref="N42"/>
    </sheetView>
  </sheetViews>
  <sheetFormatPr defaultRowHeight="12.75"/>
  <cols>
    <col min="1" max="1" width="7.5703125" customWidth="1"/>
    <col min="2" max="2" width="20.28515625" customWidth="1"/>
    <col min="3" max="3" width="16.85546875" customWidth="1"/>
    <col min="4" max="5" width="9.42578125" bestFit="1" customWidth="1"/>
    <col min="6" max="6" width="11.85546875" bestFit="1" customWidth="1"/>
    <col min="7" max="7" width="10.42578125" bestFit="1" customWidth="1"/>
    <col min="8" max="8" width="15.42578125" customWidth="1"/>
    <col min="9" max="9" width="10.42578125" bestFit="1" customWidth="1"/>
    <col min="10" max="10" width="15" customWidth="1"/>
    <col min="11" max="11" width="9.42578125" bestFit="1" customWidth="1"/>
    <col min="12" max="12" width="15.42578125" bestFit="1" customWidth="1"/>
    <col min="13" max="13" width="12.28515625" customWidth="1"/>
    <col min="14" max="14" width="12" customWidth="1"/>
    <col min="15" max="15" width="11.85546875" bestFit="1" customWidth="1"/>
    <col min="16" max="16" width="9.85546875" bestFit="1" customWidth="1"/>
    <col min="17" max="17" width="11.5703125" customWidth="1"/>
    <col min="18" max="18" width="10.42578125" bestFit="1" customWidth="1"/>
    <col min="19" max="19" width="12.140625" customWidth="1"/>
    <col min="21" max="21" width="18.28515625" customWidth="1"/>
    <col min="22" max="22" width="14.85546875" customWidth="1"/>
  </cols>
  <sheetData>
    <row r="1" spans="1:21" ht="15.75">
      <c r="A1" s="1" t="s">
        <v>543</v>
      </c>
    </row>
    <row r="4" spans="1:21">
      <c r="A4" s="105" t="s">
        <v>99</v>
      </c>
      <c r="U4" s="105"/>
    </row>
    <row r="5" spans="1:21">
      <c r="A5" s="105" t="s">
        <v>1017</v>
      </c>
      <c r="H5" s="550"/>
      <c r="Q5" s="550"/>
    </row>
    <row r="6" spans="1:21">
      <c r="A6" s="105" t="s">
        <v>65</v>
      </c>
    </row>
    <row r="7" spans="1:21" ht="63.75">
      <c r="A7" s="92" t="s">
        <v>141</v>
      </c>
      <c r="B7" s="71" t="s">
        <v>1021</v>
      </c>
      <c r="C7" s="551" t="s">
        <v>1020</v>
      </c>
      <c r="D7" s="551" t="s">
        <v>1022</v>
      </c>
      <c r="E7" s="551" t="s">
        <v>1023</v>
      </c>
      <c r="F7" s="551" t="s">
        <v>1024</v>
      </c>
      <c r="G7" s="551" t="s">
        <v>1025</v>
      </c>
      <c r="H7" s="551" t="s">
        <v>1026</v>
      </c>
      <c r="I7" s="551" t="s">
        <v>1027</v>
      </c>
      <c r="J7" s="551" t="s">
        <v>1028</v>
      </c>
      <c r="K7" s="551" t="s">
        <v>55</v>
      </c>
      <c r="L7" s="563"/>
      <c r="M7" s="563"/>
      <c r="N7" s="563"/>
      <c r="O7" s="563"/>
    </row>
    <row r="8" spans="1:21">
      <c r="A8" s="71"/>
      <c r="B8" s="71"/>
      <c r="C8" s="71"/>
      <c r="D8" s="71"/>
      <c r="E8" s="71"/>
      <c r="F8" s="71"/>
      <c r="G8" s="71"/>
      <c r="H8" s="71"/>
      <c r="I8" s="552"/>
      <c r="J8" s="552"/>
      <c r="K8" s="552"/>
    </row>
    <row r="9" spans="1:21">
      <c r="A9" s="71">
        <v>1</v>
      </c>
      <c r="B9" s="71" t="s">
        <v>474</v>
      </c>
      <c r="C9" s="865">
        <f>SUM(F9:I9)</f>
        <v>5009.2164826971766</v>
      </c>
      <c r="D9" s="865">
        <v>27</v>
      </c>
      <c r="E9" s="1282">
        <v>800</v>
      </c>
      <c r="F9" s="865">
        <v>4070.9458526971766</v>
      </c>
      <c r="G9" s="865">
        <v>352.33199999999999</v>
      </c>
      <c r="H9" s="865">
        <v>571</v>
      </c>
      <c r="I9" s="865">
        <v>14.93863</v>
      </c>
      <c r="J9" s="865">
        <v>3181</v>
      </c>
      <c r="K9" s="1226">
        <v>793</v>
      </c>
    </row>
    <row r="10" spans="1:21">
      <c r="A10" s="71">
        <v>2</v>
      </c>
      <c r="B10" s="71" t="s">
        <v>475</v>
      </c>
      <c r="C10" s="865">
        <f>SUM(F10:I10)</f>
        <v>5368.7763522784808</v>
      </c>
      <c r="D10" s="865">
        <v>12</v>
      </c>
      <c r="E10" s="1282">
        <v>800</v>
      </c>
      <c r="F10" s="865">
        <v>4411.2849022784812</v>
      </c>
      <c r="G10" s="865">
        <v>370.03100000000001</v>
      </c>
      <c r="H10" s="865">
        <v>571</v>
      </c>
      <c r="I10" s="865">
        <v>16.460450000000002</v>
      </c>
      <c r="J10" s="865">
        <v>3277</v>
      </c>
      <c r="K10" s="865">
        <v>381</v>
      </c>
    </row>
    <row r="11" spans="1:21">
      <c r="A11" s="71">
        <v>3</v>
      </c>
      <c r="B11" s="71" t="s">
        <v>476</v>
      </c>
      <c r="C11" s="865">
        <f>SUM(F11:I11)</f>
        <v>4385.3692391333989</v>
      </c>
      <c r="D11" s="865">
        <v>18</v>
      </c>
      <c r="E11" s="1282">
        <v>800</v>
      </c>
      <c r="F11" s="865">
        <v>3487.0869591333985</v>
      </c>
      <c r="G11" s="865">
        <v>313.07799999999997</v>
      </c>
      <c r="H11" s="865">
        <v>571</v>
      </c>
      <c r="I11" s="865">
        <v>14.204279999999999</v>
      </c>
      <c r="J11" s="865">
        <v>1850</v>
      </c>
      <c r="K11" s="865">
        <v>487</v>
      </c>
    </row>
    <row r="12" spans="1:21">
      <c r="A12" s="553">
        <v>4</v>
      </c>
      <c r="B12" s="464" t="s">
        <v>62</v>
      </c>
      <c r="C12" s="560">
        <f>SUM(C9:C11)</f>
        <v>14763.362074109056</v>
      </c>
      <c r="D12" s="554"/>
      <c r="E12" s="554"/>
      <c r="F12" s="560">
        <f t="shared" ref="F12:K12" si="0">SUM(F9:F11)</f>
        <v>11969.317714109056</v>
      </c>
      <c r="G12" s="560">
        <f t="shared" si="0"/>
        <v>1035.441</v>
      </c>
      <c r="H12" s="560">
        <f t="shared" si="0"/>
        <v>1713</v>
      </c>
      <c r="I12" s="560">
        <f t="shared" si="0"/>
        <v>45.603360000000002</v>
      </c>
      <c r="J12" s="560">
        <f t="shared" si="0"/>
        <v>8308</v>
      </c>
      <c r="K12" s="560">
        <f t="shared" si="0"/>
        <v>1661</v>
      </c>
      <c r="L12" s="810"/>
      <c r="M12" s="810"/>
      <c r="N12" s="810"/>
      <c r="O12" s="810"/>
    </row>
    <row r="13" spans="1:21">
      <c r="A13" s="71">
        <v>5</v>
      </c>
      <c r="B13" s="464" t="s">
        <v>622</v>
      </c>
      <c r="C13" s="865">
        <f t="shared" ref="C13:C23" si="1">SUM(F13:I13)</f>
        <v>3923.4057177604677</v>
      </c>
      <c r="D13" s="1226">
        <v>4</v>
      </c>
      <c r="E13" s="1227">
        <v>800</v>
      </c>
      <c r="F13" s="865">
        <v>3054.3820777604674</v>
      </c>
      <c r="G13" s="865">
        <v>284.92500000000001</v>
      </c>
      <c r="H13" s="1226">
        <v>571</v>
      </c>
      <c r="I13" s="1226">
        <v>13.09864</v>
      </c>
      <c r="J13" s="865">
        <v>2523</v>
      </c>
      <c r="K13" s="865">
        <v>632</v>
      </c>
    </row>
    <row r="14" spans="1:21">
      <c r="A14" s="71">
        <v>6</v>
      </c>
      <c r="B14" s="464" t="s">
        <v>623</v>
      </c>
      <c r="C14" s="865">
        <f t="shared" si="1"/>
        <v>3499.6275496007793</v>
      </c>
      <c r="D14" s="1226">
        <v>28</v>
      </c>
      <c r="E14" s="1227">
        <v>1800</v>
      </c>
      <c r="F14" s="865">
        <v>2631.0535496007797</v>
      </c>
      <c r="G14" s="865">
        <v>285.35599999999999</v>
      </c>
      <c r="H14" s="1226">
        <v>571</v>
      </c>
      <c r="I14" s="1226">
        <v>12.218</v>
      </c>
      <c r="J14" s="865">
        <v>1880</v>
      </c>
      <c r="K14" s="865">
        <v>512</v>
      </c>
    </row>
    <row r="15" spans="1:21">
      <c r="A15" s="71">
        <v>7</v>
      </c>
      <c r="B15" s="464" t="s">
        <v>624</v>
      </c>
      <c r="C15" s="865">
        <f t="shared" si="1"/>
        <v>4169.6948663777994</v>
      </c>
      <c r="D15" s="1226">
        <v>9</v>
      </c>
      <c r="E15" s="1227">
        <v>1800</v>
      </c>
      <c r="F15" s="865">
        <v>3289.8571463777998</v>
      </c>
      <c r="G15" s="865">
        <v>293.55700000000002</v>
      </c>
      <c r="H15" s="1226">
        <v>571</v>
      </c>
      <c r="I15" s="1226">
        <v>15.280719999999999</v>
      </c>
      <c r="J15" s="865">
        <v>1266</v>
      </c>
      <c r="K15" s="865">
        <v>616</v>
      </c>
    </row>
    <row r="16" spans="1:21">
      <c r="A16" s="553">
        <v>8</v>
      </c>
      <c r="B16" s="464" t="s">
        <v>62</v>
      </c>
      <c r="C16" s="560">
        <f>SUM(C13:C15)</f>
        <v>11592.728133739045</v>
      </c>
      <c r="D16" s="554"/>
      <c r="E16" s="554"/>
      <c r="F16" s="560">
        <f t="shared" ref="F16:K16" si="2">SUM(F13:F15)</f>
        <v>8975.2927737390455</v>
      </c>
      <c r="G16" s="560">
        <f t="shared" si="2"/>
        <v>863.83799999999997</v>
      </c>
      <c r="H16" s="560">
        <f t="shared" si="2"/>
        <v>1713</v>
      </c>
      <c r="I16" s="560">
        <f t="shared" si="2"/>
        <v>40.597359999999995</v>
      </c>
      <c r="J16" s="560">
        <f t="shared" si="2"/>
        <v>5669</v>
      </c>
      <c r="K16" s="560">
        <f t="shared" si="2"/>
        <v>1760</v>
      </c>
      <c r="L16" s="810"/>
      <c r="M16" s="810"/>
      <c r="N16" s="810"/>
      <c r="O16" s="810"/>
    </row>
    <row r="17" spans="1:15">
      <c r="A17" s="71">
        <v>9</v>
      </c>
      <c r="B17" s="464" t="s">
        <v>477</v>
      </c>
      <c r="C17" s="1226">
        <f t="shared" si="1"/>
        <v>4488.7753719182083</v>
      </c>
      <c r="D17" s="1226">
        <v>16</v>
      </c>
      <c r="E17" s="1227">
        <v>1800</v>
      </c>
      <c r="F17" s="865">
        <v>3572.7144619182086</v>
      </c>
      <c r="G17" s="865">
        <v>328.64100000000002</v>
      </c>
      <c r="H17" s="1226">
        <v>571</v>
      </c>
      <c r="I17" s="1226">
        <v>16.419910000000002</v>
      </c>
      <c r="J17" s="865">
        <v>1342</v>
      </c>
      <c r="K17" s="865">
        <v>200</v>
      </c>
    </row>
    <row r="18" spans="1:15">
      <c r="A18" s="71">
        <v>10</v>
      </c>
      <c r="B18" s="464" t="s">
        <v>478</v>
      </c>
      <c r="C18" s="1226">
        <f t="shared" si="1"/>
        <v>4562.323509337878</v>
      </c>
      <c r="D18" s="1226">
        <v>12</v>
      </c>
      <c r="E18" s="1227">
        <v>1800</v>
      </c>
      <c r="F18" s="865">
        <v>3638.8755193378774</v>
      </c>
      <c r="G18" s="865">
        <v>336.08100000000002</v>
      </c>
      <c r="H18" s="1226">
        <v>571</v>
      </c>
      <c r="I18" s="1226">
        <v>16.366990000000001</v>
      </c>
      <c r="J18" s="865">
        <v>1437</v>
      </c>
      <c r="K18" s="865">
        <v>514</v>
      </c>
    </row>
    <row r="19" spans="1:15">
      <c r="A19" s="71">
        <v>11</v>
      </c>
      <c r="B19" s="464" t="s">
        <v>479</v>
      </c>
      <c r="C19" s="1226">
        <f t="shared" si="1"/>
        <v>4023.95582104187</v>
      </c>
      <c r="D19" s="1226">
        <v>3</v>
      </c>
      <c r="E19" s="1227">
        <v>1800</v>
      </c>
      <c r="F19" s="865">
        <v>3113.5645310418699</v>
      </c>
      <c r="G19" s="865">
        <v>324.66699999999997</v>
      </c>
      <c r="H19" s="1226">
        <v>571</v>
      </c>
      <c r="I19" s="1226">
        <v>14.724290000000002</v>
      </c>
      <c r="J19" s="865">
        <v>1421</v>
      </c>
      <c r="K19" s="865">
        <v>392</v>
      </c>
    </row>
    <row r="20" spans="1:15">
      <c r="A20" s="553">
        <v>12</v>
      </c>
      <c r="B20" s="464" t="s">
        <v>62</v>
      </c>
      <c r="C20" s="560">
        <f>SUM(C17:C19)</f>
        <v>13075.054702297955</v>
      </c>
      <c r="D20" s="554"/>
      <c r="E20" s="554"/>
      <c r="F20" s="560">
        <f t="shared" ref="F20:K20" si="3">SUM(F17:F19)</f>
        <v>10325.154512297955</v>
      </c>
      <c r="G20" s="560">
        <f t="shared" si="3"/>
        <v>989.3889999999999</v>
      </c>
      <c r="H20" s="560">
        <f t="shared" si="3"/>
        <v>1713</v>
      </c>
      <c r="I20" s="560">
        <f t="shared" si="3"/>
        <v>47.511190000000006</v>
      </c>
      <c r="J20" s="560">
        <f t="shared" si="3"/>
        <v>4200</v>
      </c>
      <c r="K20" s="560">
        <f t="shared" si="3"/>
        <v>1106</v>
      </c>
      <c r="L20" s="810"/>
      <c r="M20" s="810"/>
      <c r="N20" s="810"/>
      <c r="O20" s="810"/>
    </row>
    <row r="21" spans="1:15">
      <c r="A21" s="71">
        <v>13</v>
      </c>
      <c r="B21" s="464" t="s">
        <v>480</v>
      </c>
      <c r="C21" s="1226">
        <f t="shared" si="1"/>
        <v>3873.0778821324243</v>
      </c>
      <c r="D21" s="1226">
        <v>15</v>
      </c>
      <c r="E21" s="1227">
        <v>900</v>
      </c>
      <c r="F21" s="865">
        <v>3052.5454121324242</v>
      </c>
      <c r="G21" s="865">
        <v>319.87799999999999</v>
      </c>
      <c r="H21" s="1226">
        <v>481</v>
      </c>
      <c r="I21" s="1226">
        <v>19.65447</v>
      </c>
      <c r="J21" s="865">
        <v>388</v>
      </c>
      <c r="K21" s="865">
        <v>392</v>
      </c>
    </row>
    <row r="22" spans="1:15">
      <c r="A22" s="71">
        <v>14</v>
      </c>
      <c r="B22" s="464" t="s">
        <v>481</v>
      </c>
      <c r="C22" s="1226">
        <f t="shared" si="1"/>
        <v>4297.349589629991</v>
      </c>
      <c r="D22" s="91">
        <v>30</v>
      </c>
      <c r="E22" s="1228">
        <v>1800</v>
      </c>
      <c r="F22" s="866">
        <v>3486.8910596299907</v>
      </c>
      <c r="G22" s="866">
        <v>313.14499999999998</v>
      </c>
      <c r="H22" s="91">
        <v>481</v>
      </c>
      <c r="I22" s="91">
        <v>16.31353</v>
      </c>
      <c r="J22" s="865">
        <v>904</v>
      </c>
      <c r="K22" s="866">
        <v>374</v>
      </c>
    </row>
    <row r="23" spans="1:15">
      <c r="A23" s="71">
        <v>15</v>
      </c>
      <c r="B23" s="464" t="s">
        <v>183</v>
      </c>
      <c r="C23" s="1226">
        <f t="shared" si="1"/>
        <v>4518.6124618889971</v>
      </c>
      <c r="D23" s="91">
        <v>31</v>
      </c>
      <c r="E23" s="1228">
        <v>1800</v>
      </c>
      <c r="F23" s="866">
        <v>3693.3335018889975</v>
      </c>
      <c r="G23" s="866">
        <v>326.471</v>
      </c>
      <c r="H23" s="91">
        <v>481</v>
      </c>
      <c r="I23" s="91">
        <v>17.807959999999998</v>
      </c>
      <c r="J23" s="865">
        <v>953</v>
      </c>
      <c r="K23" s="866">
        <v>222</v>
      </c>
    </row>
    <row r="24" spans="1:15">
      <c r="A24" s="553">
        <v>16</v>
      </c>
      <c r="B24" s="464" t="s">
        <v>62</v>
      </c>
      <c r="C24" s="560">
        <f>SUM(C21:C23)</f>
        <v>12689.039933651413</v>
      </c>
      <c r="D24" s="555"/>
      <c r="E24" s="554"/>
      <c r="F24" s="560">
        <v>10233</v>
      </c>
      <c r="G24" s="560">
        <v>1038</v>
      </c>
      <c r="H24" s="560">
        <v>1443</v>
      </c>
      <c r="I24" s="560">
        <v>54</v>
      </c>
      <c r="J24" s="560">
        <v>2245</v>
      </c>
      <c r="K24" s="560">
        <v>988</v>
      </c>
      <c r="L24" s="810"/>
      <c r="M24" s="810"/>
      <c r="N24" s="810"/>
      <c r="O24" s="810"/>
    </row>
    <row r="25" spans="1:15" ht="15">
      <c r="A25" s="556">
        <v>17</v>
      </c>
      <c r="B25" s="556" t="s">
        <v>63</v>
      </c>
      <c r="C25" s="557">
        <f>C24+C20+C16+C12</f>
        <v>52120.18484379747</v>
      </c>
      <c r="D25" s="558"/>
      <c r="E25" s="559"/>
      <c r="F25" s="557">
        <f t="shared" ref="F25:K25" si="4">F24+F20+F16+F12</f>
        <v>41502.765000146057</v>
      </c>
      <c r="G25" s="557">
        <f t="shared" si="4"/>
        <v>3926.6679999999997</v>
      </c>
      <c r="H25" s="557">
        <f>H24+H20+H16+H12</f>
        <v>6582</v>
      </c>
      <c r="I25" s="557">
        <f t="shared" si="4"/>
        <v>187.71190999999999</v>
      </c>
      <c r="J25" s="557">
        <f t="shared" si="4"/>
        <v>20422</v>
      </c>
      <c r="K25" s="557">
        <f t="shared" si="4"/>
        <v>5515</v>
      </c>
      <c r="L25" s="811"/>
      <c r="M25" s="811"/>
      <c r="N25" s="811"/>
      <c r="O25" s="811"/>
    </row>
    <row r="26" spans="1:15">
      <c r="A26" s="71"/>
      <c r="B26" s="71" t="s">
        <v>432</v>
      </c>
      <c r="C26" s="560">
        <f>(C25*1000)/12</f>
        <v>4343348.7369831223</v>
      </c>
      <c r="D26" s="71"/>
      <c r="E26" s="71"/>
      <c r="F26" s="71"/>
      <c r="G26" s="71"/>
      <c r="H26" s="71"/>
      <c r="I26" s="561"/>
      <c r="J26" s="561"/>
      <c r="K26" s="561"/>
    </row>
    <row r="28" spans="1:15">
      <c r="A28" s="608" t="s">
        <v>927</v>
      </c>
      <c r="C28" s="812">
        <f>C25</f>
        <v>52120.18484379747</v>
      </c>
    </row>
    <row r="29" spans="1:15" ht="24" customHeight="1">
      <c r="A29" s="608" t="s">
        <v>926</v>
      </c>
      <c r="C29" s="812">
        <f>G25+H25+I25</f>
        <v>10696.37991</v>
      </c>
      <c r="D29" s="1530" t="s">
        <v>101</v>
      </c>
      <c r="E29" s="1530"/>
      <c r="F29" s="1530"/>
      <c r="G29" s="1530"/>
      <c r="H29" s="1530"/>
      <c r="I29" s="1530"/>
      <c r="J29" s="1530"/>
      <c r="K29" s="1530"/>
    </row>
    <row r="30" spans="1:15">
      <c r="A30" s="105"/>
    </row>
    <row r="31" spans="1:15">
      <c r="A31" s="105" t="s">
        <v>64</v>
      </c>
      <c r="F31" s="50"/>
    </row>
    <row r="32" spans="1:15" ht="51">
      <c r="A32" s="92" t="s">
        <v>141</v>
      </c>
      <c r="B32" s="71" t="s">
        <v>618</v>
      </c>
      <c r="C32" s="551" t="s">
        <v>56</v>
      </c>
      <c r="D32" s="551" t="s">
        <v>57</v>
      </c>
      <c r="E32" s="551" t="s">
        <v>58</v>
      </c>
      <c r="F32" s="551" t="s">
        <v>260</v>
      </c>
      <c r="G32" s="551" t="s">
        <v>59</v>
      </c>
      <c r="H32" s="551" t="s">
        <v>60</v>
      </c>
      <c r="I32" s="551" t="s">
        <v>1018</v>
      </c>
      <c r="J32" s="551" t="s">
        <v>61</v>
      </c>
      <c r="K32" s="551" t="s">
        <v>1019</v>
      </c>
    </row>
    <row r="33" spans="1:15">
      <c r="A33" s="71"/>
      <c r="B33" s="71"/>
      <c r="C33" s="71"/>
      <c r="D33" s="71"/>
      <c r="E33" s="71"/>
      <c r="F33" s="71"/>
      <c r="G33" s="71"/>
      <c r="H33" s="71"/>
      <c r="I33" s="552"/>
      <c r="J33" s="552"/>
      <c r="K33" s="552"/>
    </row>
    <row r="34" spans="1:15">
      <c r="A34" s="71">
        <v>1</v>
      </c>
      <c r="B34" s="71" t="s">
        <v>474</v>
      </c>
      <c r="C34" s="1226">
        <f>SUM(F34:I34)</f>
        <v>706</v>
      </c>
      <c r="D34" s="866">
        <v>0</v>
      </c>
      <c r="E34" s="1229"/>
      <c r="F34" s="91">
        <v>0</v>
      </c>
      <c r="G34" s="91">
        <v>0</v>
      </c>
      <c r="H34" s="866">
        <v>706</v>
      </c>
      <c r="I34" s="866">
        <v>0</v>
      </c>
      <c r="J34" s="865">
        <v>0</v>
      </c>
      <c r="K34" s="866">
        <v>200</v>
      </c>
    </row>
    <row r="35" spans="1:15">
      <c r="A35" s="71">
        <v>2</v>
      </c>
      <c r="B35" s="71" t="s">
        <v>475</v>
      </c>
      <c r="C35" s="1226">
        <f>SUM(F35:I35)</f>
        <v>706</v>
      </c>
      <c r="D35" s="866">
        <v>0</v>
      </c>
      <c r="E35" s="1229"/>
      <c r="F35" s="91">
        <v>0</v>
      </c>
      <c r="G35" s="91">
        <v>0</v>
      </c>
      <c r="H35" s="866">
        <v>706</v>
      </c>
      <c r="I35" s="866">
        <v>0</v>
      </c>
      <c r="J35" s="865">
        <v>0</v>
      </c>
      <c r="K35" s="866">
        <v>200</v>
      </c>
    </row>
    <row r="36" spans="1:15">
      <c r="A36" s="71">
        <v>3</v>
      </c>
      <c r="B36" s="71" t="s">
        <v>476</v>
      </c>
      <c r="C36" s="1226">
        <f>SUM(F36:I36)</f>
        <v>706</v>
      </c>
      <c r="D36" s="866">
        <v>0</v>
      </c>
      <c r="E36" s="1229"/>
      <c r="F36" s="91">
        <v>0</v>
      </c>
      <c r="G36" s="91">
        <v>0</v>
      </c>
      <c r="H36" s="866">
        <v>706</v>
      </c>
      <c r="I36" s="866">
        <v>0</v>
      </c>
      <c r="J36" s="865">
        <v>0</v>
      </c>
      <c r="K36" s="866">
        <v>200</v>
      </c>
    </row>
    <row r="37" spans="1:15">
      <c r="A37" s="553">
        <v>4</v>
      </c>
      <c r="B37" s="553" t="s">
        <v>62</v>
      </c>
      <c r="C37" s="560">
        <f>SUM(C34:C36)</f>
        <v>2118</v>
      </c>
      <c r="D37" s="554"/>
      <c r="E37" s="554"/>
      <c r="F37" s="560">
        <f t="shared" ref="F37:K37" si="5">SUM(F34:F36)</f>
        <v>0</v>
      </c>
      <c r="G37" s="560">
        <f t="shared" si="5"/>
        <v>0</v>
      </c>
      <c r="H37" s="560">
        <f t="shared" si="5"/>
        <v>2118</v>
      </c>
      <c r="I37" s="560">
        <f t="shared" si="5"/>
        <v>0</v>
      </c>
      <c r="J37" s="560">
        <f t="shared" si="5"/>
        <v>0</v>
      </c>
      <c r="K37" s="560">
        <f t="shared" si="5"/>
        <v>600</v>
      </c>
      <c r="L37" s="810"/>
      <c r="M37" s="810"/>
      <c r="N37" s="810"/>
      <c r="O37" s="810"/>
    </row>
    <row r="38" spans="1:15">
      <c r="A38" s="71">
        <v>5</v>
      </c>
      <c r="B38" s="71" t="s">
        <v>622</v>
      </c>
      <c r="C38" s="1226">
        <f>SUM(F38:I38)</f>
        <v>706</v>
      </c>
      <c r="D38" s="866">
        <v>0</v>
      </c>
      <c r="E38" s="1228"/>
      <c r="F38" s="91">
        <v>0</v>
      </c>
      <c r="G38" s="91">
        <v>0</v>
      </c>
      <c r="H38" s="866">
        <v>706</v>
      </c>
      <c r="I38" s="91">
        <v>0</v>
      </c>
      <c r="J38" s="91">
        <v>0</v>
      </c>
      <c r="K38" s="91">
        <v>200</v>
      </c>
    </row>
    <row r="39" spans="1:15">
      <c r="A39" s="71">
        <v>6</v>
      </c>
      <c r="B39" s="71" t="s">
        <v>623</v>
      </c>
      <c r="C39" s="1226">
        <f>SUM(F39:I39)</f>
        <v>706</v>
      </c>
      <c r="D39" s="866">
        <v>0</v>
      </c>
      <c r="E39" s="1228"/>
      <c r="F39" s="91">
        <v>0</v>
      </c>
      <c r="G39" s="91">
        <v>0</v>
      </c>
      <c r="H39" s="866">
        <v>706</v>
      </c>
      <c r="I39" s="91">
        <v>0</v>
      </c>
      <c r="J39" s="91">
        <v>6</v>
      </c>
      <c r="K39" s="91">
        <v>200</v>
      </c>
    </row>
    <row r="40" spans="1:15">
      <c r="A40" s="71">
        <v>7</v>
      </c>
      <c r="B40" s="71" t="s">
        <v>624</v>
      </c>
      <c r="C40" s="1226">
        <f>SUM(F40:I40)</f>
        <v>706</v>
      </c>
      <c r="D40" s="866">
        <v>0</v>
      </c>
      <c r="E40" s="1228"/>
      <c r="F40" s="91">
        <v>0</v>
      </c>
      <c r="G40" s="91">
        <v>0</v>
      </c>
      <c r="H40" s="866">
        <v>706</v>
      </c>
      <c r="I40" s="91">
        <v>0</v>
      </c>
      <c r="J40" s="91">
        <v>0</v>
      </c>
      <c r="K40" s="91">
        <v>200</v>
      </c>
    </row>
    <row r="41" spans="1:15">
      <c r="A41" s="553">
        <v>8</v>
      </c>
      <c r="B41" s="553" t="s">
        <v>62</v>
      </c>
      <c r="C41" s="560">
        <f>SUM(C38:C40)</f>
        <v>2118</v>
      </c>
      <c r="D41" s="554"/>
      <c r="E41" s="554"/>
      <c r="F41" s="560">
        <f t="shared" ref="F41:K41" si="6">SUM(F38:F40)</f>
        <v>0</v>
      </c>
      <c r="G41" s="560">
        <f t="shared" si="6"/>
        <v>0</v>
      </c>
      <c r="H41" s="560">
        <f t="shared" si="6"/>
        <v>2118</v>
      </c>
      <c r="I41" s="560">
        <f t="shared" si="6"/>
        <v>0</v>
      </c>
      <c r="J41" s="560">
        <f t="shared" si="6"/>
        <v>6</v>
      </c>
      <c r="K41" s="560">
        <f t="shared" si="6"/>
        <v>600</v>
      </c>
      <c r="L41" s="810"/>
      <c r="M41" s="810"/>
      <c r="N41" s="810"/>
      <c r="O41" s="810"/>
    </row>
    <row r="42" spans="1:15">
      <c r="A42" s="71">
        <v>9</v>
      </c>
      <c r="B42" s="71" t="s">
        <v>477</v>
      </c>
      <c r="C42" s="1226">
        <f>SUM(F42:I42)</f>
        <v>706</v>
      </c>
      <c r="D42" s="866">
        <v>0</v>
      </c>
      <c r="E42" s="1228"/>
      <c r="F42" s="91">
        <v>0</v>
      </c>
      <c r="G42" s="91">
        <v>0</v>
      </c>
      <c r="H42" s="866">
        <v>706</v>
      </c>
      <c r="I42" s="91">
        <v>0</v>
      </c>
      <c r="J42" s="91">
        <v>0</v>
      </c>
      <c r="K42" s="91">
        <v>200</v>
      </c>
    </row>
    <row r="43" spans="1:15">
      <c r="A43" s="71">
        <v>10</v>
      </c>
      <c r="B43" s="71" t="s">
        <v>478</v>
      </c>
      <c r="C43" s="1226">
        <f>SUM(F43:I43)</f>
        <v>706</v>
      </c>
      <c r="D43" s="866">
        <v>0</v>
      </c>
      <c r="E43" s="1228"/>
      <c r="F43" s="91">
        <v>0</v>
      </c>
      <c r="G43" s="91">
        <v>0</v>
      </c>
      <c r="H43" s="866">
        <v>706</v>
      </c>
      <c r="I43" s="91">
        <v>0</v>
      </c>
      <c r="J43" s="91">
        <v>0</v>
      </c>
      <c r="K43" s="91">
        <v>100</v>
      </c>
    </row>
    <row r="44" spans="1:15">
      <c r="A44" s="71">
        <v>11</v>
      </c>
      <c r="B44" s="71" t="s">
        <v>479</v>
      </c>
      <c r="C44" s="1226">
        <f>SUM(F44:I44)</f>
        <v>706</v>
      </c>
      <c r="D44" s="866">
        <v>0</v>
      </c>
      <c r="E44" s="1228"/>
      <c r="F44" s="91">
        <v>0</v>
      </c>
      <c r="G44" s="91">
        <v>0</v>
      </c>
      <c r="H44" s="866">
        <v>706</v>
      </c>
      <c r="I44" s="91">
        <v>0</v>
      </c>
      <c r="J44" s="91">
        <v>0</v>
      </c>
      <c r="K44" s="91">
        <v>100</v>
      </c>
    </row>
    <row r="45" spans="1:15">
      <c r="A45" s="553">
        <v>12</v>
      </c>
      <c r="B45" s="553" t="s">
        <v>62</v>
      </c>
      <c r="C45" s="560">
        <f>SUM(C42:C44)</f>
        <v>2118</v>
      </c>
      <c r="D45" s="554"/>
      <c r="E45" s="554"/>
      <c r="F45" s="560">
        <f t="shared" ref="F45:K45" si="7">SUM(F42:F44)</f>
        <v>0</v>
      </c>
      <c r="G45" s="560">
        <f t="shared" si="7"/>
        <v>0</v>
      </c>
      <c r="H45" s="560">
        <f t="shared" si="7"/>
        <v>2118</v>
      </c>
      <c r="I45" s="560">
        <f t="shared" si="7"/>
        <v>0</v>
      </c>
      <c r="J45" s="560">
        <f t="shared" si="7"/>
        <v>0</v>
      </c>
      <c r="K45" s="560">
        <f t="shared" si="7"/>
        <v>400</v>
      </c>
      <c r="L45" s="810"/>
      <c r="M45" s="810"/>
      <c r="N45" s="810"/>
      <c r="O45" s="810"/>
    </row>
    <row r="46" spans="1:15">
      <c r="A46" s="71">
        <v>13</v>
      </c>
      <c r="B46" s="71" t="s">
        <v>480</v>
      </c>
      <c r="C46" s="1226">
        <f>SUM(F46:I46)</f>
        <v>706</v>
      </c>
      <c r="D46" s="866">
        <v>0</v>
      </c>
      <c r="E46" s="1228"/>
      <c r="F46" s="91">
        <v>0</v>
      </c>
      <c r="G46" s="91">
        <v>0</v>
      </c>
      <c r="H46" s="866">
        <v>706</v>
      </c>
      <c r="I46" s="91">
        <v>0</v>
      </c>
      <c r="J46" s="91">
        <v>0</v>
      </c>
      <c r="K46" s="91">
        <v>100</v>
      </c>
    </row>
    <row r="47" spans="1:15">
      <c r="A47" s="71">
        <v>14</v>
      </c>
      <c r="B47" s="71" t="s">
        <v>481</v>
      </c>
      <c r="C47" s="1226">
        <f>SUM(F47:I47)</f>
        <v>706</v>
      </c>
      <c r="D47" s="866">
        <v>0</v>
      </c>
      <c r="E47" s="1228"/>
      <c r="F47" s="91">
        <v>0</v>
      </c>
      <c r="G47" s="91">
        <v>0</v>
      </c>
      <c r="H47" s="866">
        <v>706</v>
      </c>
      <c r="I47" s="91">
        <v>0</v>
      </c>
      <c r="J47" s="91">
        <v>0</v>
      </c>
      <c r="K47" s="91">
        <v>100</v>
      </c>
    </row>
    <row r="48" spans="1:15">
      <c r="A48" s="71">
        <v>15</v>
      </c>
      <c r="B48" s="71" t="s">
        <v>183</v>
      </c>
      <c r="C48" s="1226">
        <f>SUM(F48:I48)</f>
        <v>706</v>
      </c>
      <c r="D48" s="866">
        <v>0</v>
      </c>
      <c r="E48" s="1228"/>
      <c r="F48" s="91">
        <v>0</v>
      </c>
      <c r="G48" s="91">
        <v>0</v>
      </c>
      <c r="H48" s="866">
        <v>706</v>
      </c>
      <c r="I48" s="91">
        <v>0</v>
      </c>
      <c r="J48" s="91">
        <v>0</v>
      </c>
      <c r="K48" s="91">
        <v>100</v>
      </c>
    </row>
    <row r="49" spans="1:15">
      <c r="A49" s="553">
        <v>16</v>
      </c>
      <c r="B49" s="553" t="s">
        <v>62</v>
      </c>
      <c r="C49" s="560">
        <f>SUM(C46:C48)</f>
        <v>2118</v>
      </c>
      <c r="D49" s="555"/>
      <c r="E49" s="554"/>
      <c r="F49" s="560">
        <f t="shared" ref="F49:K49" si="8">SUM(F46:F48)</f>
        <v>0</v>
      </c>
      <c r="G49" s="560">
        <f t="shared" si="8"/>
        <v>0</v>
      </c>
      <c r="H49" s="560">
        <f t="shared" si="8"/>
        <v>2118</v>
      </c>
      <c r="I49" s="560">
        <f t="shared" si="8"/>
        <v>0</v>
      </c>
      <c r="J49" s="560">
        <f t="shared" si="8"/>
        <v>0</v>
      </c>
      <c r="K49" s="560">
        <f t="shared" si="8"/>
        <v>300</v>
      </c>
      <c r="L49" s="810"/>
      <c r="M49" s="810"/>
      <c r="N49" s="810"/>
      <c r="O49" s="810"/>
    </row>
    <row r="50" spans="1:15" ht="15">
      <c r="A50" s="556">
        <v>17</v>
      </c>
      <c r="B50" s="556" t="s">
        <v>63</v>
      </c>
      <c r="C50" s="557">
        <f>C49+C45+C41+C37</f>
        <v>8472</v>
      </c>
      <c r="D50" s="558"/>
      <c r="E50" s="559"/>
      <c r="F50" s="557">
        <f t="shared" ref="F50:K50" si="9">F49+F45+F41+F37</f>
        <v>0</v>
      </c>
      <c r="G50" s="557">
        <f t="shared" si="9"/>
        <v>0</v>
      </c>
      <c r="H50" s="557">
        <f t="shared" si="9"/>
        <v>8472</v>
      </c>
      <c r="I50" s="557">
        <f t="shared" si="9"/>
        <v>0</v>
      </c>
      <c r="J50" s="557">
        <f t="shared" si="9"/>
        <v>6</v>
      </c>
      <c r="K50" s="557">
        <f t="shared" si="9"/>
        <v>1900</v>
      </c>
      <c r="L50" s="811"/>
      <c r="M50" s="811"/>
      <c r="N50" s="811"/>
      <c r="O50" s="811"/>
    </row>
    <row r="51" spans="1:15">
      <c r="A51" s="71"/>
      <c r="B51" s="71" t="s">
        <v>432</v>
      </c>
      <c r="C51" s="560">
        <f>(C50*1000)/12</f>
        <v>706000</v>
      </c>
      <c r="D51" s="71"/>
      <c r="E51" s="71"/>
      <c r="F51" s="71"/>
      <c r="G51" s="71"/>
      <c r="H51" s="71"/>
      <c r="I51" s="561"/>
      <c r="J51" s="561"/>
      <c r="K51" s="561"/>
    </row>
    <row r="52" spans="1:15">
      <c r="B52" s="562"/>
      <c r="C52" s="68"/>
    </row>
    <row r="53" spans="1:15">
      <c r="A53" s="105"/>
    </row>
    <row r="54" spans="1:15">
      <c r="A54" s="105" t="s">
        <v>100</v>
      </c>
      <c r="E54" s="550"/>
    </row>
    <row r="55" spans="1:15" ht="51">
      <c r="A55" s="92" t="s">
        <v>141</v>
      </c>
      <c r="B55" s="71" t="s">
        <v>618</v>
      </c>
      <c r="C55" s="551" t="s">
        <v>56</v>
      </c>
      <c r="D55" s="551" t="s">
        <v>57</v>
      </c>
      <c r="E55" s="551" t="s">
        <v>58</v>
      </c>
      <c r="F55" s="551" t="s">
        <v>260</v>
      </c>
      <c r="G55" s="551" t="s">
        <v>59</v>
      </c>
      <c r="H55" s="551" t="s">
        <v>60</v>
      </c>
      <c r="I55" s="551" t="s">
        <v>1018</v>
      </c>
      <c r="J55" s="551" t="s">
        <v>61</v>
      </c>
      <c r="K55" s="551" t="s">
        <v>1019</v>
      </c>
    </row>
    <row r="56" spans="1:15">
      <c r="A56" s="71"/>
      <c r="B56" s="71"/>
      <c r="C56" s="71"/>
      <c r="D56" s="71"/>
      <c r="E56" s="71"/>
      <c r="F56" s="71"/>
      <c r="G56" s="71"/>
      <c r="H56" s="71"/>
      <c r="I56" s="552"/>
      <c r="J56" s="552"/>
      <c r="K56" s="552"/>
    </row>
    <row r="57" spans="1:15">
      <c r="A57" s="71">
        <v>1</v>
      </c>
      <c r="B57" s="71" t="s">
        <v>474</v>
      </c>
      <c r="C57" s="1226">
        <f>SUM(F57:I57)</f>
        <v>746</v>
      </c>
      <c r="D57" s="865"/>
      <c r="E57" s="1227"/>
      <c r="F57" s="1226">
        <v>0</v>
      </c>
      <c r="G57" s="1226">
        <v>0</v>
      </c>
      <c r="H57" s="1226">
        <v>746</v>
      </c>
      <c r="I57" s="1226">
        <v>0</v>
      </c>
      <c r="J57" s="1226">
        <v>0</v>
      </c>
      <c r="K57" s="1226">
        <v>0</v>
      </c>
    </row>
    <row r="58" spans="1:15">
      <c r="A58" s="71">
        <v>2</v>
      </c>
      <c r="B58" s="71" t="s">
        <v>475</v>
      </c>
      <c r="C58" s="1226">
        <f>SUM(F58:I58)</f>
        <v>746</v>
      </c>
      <c r="D58" s="865"/>
      <c r="E58" s="1227"/>
      <c r="F58" s="1226">
        <v>0</v>
      </c>
      <c r="G58" s="1226">
        <v>0</v>
      </c>
      <c r="H58" s="1226">
        <v>746</v>
      </c>
      <c r="I58" s="1226">
        <v>0</v>
      </c>
      <c r="J58" s="1226">
        <v>0</v>
      </c>
      <c r="K58" s="1226">
        <v>0</v>
      </c>
    </row>
    <row r="59" spans="1:15">
      <c r="A59" s="71">
        <v>3</v>
      </c>
      <c r="B59" s="71" t="s">
        <v>476</v>
      </c>
      <c r="C59" s="1226">
        <f>SUM(F59:I59)</f>
        <v>746</v>
      </c>
      <c r="D59" s="865"/>
      <c r="E59" s="1227"/>
      <c r="F59" s="1226">
        <v>0</v>
      </c>
      <c r="G59" s="1226">
        <v>0</v>
      </c>
      <c r="H59" s="1226">
        <v>746</v>
      </c>
      <c r="I59" s="1226">
        <v>0</v>
      </c>
      <c r="J59" s="1226">
        <v>0</v>
      </c>
      <c r="K59" s="1226">
        <v>0</v>
      </c>
    </row>
    <row r="60" spans="1:15">
      <c r="A60" s="553">
        <v>4</v>
      </c>
      <c r="B60" s="553" t="s">
        <v>62</v>
      </c>
      <c r="C60" s="560">
        <f>SUM(C57:C59)</f>
        <v>2238</v>
      </c>
      <c r="D60" s="554"/>
      <c r="E60" s="554"/>
      <c r="F60" s="560">
        <f t="shared" ref="F60:K60" si="10">SUM(F57:F59)</f>
        <v>0</v>
      </c>
      <c r="G60" s="560">
        <f t="shared" si="10"/>
        <v>0</v>
      </c>
      <c r="H60" s="560">
        <f t="shared" si="10"/>
        <v>2238</v>
      </c>
      <c r="I60" s="560">
        <f t="shared" si="10"/>
        <v>0</v>
      </c>
      <c r="J60" s="560">
        <f t="shared" si="10"/>
        <v>0</v>
      </c>
      <c r="K60" s="560">
        <f t="shared" si="10"/>
        <v>0</v>
      </c>
      <c r="L60" s="810"/>
      <c r="M60" s="810"/>
      <c r="N60" s="810"/>
      <c r="O60" s="810"/>
    </row>
    <row r="61" spans="1:15">
      <c r="A61" s="71">
        <v>5</v>
      </c>
      <c r="B61" s="71" t="s">
        <v>622</v>
      </c>
      <c r="C61" s="1226">
        <f>SUM(F61:I61)</f>
        <v>746</v>
      </c>
      <c r="D61" s="865"/>
      <c r="E61" s="1227"/>
      <c r="F61" s="1226">
        <v>0</v>
      </c>
      <c r="G61" s="1226">
        <v>0</v>
      </c>
      <c r="H61" s="1226">
        <v>746</v>
      </c>
      <c r="I61" s="1226">
        <v>0</v>
      </c>
      <c r="J61" s="1226">
        <v>0</v>
      </c>
      <c r="K61" s="1226">
        <v>0</v>
      </c>
    </row>
    <row r="62" spans="1:15">
      <c r="A62" s="71">
        <v>6</v>
      </c>
      <c r="B62" s="71" t="s">
        <v>623</v>
      </c>
      <c r="C62" s="1226">
        <f>SUM(F62:I62)</f>
        <v>746</v>
      </c>
      <c r="D62" s="865"/>
      <c r="E62" s="1227"/>
      <c r="F62" s="1226">
        <v>0</v>
      </c>
      <c r="G62" s="1226">
        <v>0</v>
      </c>
      <c r="H62" s="1226">
        <v>746</v>
      </c>
      <c r="I62" s="1226">
        <v>0</v>
      </c>
      <c r="J62" s="1226">
        <v>0</v>
      </c>
      <c r="K62" s="1226">
        <v>0</v>
      </c>
    </row>
    <row r="63" spans="1:15">
      <c r="A63" s="71">
        <v>7</v>
      </c>
      <c r="B63" s="71" t="s">
        <v>624</v>
      </c>
      <c r="C63" s="1226">
        <f>SUM(F63:I63)</f>
        <v>746</v>
      </c>
      <c r="D63" s="865"/>
      <c r="E63" s="1227"/>
      <c r="F63" s="1226">
        <v>0</v>
      </c>
      <c r="G63" s="1226">
        <v>0</v>
      </c>
      <c r="H63" s="1226">
        <v>746</v>
      </c>
      <c r="I63" s="1226">
        <v>0</v>
      </c>
      <c r="J63" s="1226">
        <v>0</v>
      </c>
      <c r="K63" s="1226">
        <v>0</v>
      </c>
    </row>
    <row r="64" spans="1:15">
      <c r="A64" s="553">
        <v>8</v>
      </c>
      <c r="B64" s="553" t="s">
        <v>62</v>
      </c>
      <c r="C64" s="560">
        <f>SUM(C61:C63)</f>
        <v>2238</v>
      </c>
      <c r="D64" s="554"/>
      <c r="E64" s="554"/>
      <c r="F64" s="560">
        <f t="shared" ref="F64:K64" si="11">SUM(F61:F63)</f>
        <v>0</v>
      </c>
      <c r="G64" s="560">
        <f t="shared" si="11"/>
        <v>0</v>
      </c>
      <c r="H64" s="560">
        <f t="shared" si="11"/>
        <v>2238</v>
      </c>
      <c r="I64" s="560">
        <f t="shared" si="11"/>
        <v>0</v>
      </c>
      <c r="J64" s="560">
        <f t="shared" si="11"/>
        <v>0</v>
      </c>
      <c r="K64" s="560">
        <f t="shared" si="11"/>
        <v>0</v>
      </c>
      <c r="L64" s="810"/>
      <c r="M64" s="810"/>
      <c r="N64" s="810"/>
      <c r="O64" s="810"/>
    </row>
    <row r="65" spans="1:15">
      <c r="A65" s="71">
        <v>9</v>
      </c>
      <c r="B65" s="71" t="s">
        <v>477</v>
      </c>
      <c r="C65" s="1226">
        <f>SUM(F65:I65)</f>
        <v>746</v>
      </c>
      <c r="D65" s="865"/>
      <c r="E65" s="1227"/>
      <c r="F65" s="1226">
        <v>0</v>
      </c>
      <c r="G65" s="1226">
        <v>0</v>
      </c>
      <c r="H65" s="1226">
        <v>746</v>
      </c>
      <c r="I65" s="1226">
        <v>0</v>
      </c>
      <c r="J65" s="1226">
        <v>0</v>
      </c>
      <c r="K65" s="1226">
        <v>0</v>
      </c>
    </row>
    <row r="66" spans="1:15">
      <c r="A66" s="71">
        <v>10</v>
      </c>
      <c r="B66" s="71" t="s">
        <v>478</v>
      </c>
      <c r="C66" s="1226">
        <f>SUM(F66:I66)</f>
        <v>746</v>
      </c>
      <c r="D66" s="865"/>
      <c r="E66" s="1227"/>
      <c r="F66" s="1226">
        <v>0</v>
      </c>
      <c r="G66" s="1226">
        <v>0</v>
      </c>
      <c r="H66" s="1226">
        <v>746</v>
      </c>
      <c r="I66" s="1226">
        <v>0</v>
      </c>
      <c r="J66" s="1226">
        <v>0</v>
      </c>
      <c r="K66" s="1226">
        <v>0</v>
      </c>
    </row>
    <row r="67" spans="1:15">
      <c r="A67" s="71">
        <v>11</v>
      </c>
      <c r="B67" s="71" t="s">
        <v>479</v>
      </c>
      <c r="C67" s="1226">
        <f>SUM(F67:I67)</f>
        <v>746</v>
      </c>
      <c r="D67" s="865"/>
      <c r="E67" s="1227"/>
      <c r="F67" s="1226">
        <v>0</v>
      </c>
      <c r="G67" s="1226">
        <v>0</v>
      </c>
      <c r="H67" s="1226">
        <v>746</v>
      </c>
      <c r="I67" s="1226">
        <v>0</v>
      </c>
      <c r="J67" s="1226">
        <v>0</v>
      </c>
      <c r="K67" s="1226">
        <v>0</v>
      </c>
    </row>
    <row r="68" spans="1:15">
      <c r="A68" s="553">
        <v>12</v>
      </c>
      <c r="B68" s="553" t="s">
        <v>62</v>
      </c>
      <c r="C68" s="560">
        <f>SUM(C65:C67)</f>
        <v>2238</v>
      </c>
      <c r="D68" s="554"/>
      <c r="E68" s="554"/>
      <c r="F68" s="560">
        <f t="shared" ref="F68:K68" si="12">SUM(F65:F67)</f>
        <v>0</v>
      </c>
      <c r="G68" s="560">
        <f t="shared" si="12"/>
        <v>0</v>
      </c>
      <c r="H68" s="560">
        <f t="shared" si="12"/>
        <v>2238</v>
      </c>
      <c r="I68" s="560">
        <f t="shared" si="12"/>
        <v>0</v>
      </c>
      <c r="J68" s="560">
        <f t="shared" si="12"/>
        <v>0</v>
      </c>
      <c r="K68" s="560">
        <f t="shared" si="12"/>
        <v>0</v>
      </c>
      <c r="L68" s="810"/>
      <c r="M68" s="810"/>
      <c r="N68" s="810"/>
      <c r="O68" s="810"/>
    </row>
    <row r="69" spans="1:15">
      <c r="A69" s="71">
        <v>13</v>
      </c>
      <c r="B69" s="71" t="s">
        <v>480</v>
      </c>
      <c r="C69" s="1226">
        <f>SUM(F69:I69)</f>
        <v>746</v>
      </c>
      <c r="D69" s="865"/>
      <c r="E69" s="1227"/>
      <c r="F69" s="1226">
        <v>0</v>
      </c>
      <c r="G69" s="1226">
        <v>0</v>
      </c>
      <c r="H69" s="1226">
        <v>746</v>
      </c>
      <c r="I69" s="1226">
        <v>0</v>
      </c>
      <c r="J69" s="1226">
        <v>0</v>
      </c>
      <c r="K69" s="1226">
        <v>0</v>
      </c>
    </row>
    <row r="70" spans="1:15">
      <c r="A70" s="71">
        <v>14</v>
      </c>
      <c r="B70" s="71" t="s">
        <v>481</v>
      </c>
      <c r="C70" s="1226">
        <f>SUM(F70:I70)</f>
        <v>746</v>
      </c>
      <c r="D70" s="865"/>
      <c r="E70" s="1227"/>
      <c r="F70" s="1226">
        <v>0</v>
      </c>
      <c r="G70" s="1226">
        <v>0</v>
      </c>
      <c r="H70" s="1226">
        <v>746</v>
      </c>
      <c r="I70" s="1226">
        <v>0</v>
      </c>
      <c r="J70" s="1226">
        <v>0</v>
      </c>
      <c r="K70" s="1226">
        <v>0</v>
      </c>
    </row>
    <row r="71" spans="1:15">
      <c r="A71" s="71">
        <v>15</v>
      </c>
      <c r="B71" s="71" t="s">
        <v>183</v>
      </c>
      <c r="C71" s="1226">
        <f>SUM(F71:I71)</f>
        <v>746</v>
      </c>
      <c r="D71" s="865"/>
      <c r="E71" s="1227"/>
      <c r="F71" s="1226">
        <v>0</v>
      </c>
      <c r="G71" s="1226">
        <v>0</v>
      </c>
      <c r="H71" s="1226">
        <v>746</v>
      </c>
      <c r="I71" s="1226">
        <v>0</v>
      </c>
      <c r="J71" s="1226">
        <v>0</v>
      </c>
      <c r="K71" s="1226">
        <v>0</v>
      </c>
    </row>
    <row r="72" spans="1:15">
      <c r="A72" s="553">
        <v>16</v>
      </c>
      <c r="B72" s="553" t="s">
        <v>62</v>
      </c>
      <c r="C72" s="560">
        <f>SUM(C69:C71)</f>
        <v>2238</v>
      </c>
      <c r="D72" s="555"/>
      <c r="E72" s="554"/>
      <c r="F72" s="560">
        <f t="shared" ref="F72:K72" si="13">SUM(F69:F71)</f>
        <v>0</v>
      </c>
      <c r="G72" s="560">
        <f t="shared" si="13"/>
        <v>0</v>
      </c>
      <c r="H72" s="560">
        <f t="shared" si="13"/>
        <v>2238</v>
      </c>
      <c r="I72" s="560">
        <f t="shared" si="13"/>
        <v>0</v>
      </c>
      <c r="J72" s="560">
        <f t="shared" si="13"/>
        <v>0</v>
      </c>
      <c r="K72" s="560">
        <f t="shared" si="13"/>
        <v>0</v>
      </c>
      <c r="L72" s="810"/>
      <c r="M72" s="810"/>
      <c r="N72" s="810"/>
      <c r="O72" s="810"/>
    </row>
    <row r="73" spans="1:15" ht="15">
      <c r="A73" s="556">
        <v>17</v>
      </c>
      <c r="B73" s="556" t="s">
        <v>63</v>
      </c>
      <c r="C73" s="557">
        <f>C72+C68+C64+C60</f>
        <v>8952</v>
      </c>
      <c r="D73" s="558"/>
      <c r="E73" s="559"/>
      <c r="F73" s="557">
        <v>0</v>
      </c>
      <c r="G73" s="557">
        <v>0</v>
      </c>
      <c r="H73" s="557">
        <f>H72+H68+H64+H60</f>
        <v>8952</v>
      </c>
      <c r="I73" s="557">
        <f>I60+I64+I68+I72</f>
        <v>0</v>
      </c>
      <c r="J73" s="557">
        <f>J60+J64+J68+J72</f>
        <v>0</v>
      </c>
      <c r="K73" s="557">
        <v>0</v>
      </c>
      <c r="L73" s="811"/>
      <c r="M73" s="811"/>
      <c r="N73" s="811"/>
      <c r="O73" s="811"/>
    </row>
    <row r="74" spans="1:15">
      <c r="A74" s="71"/>
      <c r="B74" s="71" t="s">
        <v>432</v>
      </c>
      <c r="C74" s="560">
        <f>(C73*1000)/12</f>
        <v>746000</v>
      </c>
      <c r="D74" s="71"/>
      <c r="E74" s="71"/>
      <c r="F74" s="71"/>
      <c r="G74" s="71"/>
      <c r="H74" s="71"/>
      <c r="I74" s="561"/>
      <c r="J74" s="561"/>
      <c r="K74" s="561"/>
    </row>
    <row r="75" spans="1:15">
      <c r="C75" s="50"/>
    </row>
    <row r="76" spans="1:15">
      <c r="C76" s="68"/>
      <c r="L76" s="68"/>
    </row>
    <row r="77" spans="1:15" ht="14.25">
      <c r="B77" s="564"/>
      <c r="C77" s="564"/>
    </row>
    <row r="78" spans="1:15" ht="14.25">
      <c r="B78" s="564"/>
      <c r="C78" s="564"/>
    </row>
    <row r="80" spans="1:15" ht="14.25">
      <c r="B80" s="564"/>
      <c r="C80" s="564"/>
    </row>
  </sheetData>
  <mergeCells count="1">
    <mergeCell ref="D29:K29"/>
  </mergeCells>
  <phoneticPr fontId="73" type="noConversion"/>
  <pageMargins left="0.17" right="0.17" top="0.17" bottom="0.17" header="0.17" footer="0.17"/>
  <pageSetup scale="72"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P346"/>
  <sheetViews>
    <sheetView topLeftCell="A132" zoomScale="75" zoomScaleNormal="75" zoomScaleSheetLayoutView="75" workbookViewId="0">
      <selection activeCell="O157" sqref="O157"/>
    </sheetView>
  </sheetViews>
  <sheetFormatPr defaultRowHeight="12.75"/>
  <cols>
    <col min="1" max="1" width="39.28515625" customWidth="1"/>
    <col min="2" max="2" width="18" bestFit="1" customWidth="1"/>
    <col min="3" max="3" width="18.5703125" bestFit="1" customWidth="1"/>
    <col min="4" max="4" width="18.28515625" bestFit="1" customWidth="1"/>
    <col min="5" max="5" width="18.5703125" bestFit="1" customWidth="1"/>
    <col min="6" max="7" width="18.28515625" bestFit="1" customWidth="1"/>
    <col min="8" max="10" width="18.5703125" bestFit="1" customWidth="1"/>
    <col min="11" max="11" width="18.28515625" bestFit="1" customWidth="1"/>
    <col min="12" max="12" width="18" bestFit="1" customWidth="1"/>
    <col min="13" max="13" width="18.5703125" bestFit="1" customWidth="1"/>
    <col min="14" max="14" width="19.5703125" customWidth="1"/>
    <col min="15" max="15" width="19.140625" bestFit="1" customWidth="1"/>
    <col min="16" max="17" width="1.5703125" customWidth="1"/>
    <col min="18" max="18" width="69.5703125" customWidth="1"/>
  </cols>
  <sheetData>
    <row r="1" spans="1:16" ht="15.75">
      <c r="A1" s="1" t="s">
        <v>544</v>
      </c>
    </row>
    <row r="3" spans="1:16">
      <c r="B3" s="582"/>
      <c r="C3" s="582"/>
      <c r="D3" s="582"/>
      <c r="E3" s="582"/>
      <c r="F3" s="582"/>
      <c r="G3" s="582"/>
      <c r="H3" s="582"/>
      <c r="I3" s="582"/>
      <c r="J3" s="582"/>
      <c r="K3" s="582"/>
      <c r="L3" s="582"/>
      <c r="M3" s="582"/>
      <c r="N3" s="582"/>
    </row>
    <row r="4" spans="1:16">
      <c r="A4" s="583" t="s">
        <v>1130</v>
      </c>
      <c r="N4" s="68"/>
    </row>
    <row r="5" spans="1:16" ht="15">
      <c r="A5" s="105"/>
      <c r="B5" s="1050">
        <v>45627</v>
      </c>
      <c r="C5" s="1050">
        <v>45658</v>
      </c>
      <c r="D5" s="1050">
        <v>45689</v>
      </c>
      <c r="E5" s="1050">
        <v>45717</v>
      </c>
      <c r="F5" s="1050">
        <v>45748</v>
      </c>
      <c r="G5" s="1050">
        <v>45778</v>
      </c>
      <c r="H5" s="1050">
        <v>45809</v>
      </c>
      <c r="I5" s="1050">
        <v>45839</v>
      </c>
      <c r="J5" s="1050">
        <v>45870</v>
      </c>
      <c r="K5" s="1050">
        <v>45901</v>
      </c>
      <c r="L5" s="1050">
        <v>45931</v>
      </c>
      <c r="M5" s="1050">
        <v>45962</v>
      </c>
      <c r="N5" s="1050">
        <v>45992</v>
      </c>
      <c r="O5" s="1051" t="s">
        <v>79</v>
      </c>
    </row>
    <row r="6" spans="1:16">
      <c r="A6" t="s">
        <v>485</v>
      </c>
      <c r="B6" s="285">
        <v>1395000</v>
      </c>
      <c r="C6" s="285">
        <v>1395000</v>
      </c>
      <c r="D6" s="285">
        <v>1395000</v>
      </c>
      <c r="E6" s="285">
        <v>1395000</v>
      </c>
      <c r="F6" s="285">
        <v>1395000</v>
      </c>
      <c r="G6" s="285">
        <v>1395000</v>
      </c>
      <c r="H6" s="285">
        <v>1395000</v>
      </c>
      <c r="I6" s="285">
        <v>1395000</v>
      </c>
      <c r="J6" s="285">
        <v>1395000</v>
      </c>
      <c r="K6" s="285">
        <v>1395000</v>
      </c>
      <c r="L6" s="285">
        <v>1504000</v>
      </c>
      <c r="M6" s="285">
        <v>1504000</v>
      </c>
      <c r="N6" s="285">
        <v>1504000</v>
      </c>
      <c r="O6" s="1258">
        <f>AVERAGE(B6:N6)</f>
        <v>1420153.8461538462</v>
      </c>
    </row>
    <row r="7" spans="1:16">
      <c r="A7" t="s">
        <v>1145</v>
      </c>
      <c r="B7" s="285">
        <v>31000</v>
      </c>
      <c r="C7" s="285">
        <v>31000</v>
      </c>
      <c r="D7" s="285">
        <v>31000</v>
      </c>
      <c r="E7" s="285">
        <v>31000</v>
      </c>
      <c r="F7" s="285">
        <v>31000</v>
      </c>
      <c r="G7" s="285">
        <v>31000</v>
      </c>
      <c r="H7" s="285">
        <v>31000</v>
      </c>
      <c r="I7" s="285">
        <v>31000</v>
      </c>
      <c r="J7" s="285">
        <v>31000</v>
      </c>
      <c r="K7" s="285">
        <v>31000</v>
      </c>
      <c r="L7" s="285">
        <v>31000</v>
      </c>
      <c r="M7" s="285">
        <v>31000</v>
      </c>
      <c r="N7" s="285">
        <v>31000</v>
      </c>
      <c r="O7" s="1258">
        <f t="shared" ref="O7:O10" si="0">AVERAGE(B7:N7)</f>
        <v>31000</v>
      </c>
    </row>
    <row r="8" spans="1:16">
      <c r="A8" t="s">
        <v>1146</v>
      </c>
      <c r="B8" s="285">
        <v>52000</v>
      </c>
      <c r="C8" s="285">
        <v>52000</v>
      </c>
      <c r="D8" s="285">
        <v>52000</v>
      </c>
      <c r="E8" s="285">
        <v>52000</v>
      </c>
      <c r="F8" s="285">
        <v>52000</v>
      </c>
      <c r="G8" s="285">
        <v>52000</v>
      </c>
      <c r="H8" s="285">
        <v>52000</v>
      </c>
      <c r="I8" s="285">
        <v>52000</v>
      </c>
      <c r="J8" s="285">
        <v>52000</v>
      </c>
      <c r="K8" s="285">
        <v>52000</v>
      </c>
      <c r="L8" s="285">
        <v>52000</v>
      </c>
      <c r="M8" s="285">
        <v>52000</v>
      </c>
      <c r="N8" s="285">
        <v>52000</v>
      </c>
      <c r="O8" s="1258">
        <f t="shared" si="0"/>
        <v>52000</v>
      </c>
    </row>
    <row r="9" spans="1:16">
      <c r="A9" t="s">
        <v>1156</v>
      </c>
      <c r="B9" s="285">
        <v>24941000</v>
      </c>
      <c r="C9" s="285">
        <v>24941000</v>
      </c>
      <c r="D9" s="285">
        <v>24941000</v>
      </c>
      <c r="E9" s="285">
        <v>24941000</v>
      </c>
      <c r="F9" s="285">
        <v>24941000</v>
      </c>
      <c r="G9" s="285">
        <v>24941000</v>
      </c>
      <c r="H9" s="285">
        <v>24941000</v>
      </c>
      <c r="I9" s="285">
        <v>24941000</v>
      </c>
      <c r="J9" s="285">
        <v>24941000</v>
      </c>
      <c r="K9" s="285">
        <v>24941000</v>
      </c>
      <c r="L9" s="285">
        <v>26781000</v>
      </c>
      <c r="M9" s="285">
        <v>26787000</v>
      </c>
      <c r="N9" s="285">
        <v>26799000</v>
      </c>
      <c r="O9" s="1258">
        <f t="shared" si="0"/>
        <v>25367461.53846154</v>
      </c>
    </row>
    <row r="10" spans="1:16">
      <c r="A10" t="s">
        <v>426</v>
      </c>
      <c r="B10" s="285">
        <v>9138000</v>
      </c>
      <c r="C10" s="285">
        <v>9138000</v>
      </c>
      <c r="D10" s="285">
        <v>9138000</v>
      </c>
      <c r="E10" s="285">
        <v>9138000</v>
      </c>
      <c r="F10" s="285">
        <v>9138000</v>
      </c>
      <c r="G10" s="285">
        <v>9138000</v>
      </c>
      <c r="H10" s="285">
        <v>9138000</v>
      </c>
      <c r="I10" s="285">
        <v>9138000</v>
      </c>
      <c r="J10" s="285">
        <v>9138000</v>
      </c>
      <c r="K10" s="285">
        <v>9138000</v>
      </c>
      <c r="L10" s="285">
        <v>9138000</v>
      </c>
      <c r="M10" s="285">
        <v>9138000</v>
      </c>
      <c r="N10" s="285">
        <v>9138000</v>
      </c>
      <c r="O10" s="1258">
        <f t="shared" si="0"/>
        <v>9138000</v>
      </c>
    </row>
    <row r="11" spans="1:16">
      <c r="A11" t="s">
        <v>486</v>
      </c>
      <c r="B11" s="285">
        <v>20344000</v>
      </c>
      <c r="C11" s="285">
        <v>20344000</v>
      </c>
      <c r="D11" s="285">
        <v>20344000</v>
      </c>
      <c r="E11" s="285">
        <v>20344000</v>
      </c>
      <c r="F11" s="285">
        <v>20344000</v>
      </c>
      <c r="G11" s="285">
        <v>20344000</v>
      </c>
      <c r="H11" s="285">
        <v>20344000</v>
      </c>
      <c r="I11" s="285">
        <v>20344000</v>
      </c>
      <c r="J11" s="285">
        <v>20344000</v>
      </c>
      <c r="K11" s="285">
        <v>20344000</v>
      </c>
      <c r="L11" s="285">
        <v>20344000</v>
      </c>
      <c r="M11" s="285">
        <v>20344000</v>
      </c>
      <c r="N11" s="285">
        <v>20344000</v>
      </c>
      <c r="O11" s="1258">
        <f>AVERAGE(B11:N11)</f>
        <v>20344000</v>
      </c>
      <c r="P11" s="444"/>
    </row>
    <row r="12" spans="1:16">
      <c r="A12" t="s">
        <v>1106</v>
      </c>
      <c r="B12" s="285">
        <v>70000</v>
      </c>
      <c r="C12" s="285">
        <v>70000</v>
      </c>
      <c r="D12" s="285">
        <v>70000</v>
      </c>
      <c r="E12" s="285">
        <v>70000</v>
      </c>
      <c r="F12" s="285">
        <v>70000</v>
      </c>
      <c r="G12" s="285">
        <v>70000</v>
      </c>
      <c r="H12" s="285">
        <v>70000</v>
      </c>
      <c r="I12" s="285">
        <v>70000</v>
      </c>
      <c r="J12" s="285">
        <v>70000</v>
      </c>
      <c r="K12" s="285">
        <v>70000</v>
      </c>
      <c r="L12" s="285">
        <v>70000</v>
      </c>
      <c r="M12" s="285">
        <v>70000</v>
      </c>
      <c r="N12" s="285">
        <v>70000</v>
      </c>
      <c r="O12" s="1258">
        <f t="shared" ref="O12:O54" si="1">AVERAGE(B12:N12)</f>
        <v>70000</v>
      </c>
    </row>
    <row r="13" spans="1:16">
      <c r="A13" t="s">
        <v>1107</v>
      </c>
      <c r="B13" s="285">
        <v>57000</v>
      </c>
      <c r="C13" s="285">
        <v>57000</v>
      </c>
      <c r="D13" s="285">
        <v>57000</v>
      </c>
      <c r="E13" s="285">
        <v>57000</v>
      </c>
      <c r="F13" s="285">
        <v>57000</v>
      </c>
      <c r="G13" s="285">
        <v>57000</v>
      </c>
      <c r="H13" s="285">
        <v>57000</v>
      </c>
      <c r="I13" s="285">
        <v>57000</v>
      </c>
      <c r="J13" s="285">
        <v>57000</v>
      </c>
      <c r="K13" s="285">
        <v>57000</v>
      </c>
      <c r="L13" s="285">
        <v>57000</v>
      </c>
      <c r="M13" s="285">
        <v>57000</v>
      </c>
      <c r="N13" s="285">
        <v>57000</v>
      </c>
      <c r="O13" s="1258">
        <f t="shared" si="1"/>
        <v>57000</v>
      </c>
    </row>
    <row r="14" spans="1:16">
      <c r="A14" t="s">
        <v>1205</v>
      </c>
      <c r="B14" s="285">
        <v>952000</v>
      </c>
      <c r="C14" s="285">
        <v>952000</v>
      </c>
      <c r="D14" s="285">
        <v>952000</v>
      </c>
      <c r="E14" s="285">
        <v>952000</v>
      </c>
      <c r="F14" s="285">
        <v>952000</v>
      </c>
      <c r="G14" s="285">
        <v>952000</v>
      </c>
      <c r="H14" s="285">
        <v>952000</v>
      </c>
      <c r="I14" s="285">
        <v>952000</v>
      </c>
      <c r="J14" s="285">
        <v>952000</v>
      </c>
      <c r="K14" s="285">
        <v>952000</v>
      </c>
      <c r="L14" s="285">
        <v>952000</v>
      </c>
      <c r="M14" s="285">
        <v>952000</v>
      </c>
      <c r="N14" s="285">
        <v>952000</v>
      </c>
      <c r="O14" s="1258">
        <f t="shared" si="1"/>
        <v>952000</v>
      </c>
    </row>
    <row r="15" spans="1:16">
      <c r="A15" t="s">
        <v>487</v>
      </c>
      <c r="B15" s="285">
        <v>11141000</v>
      </c>
      <c r="C15" s="285">
        <v>11141000</v>
      </c>
      <c r="D15" s="285">
        <v>11141000</v>
      </c>
      <c r="E15" s="285">
        <v>11141000</v>
      </c>
      <c r="F15" s="285">
        <v>11141000</v>
      </c>
      <c r="G15" s="285">
        <v>11141000</v>
      </c>
      <c r="H15" s="285">
        <v>11141000</v>
      </c>
      <c r="I15" s="285">
        <v>11141000</v>
      </c>
      <c r="J15" s="285">
        <v>11141000</v>
      </c>
      <c r="K15" s="285">
        <v>11141000</v>
      </c>
      <c r="L15" s="285">
        <v>11141000</v>
      </c>
      <c r="M15" s="285">
        <v>11141000</v>
      </c>
      <c r="N15" s="285">
        <v>11141000</v>
      </c>
      <c r="O15" s="1258">
        <f t="shared" si="1"/>
        <v>11141000</v>
      </c>
    </row>
    <row r="16" spans="1:16">
      <c r="A16" t="s">
        <v>1344</v>
      </c>
      <c r="B16" s="285">
        <v>0</v>
      </c>
      <c r="C16" s="285">
        <v>4405000</v>
      </c>
      <c r="D16" s="285">
        <v>4405000</v>
      </c>
      <c r="E16" s="285">
        <v>4405000</v>
      </c>
      <c r="F16" s="285">
        <v>4387000</v>
      </c>
      <c r="G16" s="285">
        <v>4387000</v>
      </c>
      <c r="H16" s="285">
        <v>4410000</v>
      </c>
      <c r="I16" s="285">
        <v>4282000</v>
      </c>
      <c r="J16" s="285">
        <v>4245000</v>
      </c>
      <c r="K16" s="285">
        <v>4199000</v>
      </c>
      <c r="L16" s="285">
        <v>4034000</v>
      </c>
      <c r="M16" s="285">
        <v>5861000</v>
      </c>
      <c r="N16" s="285">
        <v>5809000</v>
      </c>
      <c r="O16" s="1258">
        <f t="shared" si="1"/>
        <v>4217615.384615385</v>
      </c>
    </row>
    <row r="17" spans="1:15">
      <c r="A17" t="s">
        <v>1345</v>
      </c>
      <c r="B17" s="285">
        <v>0</v>
      </c>
      <c r="C17" s="285">
        <v>63000</v>
      </c>
      <c r="D17" s="285">
        <v>63000</v>
      </c>
      <c r="E17" s="285">
        <v>63000</v>
      </c>
      <c r="F17" s="285">
        <v>63000</v>
      </c>
      <c r="G17" s="285">
        <v>63000</v>
      </c>
      <c r="H17" s="285">
        <v>63000</v>
      </c>
      <c r="I17" s="285">
        <v>63000</v>
      </c>
      <c r="J17" s="285">
        <v>63000</v>
      </c>
      <c r="K17" s="285">
        <v>63000</v>
      </c>
      <c r="L17" s="285">
        <v>63000</v>
      </c>
      <c r="M17" s="285">
        <v>63000</v>
      </c>
      <c r="N17" s="285">
        <v>8383000</v>
      </c>
      <c r="O17" s="1258">
        <f t="shared" si="1"/>
        <v>698153.84615384613</v>
      </c>
    </row>
    <row r="18" spans="1:15">
      <c r="A18" t="s">
        <v>1346</v>
      </c>
      <c r="B18" s="285">
        <v>0</v>
      </c>
      <c r="C18" s="285">
        <v>14287000</v>
      </c>
      <c r="D18" s="285">
        <v>14287000</v>
      </c>
      <c r="E18" s="285">
        <v>15200000</v>
      </c>
      <c r="F18" s="285">
        <v>15202000</v>
      </c>
      <c r="G18" s="285">
        <v>15203000</v>
      </c>
      <c r="H18" s="285">
        <v>15204000</v>
      </c>
      <c r="I18" s="285">
        <v>15541000</v>
      </c>
      <c r="J18" s="285">
        <v>15545000</v>
      </c>
      <c r="K18" s="285">
        <v>15608000</v>
      </c>
      <c r="L18" s="285">
        <v>15612000</v>
      </c>
      <c r="M18" s="285">
        <v>15613000</v>
      </c>
      <c r="N18" s="285">
        <v>15303000</v>
      </c>
      <c r="O18" s="1258">
        <f t="shared" si="1"/>
        <v>14046538.461538462</v>
      </c>
    </row>
    <row r="19" spans="1:15">
      <c r="A19" t="s">
        <v>490</v>
      </c>
      <c r="B19" s="285">
        <v>4539000</v>
      </c>
      <c r="C19" s="285">
        <v>4539000</v>
      </c>
      <c r="D19" s="285">
        <v>4539000</v>
      </c>
      <c r="E19" s="285">
        <v>4539000</v>
      </c>
      <c r="F19" s="285">
        <v>4539000</v>
      </c>
      <c r="G19" s="285">
        <v>4539000</v>
      </c>
      <c r="H19" s="285">
        <v>4539000</v>
      </c>
      <c r="I19" s="285">
        <v>4539000</v>
      </c>
      <c r="J19" s="285">
        <v>4539000</v>
      </c>
      <c r="K19" s="285">
        <v>4539000</v>
      </c>
      <c r="L19" s="285">
        <v>4539000</v>
      </c>
      <c r="M19" s="285">
        <v>4539000</v>
      </c>
      <c r="N19" s="285">
        <v>4539000</v>
      </c>
      <c r="O19" s="1258">
        <f t="shared" si="1"/>
        <v>4539000</v>
      </c>
    </row>
    <row r="20" spans="1:15">
      <c r="A20" t="s">
        <v>427</v>
      </c>
      <c r="B20" s="285">
        <v>1760000</v>
      </c>
      <c r="C20" s="285">
        <v>1760000</v>
      </c>
      <c r="D20" s="285">
        <v>1760000</v>
      </c>
      <c r="E20" s="285">
        <v>1760000</v>
      </c>
      <c r="F20" s="285">
        <v>1760000</v>
      </c>
      <c r="G20" s="285">
        <v>1760000</v>
      </c>
      <c r="H20" s="285">
        <v>1760000</v>
      </c>
      <c r="I20" s="285">
        <v>1760000</v>
      </c>
      <c r="J20" s="285">
        <v>1760000</v>
      </c>
      <c r="K20" s="285">
        <v>1760000</v>
      </c>
      <c r="L20" s="285">
        <v>1760000</v>
      </c>
      <c r="M20" s="285">
        <v>1760000</v>
      </c>
      <c r="N20" s="285">
        <v>1760000</v>
      </c>
      <c r="O20" s="1258">
        <f t="shared" si="1"/>
        <v>1760000</v>
      </c>
    </row>
    <row r="21" spans="1:15">
      <c r="A21" t="s">
        <v>491</v>
      </c>
      <c r="B21" s="285">
        <v>1931000</v>
      </c>
      <c r="C21" s="285">
        <v>1931000</v>
      </c>
      <c r="D21" s="285">
        <v>1931000</v>
      </c>
      <c r="E21" s="285">
        <v>1931000</v>
      </c>
      <c r="F21" s="285">
        <v>1931000</v>
      </c>
      <c r="G21" s="285">
        <v>1931000</v>
      </c>
      <c r="H21" s="285">
        <v>1931000</v>
      </c>
      <c r="I21" s="285">
        <v>1931000</v>
      </c>
      <c r="J21" s="285">
        <v>1931000</v>
      </c>
      <c r="K21" s="285">
        <v>1931000</v>
      </c>
      <c r="L21" s="285">
        <v>1931000</v>
      </c>
      <c r="M21" s="285">
        <v>1931000</v>
      </c>
      <c r="N21" s="285">
        <v>1931000</v>
      </c>
      <c r="O21" s="1258">
        <f t="shared" si="1"/>
        <v>1931000</v>
      </c>
    </row>
    <row r="22" spans="1:15">
      <c r="A22" t="s">
        <v>1108</v>
      </c>
      <c r="B22" s="285">
        <v>3427000</v>
      </c>
      <c r="C22" s="285">
        <v>3427000</v>
      </c>
      <c r="D22" s="285">
        <v>3427000</v>
      </c>
      <c r="E22" s="285">
        <v>3427000</v>
      </c>
      <c r="F22" s="285">
        <v>3427000</v>
      </c>
      <c r="G22" s="285">
        <v>3427000</v>
      </c>
      <c r="H22" s="285">
        <v>3427000</v>
      </c>
      <c r="I22" s="285">
        <v>3427000</v>
      </c>
      <c r="J22" s="285">
        <v>3427000</v>
      </c>
      <c r="K22" s="285">
        <v>3476000</v>
      </c>
      <c r="L22" s="285">
        <v>3476000</v>
      </c>
      <c r="M22" s="285">
        <v>3477000</v>
      </c>
      <c r="N22" s="285">
        <v>3477000</v>
      </c>
      <c r="O22" s="1258">
        <f t="shared" si="1"/>
        <v>3442230.769230769</v>
      </c>
    </row>
    <row r="23" spans="1:15">
      <c r="A23" t="s">
        <v>493</v>
      </c>
      <c r="B23" s="285">
        <v>4273000</v>
      </c>
      <c r="C23" s="285">
        <v>4273000</v>
      </c>
      <c r="D23" s="285">
        <v>4273000</v>
      </c>
      <c r="E23" s="285">
        <v>4273000</v>
      </c>
      <c r="F23" s="285">
        <v>4273000</v>
      </c>
      <c r="G23" s="285">
        <v>4273000</v>
      </c>
      <c r="H23" s="285">
        <v>4273000</v>
      </c>
      <c r="I23" s="285">
        <v>4273000</v>
      </c>
      <c r="J23" s="285">
        <v>4273000</v>
      </c>
      <c r="K23" s="285">
        <v>4273000</v>
      </c>
      <c r="L23" s="285">
        <v>4273000</v>
      </c>
      <c r="M23" s="285">
        <v>4273000</v>
      </c>
      <c r="N23" s="285">
        <v>4273000</v>
      </c>
      <c r="O23" s="1258">
        <f t="shared" si="1"/>
        <v>4273000</v>
      </c>
    </row>
    <row r="24" spans="1:15">
      <c r="A24" t="s">
        <v>494</v>
      </c>
      <c r="B24" s="285">
        <v>152898000</v>
      </c>
      <c r="C24" s="285">
        <v>151409000</v>
      </c>
      <c r="D24" s="285">
        <v>151409000</v>
      </c>
      <c r="E24" s="285">
        <v>150796000</v>
      </c>
      <c r="F24" s="285">
        <v>156850000</v>
      </c>
      <c r="G24" s="285">
        <v>156861000</v>
      </c>
      <c r="H24" s="285">
        <v>156862000</v>
      </c>
      <c r="I24" s="285">
        <v>156862000</v>
      </c>
      <c r="J24" s="285">
        <v>156862000</v>
      </c>
      <c r="K24" s="285">
        <v>161732000</v>
      </c>
      <c r="L24" s="285">
        <v>161754000</v>
      </c>
      <c r="M24" s="285">
        <v>161780000</v>
      </c>
      <c r="N24" s="285">
        <v>161588000</v>
      </c>
      <c r="O24" s="1258">
        <f t="shared" si="1"/>
        <v>156743307.69230768</v>
      </c>
    </row>
    <row r="25" spans="1:15">
      <c r="A25" t="s">
        <v>1327</v>
      </c>
      <c r="B25" s="285">
        <v>148000</v>
      </c>
      <c r="C25" s="285">
        <v>148000</v>
      </c>
      <c r="D25" s="285">
        <v>148000</v>
      </c>
      <c r="E25" s="285">
        <v>148000</v>
      </c>
      <c r="F25" s="285">
        <v>148000</v>
      </c>
      <c r="G25" s="285">
        <v>148000</v>
      </c>
      <c r="H25" s="285">
        <v>148000</v>
      </c>
      <c r="I25" s="285">
        <v>148000</v>
      </c>
      <c r="J25" s="285">
        <v>148000</v>
      </c>
      <c r="K25" s="285">
        <v>148000</v>
      </c>
      <c r="L25" s="285">
        <v>148000</v>
      </c>
      <c r="M25" s="285">
        <v>148000</v>
      </c>
      <c r="N25" s="285">
        <v>148000</v>
      </c>
      <c r="O25" s="1258">
        <f t="shared" si="1"/>
        <v>148000</v>
      </c>
    </row>
    <row r="26" spans="1:15">
      <c r="A26" t="s">
        <v>1347</v>
      </c>
      <c r="B26" s="285">
        <v>0</v>
      </c>
      <c r="C26" s="285">
        <v>0</v>
      </c>
      <c r="D26" s="285">
        <v>6000</v>
      </c>
      <c r="E26" s="285">
        <v>6000</v>
      </c>
      <c r="F26" s="285">
        <v>6000</v>
      </c>
      <c r="G26" s="285">
        <v>6000</v>
      </c>
      <c r="H26" s="285">
        <v>6000</v>
      </c>
      <c r="I26" s="285">
        <v>6000</v>
      </c>
      <c r="J26" s="285">
        <v>6000</v>
      </c>
      <c r="K26" s="285">
        <v>6000</v>
      </c>
      <c r="L26" s="285">
        <v>6000</v>
      </c>
      <c r="M26" s="285">
        <v>6000</v>
      </c>
      <c r="N26" s="285">
        <v>6000</v>
      </c>
      <c r="O26" s="1258">
        <f t="shared" si="1"/>
        <v>5076.9230769230771</v>
      </c>
    </row>
    <row r="27" spans="1:15">
      <c r="A27" t="s">
        <v>1066</v>
      </c>
      <c r="B27" s="285">
        <v>1384000</v>
      </c>
      <c r="C27" s="285">
        <v>1384000</v>
      </c>
      <c r="D27" s="285">
        <v>1384000</v>
      </c>
      <c r="E27" s="285">
        <v>1384000</v>
      </c>
      <c r="F27" s="285">
        <v>1384000</v>
      </c>
      <c r="G27" s="285">
        <v>1384000</v>
      </c>
      <c r="H27" s="285">
        <v>1384000</v>
      </c>
      <c r="I27" s="285">
        <v>1384000</v>
      </c>
      <c r="J27" s="285">
        <v>1384000</v>
      </c>
      <c r="K27" s="285">
        <v>1384000</v>
      </c>
      <c r="L27" s="285">
        <v>1384000</v>
      </c>
      <c r="M27" s="285">
        <v>1384000</v>
      </c>
      <c r="N27" s="285">
        <v>1384000</v>
      </c>
      <c r="O27" s="1258">
        <f t="shared" si="1"/>
        <v>1384000</v>
      </c>
    </row>
    <row r="28" spans="1:15">
      <c r="A28" t="s">
        <v>1173</v>
      </c>
      <c r="B28" s="285">
        <v>267193000</v>
      </c>
      <c r="C28" s="285">
        <v>267386000</v>
      </c>
      <c r="D28" s="285">
        <v>268586000</v>
      </c>
      <c r="E28" s="285">
        <v>272872000</v>
      </c>
      <c r="F28" s="285">
        <v>272862000</v>
      </c>
      <c r="G28" s="285">
        <v>273192000</v>
      </c>
      <c r="H28" s="285">
        <v>274264000</v>
      </c>
      <c r="I28" s="285">
        <v>274154000</v>
      </c>
      <c r="J28" s="285">
        <v>279648000</v>
      </c>
      <c r="K28" s="285">
        <v>270227000</v>
      </c>
      <c r="L28" s="285">
        <v>273457000</v>
      </c>
      <c r="M28" s="285">
        <v>277055000</v>
      </c>
      <c r="N28" s="108">
        <v>287051000</v>
      </c>
      <c r="O28" s="1258">
        <f t="shared" si="1"/>
        <v>273688230.76923078</v>
      </c>
    </row>
    <row r="29" spans="1:15">
      <c r="A29" t="s">
        <v>495</v>
      </c>
      <c r="B29" s="285">
        <v>4275000</v>
      </c>
      <c r="C29" s="285">
        <v>4275000</v>
      </c>
      <c r="D29" s="285">
        <v>4275000</v>
      </c>
      <c r="E29" s="285">
        <v>4275000</v>
      </c>
      <c r="F29" s="285">
        <v>4275000</v>
      </c>
      <c r="G29" s="285">
        <v>4275000</v>
      </c>
      <c r="H29" s="285">
        <v>4275000</v>
      </c>
      <c r="I29" s="285">
        <v>4275000</v>
      </c>
      <c r="J29" s="285">
        <v>4275000</v>
      </c>
      <c r="K29" s="285">
        <v>4275000</v>
      </c>
      <c r="L29" s="285">
        <v>4275000</v>
      </c>
      <c r="M29" s="285">
        <v>4275000</v>
      </c>
      <c r="N29" s="285">
        <v>4275000</v>
      </c>
      <c r="O29" s="1258">
        <f t="shared" si="1"/>
        <v>4275000</v>
      </c>
    </row>
    <row r="30" spans="1:15">
      <c r="A30" t="s">
        <v>1166</v>
      </c>
      <c r="B30" s="285">
        <v>663000</v>
      </c>
      <c r="C30" s="285">
        <v>0</v>
      </c>
      <c r="D30" s="285">
        <v>0</v>
      </c>
      <c r="E30" s="285">
        <v>0</v>
      </c>
      <c r="F30" s="285">
        <v>0</v>
      </c>
      <c r="G30" s="285">
        <v>0</v>
      </c>
      <c r="H30" s="285">
        <v>0</v>
      </c>
      <c r="I30" s="285">
        <v>0</v>
      </c>
      <c r="J30" s="285">
        <v>0</v>
      </c>
      <c r="K30" s="285">
        <v>0</v>
      </c>
      <c r="L30" s="285">
        <v>0</v>
      </c>
      <c r="M30" s="285">
        <v>0</v>
      </c>
      <c r="N30" s="285">
        <v>0</v>
      </c>
      <c r="O30" s="1258">
        <f t="shared" si="1"/>
        <v>51000</v>
      </c>
    </row>
    <row r="31" spans="1:15">
      <c r="A31" t="s">
        <v>496</v>
      </c>
      <c r="B31" s="285">
        <v>169904000</v>
      </c>
      <c r="C31" s="285">
        <v>169889000</v>
      </c>
      <c r="D31" s="285">
        <v>169889000</v>
      </c>
      <c r="E31" s="285">
        <v>169863000</v>
      </c>
      <c r="F31" s="285">
        <v>169863000</v>
      </c>
      <c r="G31" s="285">
        <v>169863000</v>
      </c>
      <c r="H31" s="285">
        <v>169808000</v>
      </c>
      <c r="I31" s="285">
        <v>169808000</v>
      </c>
      <c r="J31" s="285">
        <v>169759000</v>
      </c>
      <c r="K31" s="285">
        <v>169644000</v>
      </c>
      <c r="L31" s="285">
        <v>169597000</v>
      </c>
      <c r="M31" s="285">
        <v>169597000</v>
      </c>
      <c r="N31" s="285">
        <v>169587000</v>
      </c>
      <c r="O31" s="1258">
        <f t="shared" si="1"/>
        <v>169774692.30769232</v>
      </c>
    </row>
    <row r="32" spans="1:15">
      <c r="A32" t="s">
        <v>497</v>
      </c>
      <c r="B32" s="285">
        <v>27426000</v>
      </c>
      <c r="C32" s="285">
        <v>27426000</v>
      </c>
      <c r="D32" s="285">
        <v>27426000</v>
      </c>
      <c r="E32" s="285">
        <v>27426000</v>
      </c>
      <c r="F32" s="285">
        <v>27426000</v>
      </c>
      <c r="G32" s="285">
        <v>27426000</v>
      </c>
      <c r="H32" s="285">
        <v>27426000</v>
      </c>
      <c r="I32" s="285">
        <v>27426000</v>
      </c>
      <c r="J32" s="285">
        <v>27426000</v>
      </c>
      <c r="K32" s="285">
        <v>27426000</v>
      </c>
      <c r="L32" s="285">
        <v>27426000</v>
      </c>
      <c r="M32" s="285">
        <v>27426000</v>
      </c>
      <c r="N32" s="285">
        <v>27426000</v>
      </c>
      <c r="O32" s="1258">
        <f t="shared" si="1"/>
        <v>27426000</v>
      </c>
    </row>
    <row r="33" spans="1:15">
      <c r="A33" t="s">
        <v>501</v>
      </c>
      <c r="B33" s="285">
        <v>5744000</v>
      </c>
      <c r="C33" s="285">
        <v>5744000</v>
      </c>
      <c r="D33" s="285">
        <v>5744000</v>
      </c>
      <c r="E33" s="285">
        <v>5744000</v>
      </c>
      <c r="F33" s="285">
        <v>5744000</v>
      </c>
      <c r="G33" s="285">
        <v>5744000</v>
      </c>
      <c r="H33" s="285">
        <v>5744000</v>
      </c>
      <c r="I33" s="285">
        <v>5744000</v>
      </c>
      <c r="J33" s="285">
        <v>5744000</v>
      </c>
      <c r="K33" s="285">
        <v>5744000</v>
      </c>
      <c r="L33" s="285">
        <v>5744000</v>
      </c>
      <c r="M33" s="285">
        <v>5744000</v>
      </c>
      <c r="N33" s="285">
        <v>5744000</v>
      </c>
      <c r="O33" s="1258">
        <f t="shared" si="1"/>
        <v>5744000</v>
      </c>
    </row>
    <row r="34" spans="1:15">
      <c r="A34" t="s">
        <v>502</v>
      </c>
      <c r="B34" s="285">
        <v>1510000</v>
      </c>
      <c r="C34" s="285">
        <v>1510000</v>
      </c>
      <c r="D34" s="285">
        <v>1510000</v>
      </c>
      <c r="E34" s="285">
        <v>1510000</v>
      </c>
      <c r="F34" s="285">
        <v>1510000</v>
      </c>
      <c r="G34" s="285">
        <v>1510000</v>
      </c>
      <c r="H34" s="285">
        <v>1510000</v>
      </c>
      <c r="I34" s="285">
        <v>1510000</v>
      </c>
      <c r="J34" s="285">
        <v>1510000</v>
      </c>
      <c r="K34" s="285">
        <v>1510000</v>
      </c>
      <c r="L34" s="285">
        <v>1510000</v>
      </c>
      <c r="M34" s="285">
        <v>1510000</v>
      </c>
      <c r="N34" s="285">
        <v>1510000</v>
      </c>
      <c r="O34" s="1258">
        <f t="shared" si="1"/>
        <v>1510000</v>
      </c>
    </row>
    <row r="35" spans="1:15">
      <c r="A35" t="s">
        <v>503</v>
      </c>
      <c r="B35" s="285">
        <v>353810000</v>
      </c>
      <c r="C35" s="285">
        <v>354072000</v>
      </c>
      <c r="D35" s="285">
        <v>356716000</v>
      </c>
      <c r="E35" s="285">
        <v>357274000</v>
      </c>
      <c r="F35" s="285">
        <v>356970000</v>
      </c>
      <c r="G35" s="285">
        <v>357182000</v>
      </c>
      <c r="H35" s="285">
        <v>420292000</v>
      </c>
      <c r="I35" s="285">
        <v>421471000</v>
      </c>
      <c r="J35" s="285">
        <v>429802000</v>
      </c>
      <c r="K35" s="285">
        <v>430734000</v>
      </c>
      <c r="L35" s="285">
        <v>432606000</v>
      </c>
      <c r="M35" s="285">
        <v>433275000</v>
      </c>
      <c r="N35" s="285">
        <v>444150000</v>
      </c>
      <c r="O35" s="1258">
        <f t="shared" si="1"/>
        <v>396027230.76923078</v>
      </c>
    </row>
    <row r="36" spans="1:15">
      <c r="A36" t="s">
        <v>505</v>
      </c>
      <c r="B36" s="285">
        <v>3520000</v>
      </c>
      <c r="C36" s="285">
        <v>3520000</v>
      </c>
      <c r="D36" s="285">
        <v>3520000</v>
      </c>
      <c r="E36" s="285">
        <v>3520000</v>
      </c>
      <c r="F36" s="285">
        <v>3520000</v>
      </c>
      <c r="G36" s="285">
        <v>3520000</v>
      </c>
      <c r="H36" s="285">
        <v>3520000</v>
      </c>
      <c r="I36" s="285">
        <v>3520000</v>
      </c>
      <c r="J36" s="285">
        <v>3520000</v>
      </c>
      <c r="K36" s="285">
        <v>3520000</v>
      </c>
      <c r="L36" s="285">
        <v>3520000</v>
      </c>
      <c r="M36" s="285">
        <v>3520000</v>
      </c>
      <c r="N36" s="285">
        <v>3520000</v>
      </c>
      <c r="O36" s="1258">
        <f t="shared" si="1"/>
        <v>3520000</v>
      </c>
    </row>
    <row r="37" spans="1:15">
      <c r="A37" t="s">
        <v>1109</v>
      </c>
      <c r="B37" s="285">
        <v>1480000</v>
      </c>
      <c r="C37" s="285">
        <v>1480000</v>
      </c>
      <c r="D37" s="285">
        <v>1480000</v>
      </c>
      <c r="E37" s="285">
        <v>1480000</v>
      </c>
      <c r="F37" s="285">
        <v>1480000</v>
      </c>
      <c r="G37" s="285">
        <v>1480000</v>
      </c>
      <c r="H37" s="285">
        <v>1480000</v>
      </c>
      <c r="I37" s="285">
        <v>1480000</v>
      </c>
      <c r="J37" s="285">
        <v>1480000</v>
      </c>
      <c r="K37" s="285">
        <v>1480000</v>
      </c>
      <c r="L37" s="285">
        <v>1480000</v>
      </c>
      <c r="M37" s="285">
        <v>1480000</v>
      </c>
      <c r="N37" s="285">
        <v>1480000</v>
      </c>
      <c r="O37" s="1258">
        <f t="shared" si="1"/>
        <v>1480000</v>
      </c>
    </row>
    <row r="38" spans="1:15">
      <c r="A38" t="s">
        <v>506</v>
      </c>
      <c r="B38" s="285">
        <v>5491000</v>
      </c>
      <c r="C38" s="285">
        <v>5491000</v>
      </c>
      <c r="D38" s="285">
        <v>5491000</v>
      </c>
      <c r="E38" s="285">
        <v>5491000</v>
      </c>
      <c r="F38" s="285">
        <v>5491000</v>
      </c>
      <c r="G38" s="285">
        <v>5491000</v>
      </c>
      <c r="H38" s="285">
        <v>5491000</v>
      </c>
      <c r="I38" s="285">
        <v>5491000</v>
      </c>
      <c r="J38" s="285">
        <v>5491000</v>
      </c>
      <c r="K38" s="285">
        <v>5491000</v>
      </c>
      <c r="L38" s="285">
        <v>5491000</v>
      </c>
      <c r="M38" s="285">
        <v>5491000</v>
      </c>
      <c r="N38" s="285">
        <v>5491000</v>
      </c>
      <c r="O38" s="1258">
        <f t="shared" si="1"/>
        <v>5491000</v>
      </c>
    </row>
    <row r="39" spans="1:15">
      <c r="A39" t="s">
        <v>1147</v>
      </c>
      <c r="B39" s="285">
        <v>231895000</v>
      </c>
      <c r="C39" s="285">
        <v>232548000</v>
      </c>
      <c r="D39" s="285">
        <v>240021000</v>
      </c>
      <c r="E39" s="285">
        <v>244498000</v>
      </c>
      <c r="F39" s="285">
        <v>244203000</v>
      </c>
      <c r="G39" s="285">
        <v>245877000</v>
      </c>
      <c r="H39" s="285">
        <v>240577000</v>
      </c>
      <c r="I39" s="285">
        <v>244185000</v>
      </c>
      <c r="J39" s="285">
        <v>247586000</v>
      </c>
      <c r="K39" s="285">
        <v>253297000</v>
      </c>
      <c r="L39" s="285">
        <v>255953000</v>
      </c>
      <c r="M39" s="285">
        <v>270135000</v>
      </c>
      <c r="N39" s="285">
        <v>283412000</v>
      </c>
      <c r="O39" s="1258">
        <f t="shared" si="1"/>
        <v>248783615.38461539</v>
      </c>
    </row>
    <row r="40" spans="1:15">
      <c r="A40" t="s">
        <v>1148</v>
      </c>
      <c r="B40" s="285">
        <v>156635000</v>
      </c>
      <c r="C40" s="285">
        <v>156630000</v>
      </c>
      <c r="D40" s="285">
        <v>156578000</v>
      </c>
      <c r="E40" s="285">
        <v>156459000</v>
      </c>
      <c r="F40" s="285">
        <v>156336000</v>
      </c>
      <c r="G40" s="285">
        <v>156302000</v>
      </c>
      <c r="H40" s="285">
        <v>156170000</v>
      </c>
      <c r="I40" s="285">
        <v>156170000</v>
      </c>
      <c r="J40" s="285">
        <v>156119000</v>
      </c>
      <c r="K40" s="285">
        <v>156064000</v>
      </c>
      <c r="L40" s="285">
        <v>155942000</v>
      </c>
      <c r="M40" s="285">
        <v>155925000</v>
      </c>
      <c r="N40" s="285">
        <v>155681000</v>
      </c>
      <c r="O40" s="1258">
        <f t="shared" si="1"/>
        <v>156231615.38461539</v>
      </c>
    </row>
    <row r="41" spans="1:15">
      <c r="A41" t="s">
        <v>1110</v>
      </c>
      <c r="B41" s="285">
        <v>7369000</v>
      </c>
      <c r="C41" s="285">
        <v>7369000</v>
      </c>
      <c r="D41" s="285">
        <v>7369000</v>
      </c>
      <c r="E41" s="285">
        <v>7369000</v>
      </c>
      <c r="F41" s="285">
        <v>7369000</v>
      </c>
      <c r="G41" s="285">
        <v>7369000</v>
      </c>
      <c r="H41" s="285">
        <v>7369000</v>
      </c>
      <c r="I41" s="285">
        <v>7369000</v>
      </c>
      <c r="J41" s="285">
        <v>7369000</v>
      </c>
      <c r="K41" s="285">
        <v>7369000</v>
      </c>
      <c r="L41" s="285">
        <v>7369000</v>
      </c>
      <c r="M41" s="285">
        <v>7369000</v>
      </c>
      <c r="N41" s="285">
        <v>7369000</v>
      </c>
      <c r="O41" s="1258">
        <f t="shared" si="1"/>
        <v>7369000</v>
      </c>
    </row>
    <row r="42" spans="1:15">
      <c r="A42" t="s">
        <v>1111</v>
      </c>
      <c r="B42" s="285">
        <v>214000</v>
      </c>
      <c r="C42" s="285">
        <v>214000</v>
      </c>
      <c r="D42" s="285">
        <v>206000</v>
      </c>
      <c r="E42" s="285">
        <v>105000</v>
      </c>
      <c r="F42" s="285">
        <v>105000</v>
      </c>
      <c r="G42" s="285">
        <v>105000</v>
      </c>
      <c r="H42" s="285">
        <v>105000</v>
      </c>
      <c r="I42" s="285">
        <v>105000</v>
      </c>
      <c r="J42" s="285">
        <v>105000</v>
      </c>
      <c r="K42" s="285">
        <v>129000</v>
      </c>
      <c r="L42" s="285">
        <v>129000</v>
      </c>
      <c r="M42" s="285">
        <v>129000</v>
      </c>
      <c r="N42" s="285">
        <v>84000</v>
      </c>
      <c r="O42" s="1258">
        <f t="shared" si="1"/>
        <v>133461.53846153847</v>
      </c>
    </row>
    <row r="43" spans="1:15">
      <c r="A43" t="s">
        <v>510</v>
      </c>
      <c r="B43" s="285">
        <v>12701000</v>
      </c>
      <c r="C43" s="285">
        <v>12701000</v>
      </c>
      <c r="D43" s="285">
        <v>12701000</v>
      </c>
      <c r="E43" s="285">
        <v>12701000</v>
      </c>
      <c r="F43" s="285">
        <v>12701000</v>
      </c>
      <c r="G43" s="285">
        <v>12701000</v>
      </c>
      <c r="H43" s="285">
        <v>12701000</v>
      </c>
      <c r="I43" s="285">
        <v>12701000</v>
      </c>
      <c r="J43" s="285">
        <v>12701000</v>
      </c>
      <c r="K43" s="285">
        <v>12701000</v>
      </c>
      <c r="L43" s="285">
        <v>12701000</v>
      </c>
      <c r="M43" s="285">
        <v>12701000</v>
      </c>
      <c r="N43" s="285">
        <v>12701000</v>
      </c>
      <c r="O43" s="1258">
        <f t="shared" si="1"/>
        <v>12701000</v>
      </c>
    </row>
    <row r="44" spans="1:15">
      <c r="A44" t="s">
        <v>1112</v>
      </c>
      <c r="B44" s="285">
        <v>536000</v>
      </c>
      <c r="C44" s="285">
        <v>536000</v>
      </c>
      <c r="D44" s="285">
        <v>536000</v>
      </c>
      <c r="E44" s="285">
        <v>536000</v>
      </c>
      <c r="F44" s="285">
        <v>536000</v>
      </c>
      <c r="G44" s="285">
        <v>536000</v>
      </c>
      <c r="H44" s="285">
        <v>536000</v>
      </c>
      <c r="I44" s="285">
        <v>536000</v>
      </c>
      <c r="J44" s="285">
        <v>536000</v>
      </c>
      <c r="K44" s="285">
        <v>536000</v>
      </c>
      <c r="L44" s="285">
        <v>536000</v>
      </c>
      <c r="M44" s="285">
        <v>536000</v>
      </c>
      <c r="N44" s="285">
        <v>536000</v>
      </c>
      <c r="O44" s="1258">
        <f t="shared" si="1"/>
        <v>536000</v>
      </c>
    </row>
    <row r="45" spans="1:15">
      <c r="A45" t="s">
        <v>511</v>
      </c>
      <c r="B45" s="285">
        <v>5181000</v>
      </c>
      <c r="C45" s="285">
        <v>5181000</v>
      </c>
      <c r="D45" s="285">
        <v>5181000</v>
      </c>
      <c r="E45" s="285">
        <v>5181000</v>
      </c>
      <c r="F45" s="285">
        <v>5181000</v>
      </c>
      <c r="G45" s="285">
        <v>5181000</v>
      </c>
      <c r="H45" s="285">
        <v>5181000</v>
      </c>
      <c r="I45" s="285">
        <v>5181000</v>
      </c>
      <c r="J45" s="285">
        <v>5181000</v>
      </c>
      <c r="K45" s="285">
        <v>5181000</v>
      </c>
      <c r="L45" s="285">
        <v>5181000</v>
      </c>
      <c r="M45" s="285">
        <v>5181000</v>
      </c>
      <c r="N45" s="285">
        <v>5181000</v>
      </c>
      <c r="O45" s="1258">
        <f t="shared" si="1"/>
        <v>5181000</v>
      </c>
    </row>
    <row r="46" spans="1:15">
      <c r="A46" t="s">
        <v>512</v>
      </c>
      <c r="B46" s="285">
        <v>201493000</v>
      </c>
      <c r="C46" s="285">
        <v>201770000</v>
      </c>
      <c r="D46" s="285">
        <v>205532000</v>
      </c>
      <c r="E46" s="285">
        <v>205792000</v>
      </c>
      <c r="F46" s="285">
        <v>206290000</v>
      </c>
      <c r="G46" s="285">
        <v>206751000</v>
      </c>
      <c r="H46" s="285">
        <v>148715000</v>
      </c>
      <c r="I46" s="285">
        <v>149389000</v>
      </c>
      <c r="J46" s="285">
        <v>155248000</v>
      </c>
      <c r="K46" s="285">
        <v>155528000</v>
      </c>
      <c r="L46" s="285">
        <v>156205000</v>
      </c>
      <c r="M46" s="285">
        <v>156348000</v>
      </c>
      <c r="N46" s="285">
        <v>157540000</v>
      </c>
      <c r="O46" s="1258">
        <f t="shared" si="1"/>
        <v>177430846.15384614</v>
      </c>
    </row>
    <row r="47" spans="1:15">
      <c r="A47" t="s">
        <v>428</v>
      </c>
      <c r="B47" s="285">
        <v>62978000</v>
      </c>
      <c r="C47" s="285">
        <v>63258000</v>
      </c>
      <c r="D47" s="285">
        <v>63429000</v>
      </c>
      <c r="E47" s="285">
        <v>63499000</v>
      </c>
      <c r="F47" s="285">
        <v>63512000</v>
      </c>
      <c r="G47" s="285">
        <v>63510000</v>
      </c>
      <c r="H47" s="285">
        <v>64456000</v>
      </c>
      <c r="I47" s="285">
        <v>64483000</v>
      </c>
      <c r="J47" s="285">
        <v>64566000</v>
      </c>
      <c r="K47" s="285">
        <v>64898000</v>
      </c>
      <c r="L47" s="285">
        <v>64864000</v>
      </c>
      <c r="M47" s="285">
        <v>64613000</v>
      </c>
      <c r="N47" s="285">
        <v>65775000</v>
      </c>
      <c r="O47" s="1258">
        <f t="shared" si="1"/>
        <v>64141615.384615384</v>
      </c>
    </row>
    <row r="48" spans="1:15">
      <c r="A48" t="s">
        <v>1113</v>
      </c>
      <c r="B48" s="285">
        <v>6094000</v>
      </c>
      <c r="C48" s="285">
        <v>6094000</v>
      </c>
      <c r="D48" s="285">
        <v>6094000</v>
      </c>
      <c r="E48" s="285">
        <v>6094000</v>
      </c>
      <c r="F48" s="285">
        <v>6094000</v>
      </c>
      <c r="G48" s="285">
        <v>6094000</v>
      </c>
      <c r="H48" s="285">
        <v>6094000</v>
      </c>
      <c r="I48" s="285">
        <v>6094000</v>
      </c>
      <c r="J48" s="285">
        <v>6094000</v>
      </c>
      <c r="K48" s="285">
        <v>6094000</v>
      </c>
      <c r="L48" s="285">
        <v>6094000</v>
      </c>
      <c r="M48" s="285">
        <v>6094000</v>
      </c>
      <c r="N48" s="285">
        <v>6094000</v>
      </c>
      <c r="O48" s="1258">
        <f t="shared" si="1"/>
        <v>6094000</v>
      </c>
    </row>
    <row r="49" spans="1:15">
      <c r="A49" t="s">
        <v>1114</v>
      </c>
      <c r="B49" s="285">
        <v>683000</v>
      </c>
      <c r="C49" s="285">
        <v>683000</v>
      </c>
      <c r="D49" s="285">
        <v>683000</v>
      </c>
      <c r="E49" s="285">
        <v>683000</v>
      </c>
      <c r="F49" s="285">
        <v>683000</v>
      </c>
      <c r="G49" s="285">
        <v>683000</v>
      </c>
      <c r="H49" s="285">
        <v>683000</v>
      </c>
      <c r="I49" s="285">
        <v>683000</v>
      </c>
      <c r="J49" s="285">
        <v>683000</v>
      </c>
      <c r="K49" s="285">
        <v>683000</v>
      </c>
      <c r="L49" s="285">
        <v>683000</v>
      </c>
      <c r="M49" s="285">
        <v>683000</v>
      </c>
      <c r="N49" s="285">
        <v>683000</v>
      </c>
      <c r="O49" s="1258">
        <f t="shared" si="1"/>
        <v>683000</v>
      </c>
    </row>
    <row r="50" spans="1:15">
      <c r="A50" t="s">
        <v>513</v>
      </c>
      <c r="B50" s="285">
        <v>125566000</v>
      </c>
      <c r="C50" s="285">
        <v>125566000</v>
      </c>
      <c r="D50" s="285">
        <v>125566000</v>
      </c>
      <c r="E50" s="285">
        <v>125566000</v>
      </c>
      <c r="F50" s="285">
        <v>125566000</v>
      </c>
      <c r="G50" s="285">
        <v>125566000</v>
      </c>
      <c r="H50" s="285">
        <v>125565000</v>
      </c>
      <c r="I50" s="285">
        <v>125565000</v>
      </c>
      <c r="J50" s="285">
        <v>125560000</v>
      </c>
      <c r="K50" s="285">
        <v>125557000</v>
      </c>
      <c r="L50" s="285">
        <v>125557000</v>
      </c>
      <c r="M50" s="285">
        <v>125557000</v>
      </c>
      <c r="N50" s="285">
        <v>125513000</v>
      </c>
      <c r="O50" s="1258">
        <f t="shared" si="1"/>
        <v>125559230.76923077</v>
      </c>
    </row>
    <row r="51" spans="1:15">
      <c r="A51" t="s">
        <v>527</v>
      </c>
      <c r="B51" s="285">
        <v>701000</v>
      </c>
      <c r="C51" s="285">
        <v>701000</v>
      </c>
      <c r="D51" s="285">
        <v>701000</v>
      </c>
      <c r="E51" s="285">
        <v>701000</v>
      </c>
      <c r="F51" s="285">
        <v>701000</v>
      </c>
      <c r="G51" s="285">
        <v>701000</v>
      </c>
      <c r="H51" s="285">
        <v>701000</v>
      </c>
      <c r="I51" s="285">
        <v>701000</v>
      </c>
      <c r="J51" s="285">
        <v>701000</v>
      </c>
      <c r="K51" s="285">
        <v>701000</v>
      </c>
      <c r="L51" s="285">
        <v>701000</v>
      </c>
      <c r="M51" s="285">
        <v>701000</v>
      </c>
      <c r="N51" s="285">
        <v>701000</v>
      </c>
      <c r="O51" s="1258">
        <f t="shared" si="1"/>
        <v>701000</v>
      </c>
    </row>
    <row r="52" spans="1:15">
      <c r="A52" t="s">
        <v>528</v>
      </c>
      <c r="B52" s="285">
        <v>6207000</v>
      </c>
      <c r="C52" s="285">
        <v>6208000</v>
      </c>
      <c r="D52" s="285">
        <v>6209000</v>
      </c>
      <c r="E52" s="285">
        <v>6211000</v>
      </c>
      <c r="F52" s="285">
        <v>6212000</v>
      </c>
      <c r="G52" s="285">
        <v>6214000</v>
      </c>
      <c r="H52" s="285">
        <v>6215000</v>
      </c>
      <c r="I52" s="285">
        <v>6216000</v>
      </c>
      <c r="J52" s="285">
        <v>6217000</v>
      </c>
      <c r="K52" s="285">
        <v>6219000</v>
      </c>
      <c r="L52" s="285">
        <v>6219000</v>
      </c>
      <c r="M52" s="285">
        <v>6220000</v>
      </c>
      <c r="N52" s="285">
        <v>6221000</v>
      </c>
      <c r="O52" s="1258">
        <f t="shared" si="1"/>
        <v>6214461.538461538</v>
      </c>
    </row>
    <row r="53" spans="1:15">
      <c r="A53" t="s">
        <v>529</v>
      </c>
      <c r="B53" s="285">
        <v>5697000</v>
      </c>
      <c r="C53" s="285">
        <v>5697000</v>
      </c>
      <c r="D53" s="285">
        <v>5697000</v>
      </c>
      <c r="E53" s="285">
        <v>5697000</v>
      </c>
      <c r="F53" s="285">
        <v>5697000</v>
      </c>
      <c r="G53" s="285">
        <v>5697000</v>
      </c>
      <c r="H53" s="285">
        <v>5697000</v>
      </c>
      <c r="I53" s="285">
        <v>5697000</v>
      </c>
      <c r="J53" s="285">
        <v>5697000</v>
      </c>
      <c r="K53" s="285">
        <v>5697000</v>
      </c>
      <c r="L53" s="285">
        <v>5697000</v>
      </c>
      <c r="M53" s="285">
        <v>5697000</v>
      </c>
      <c r="N53" s="285">
        <v>5697000</v>
      </c>
      <c r="O53" s="1258">
        <f t="shared" si="1"/>
        <v>5697000</v>
      </c>
    </row>
    <row r="54" spans="1:15">
      <c r="A54" t="s">
        <v>533</v>
      </c>
      <c r="B54" s="285">
        <v>568000</v>
      </c>
      <c r="C54" s="285">
        <v>568000</v>
      </c>
      <c r="D54" s="285">
        <v>568000</v>
      </c>
      <c r="E54" s="285">
        <v>568000</v>
      </c>
      <c r="F54" s="285">
        <v>568000</v>
      </c>
      <c r="G54" s="285">
        <v>568000</v>
      </c>
      <c r="H54" s="285">
        <v>568000</v>
      </c>
      <c r="I54" s="285">
        <v>568000</v>
      </c>
      <c r="J54" s="285">
        <v>568000</v>
      </c>
      <c r="K54" s="285">
        <v>568000</v>
      </c>
      <c r="L54" s="285">
        <v>568000</v>
      </c>
      <c r="M54" s="285">
        <v>568000</v>
      </c>
      <c r="N54" s="285">
        <v>568000</v>
      </c>
      <c r="O54" s="1258">
        <f t="shared" si="1"/>
        <v>568000</v>
      </c>
    </row>
    <row r="55" spans="1:15">
      <c r="A55" s="968" t="s">
        <v>1144</v>
      </c>
      <c r="B55" s="598">
        <f t="shared" ref="B55:O55" si="2">SUM(B6:B54)</f>
        <v>1904015000</v>
      </c>
      <c r="C55" s="598">
        <f t="shared" si="2"/>
        <v>1922264000</v>
      </c>
      <c r="D55" s="598">
        <f t="shared" si="2"/>
        <v>1937461000</v>
      </c>
      <c r="E55" s="598">
        <f t="shared" si="2"/>
        <v>1947168000</v>
      </c>
      <c r="F55" s="598">
        <f t="shared" si="2"/>
        <v>1952986000</v>
      </c>
      <c r="G55" s="598">
        <f t="shared" si="2"/>
        <v>1955641000</v>
      </c>
      <c r="H55" s="598">
        <f t="shared" si="2"/>
        <v>1957271000</v>
      </c>
      <c r="I55" s="598">
        <f t="shared" si="2"/>
        <v>1962859000</v>
      </c>
      <c r="J55" s="598">
        <f t="shared" si="2"/>
        <v>1985890000</v>
      </c>
      <c r="K55" s="598">
        <f t="shared" si="2"/>
        <v>1988513000</v>
      </c>
      <c r="L55" s="598">
        <f t="shared" si="2"/>
        <v>1998555000</v>
      </c>
      <c r="M55" s="598">
        <f t="shared" si="2"/>
        <v>2018741000</v>
      </c>
      <c r="N55" s="598">
        <f t="shared" si="2"/>
        <v>2062679000</v>
      </c>
      <c r="O55" s="598">
        <f t="shared" si="2"/>
        <v>1968772538.4615386</v>
      </c>
    </row>
    <row r="56" spans="1:15">
      <c r="A56" s="105"/>
      <c r="B56" s="252"/>
      <c r="C56" s="252"/>
      <c r="D56" s="252"/>
      <c r="E56" s="252"/>
      <c r="F56" s="252"/>
      <c r="G56" s="252"/>
      <c r="H56" s="252"/>
      <c r="I56" s="252"/>
      <c r="J56" s="252"/>
      <c r="K56" s="252"/>
      <c r="L56" s="252"/>
      <c r="M56" s="252"/>
      <c r="N56" s="252"/>
      <c r="O56" s="252"/>
    </row>
    <row r="57" spans="1:15">
      <c r="A57" s="968" t="s">
        <v>1164</v>
      </c>
      <c r="B57" s="598">
        <v>1558000</v>
      </c>
      <c r="C57" s="598">
        <v>1558000</v>
      </c>
      <c r="D57" s="598">
        <v>1558000</v>
      </c>
      <c r="E57" s="598">
        <v>1558000</v>
      </c>
      <c r="F57" s="598">
        <v>1558000</v>
      </c>
      <c r="G57" s="598">
        <v>1558000</v>
      </c>
      <c r="H57" s="598">
        <v>1558000</v>
      </c>
      <c r="I57" s="598">
        <v>1558000</v>
      </c>
      <c r="J57" s="598">
        <v>1558000</v>
      </c>
      <c r="K57" s="598">
        <v>1558000</v>
      </c>
      <c r="L57" s="598">
        <v>1558000</v>
      </c>
      <c r="M57" s="598">
        <v>1558000</v>
      </c>
      <c r="N57" s="598">
        <v>1891000</v>
      </c>
      <c r="O57" s="598">
        <f>AVERAGE(B57:N57)</f>
        <v>1583615.3846153845</v>
      </c>
    </row>
    <row r="58" spans="1:15">
      <c r="B58" s="1298"/>
      <c r="C58" s="1298"/>
      <c r="D58" s="1298"/>
      <c r="E58" s="1298"/>
      <c r="F58" s="1298"/>
      <c r="G58" s="1298"/>
      <c r="H58" s="1298"/>
      <c r="I58" s="1298"/>
      <c r="J58" s="1298"/>
      <c r="K58" s="1298"/>
      <c r="L58" s="1298"/>
      <c r="M58" s="1298"/>
      <c r="N58" s="1298"/>
      <c r="O58" s="1258"/>
    </row>
    <row r="59" spans="1:15">
      <c r="A59" t="s">
        <v>1149</v>
      </c>
      <c r="B59" s="285">
        <v>10000</v>
      </c>
      <c r="C59" s="285">
        <v>10000</v>
      </c>
      <c r="D59" s="285">
        <v>10000</v>
      </c>
      <c r="E59" s="285">
        <v>10000</v>
      </c>
      <c r="F59" s="285">
        <v>10000</v>
      </c>
      <c r="G59" s="285">
        <v>10000</v>
      </c>
      <c r="H59" s="285">
        <v>10000</v>
      </c>
      <c r="I59" s="285">
        <v>10000</v>
      </c>
      <c r="J59" s="285">
        <v>10000</v>
      </c>
      <c r="K59" s="285">
        <v>10000</v>
      </c>
      <c r="L59" s="285">
        <v>10000</v>
      </c>
      <c r="M59" s="285">
        <v>10000</v>
      </c>
      <c r="N59" s="285">
        <v>10000</v>
      </c>
      <c r="O59" s="1258">
        <f t="shared" ref="O59:O70" si="3">AVERAGE(B59:N59)</f>
        <v>10000</v>
      </c>
    </row>
    <row r="60" spans="1:15">
      <c r="A60" t="s">
        <v>1168</v>
      </c>
      <c r="B60" s="285">
        <v>682000</v>
      </c>
      <c r="C60" s="285">
        <v>682000</v>
      </c>
      <c r="D60" s="285">
        <v>682000</v>
      </c>
      <c r="E60" s="285">
        <v>682000</v>
      </c>
      <c r="F60" s="285">
        <v>682000</v>
      </c>
      <c r="G60" s="285">
        <v>682000</v>
      </c>
      <c r="H60" s="285">
        <v>682000</v>
      </c>
      <c r="I60" s="285">
        <v>682000</v>
      </c>
      <c r="J60" s="285">
        <v>682000</v>
      </c>
      <c r="K60" s="285">
        <v>682000</v>
      </c>
      <c r="L60" s="285">
        <v>682000</v>
      </c>
      <c r="M60" s="285">
        <v>682000</v>
      </c>
      <c r="N60" s="285">
        <v>682000</v>
      </c>
      <c r="O60" s="1258">
        <f t="shared" si="3"/>
        <v>682000</v>
      </c>
    </row>
    <row r="61" spans="1:15">
      <c r="A61" t="s">
        <v>1169</v>
      </c>
      <c r="B61" s="285">
        <v>1071000</v>
      </c>
      <c r="C61" s="285">
        <v>1071000</v>
      </c>
      <c r="D61" s="285">
        <v>1071000</v>
      </c>
      <c r="E61" s="285">
        <v>1071000</v>
      </c>
      <c r="F61" s="285">
        <v>1071000</v>
      </c>
      <c r="G61" s="285">
        <v>1071000</v>
      </c>
      <c r="H61" s="285">
        <v>1071000</v>
      </c>
      <c r="I61" s="285">
        <v>1071000</v>
      </c>
      <c r="J61" s="285">
        <v>1071000</v>
      </c>
      <c r="K61" s="285">
        <v>1071000</v>
      </c>
      <c r="L61" s="285">
        <v>1071000</v>
      </c>
      <c r="M61" s="285">
        <v>1071000</v>
      </c>
      <c r="N61" s="285">
        <v>1071000</v>
      </c>
      <c r="O61" s="1258">
        <f t="shared" si="3"/>
        <v>1071000</v>
      </c>
    </row>
    <row r="62" spans="1:15">
      <c r="A62" t="s">
        <v>489</v>
      </c>
      <c r="B62" s="285">
        <v>425000</v>
      </c>
      <c r="C62" s="285">
        <v>425000</v>
      </c>
      <c r="D62" s="285">
        <v>425000</v>
      </c>
      <c r="E62" s="285">
        <v>425000</v>
      </c>
      <c r="F62" s="285">
        <v>425000</v>
      </c>
      <c r="G62" s="285">
        <v>425000</v>
      </c>
      <c r="H62" s="285">
        <v>425000</v>
      </c>
      <c r="I62" s="285">
        <v>425000</v>
      </c>
      <c r="J62" s="285">
        <v>425000</v>
      </c>
      <c r="K62" s="285">
        <v>425000</v>
      </c>
      <c r="L62" s="285">
        <v>425000</v>
      </c>
      <c r="M62" s="285">
        <v>425000</v>
      </c>
      <c r="N62" s="285">
        <v>425000</v>
      </c>
      <c r="O62" s="1258">
        <f t="shared" si="3"/>
        <v>425000</v>
      </c>
    </row>
    <row r="63" spans="1:15">
      <c r="A63" t="s">
        <v>1141</v>
      </c>
      <c r="B63" s="285">
        <v>23685000</v>
      </c>
      <c r="C63" s="285">
        <v>23685000</v>
      </c>
      <c r="D63" s="285">
        <v>23685000</v>
      </c>
      <c r="E63" s="285">
        <v>23685000</v>
      </c>
      <c r="F63" s="285">
        <v>23685000</v>
      </c>
      <c r="G63" s="285">
        <v>23685000</v>
      </c>
      <c r="H63" s="285">
        <v>23685000</v>
      </c>
      <c r="I63" s="285">
        <v>23685000</v>
      </c>
      <c r="J63" s="285">
        <v>23685000</v>
      </c>
      <c r="K63" s="285">
        <v>23685000</v>
      </c>
      <c r="L63" s="285">
        <v>23685000</v>
      </c>
      <c r="M63" s="285">
        <v>23685000</v>
      </c>
      <c r="N63" s="285">
        <v>23653000</v>
      </c>
      <c r="O63" s="1258">
        <f t="shared" si="3"/>
        <v>23682538.46153846</v>
      </c>
    </row>
    <row r="64" spans="1:15">
      <c r="A64" t="s">
        <v>499</v>
      </c>
      <c r="B64" s="285">
        <v>14841000</v>
      </c>
      <c r="C64" s="285">
        <v>14841000</v>
      </c>
      <c r="D64" s="285">
        <v>14841000</v>
      </c>
      <c r="E64" s="285">
        <v>14841000</v>
      </c>
      <c r="F64" s="285">
        <v>14841000</v>
      </c>
      <c r="G64" s="285">
        <v>14841000</v>
      </c>
      <c r="H64" s="285">
        <v>14841000</v>
      </c>
      <c r="I64" s="285">
        <v>14841000</v>
      </c>
      <c r="J64" s="285">
        <v>14841000</v>
      </c>
      <c r="K64" s="285">
        <v>14841000</v>
      </c>
      <c r="L64" s="285">
        <v>14841000</v>
      </c>
      <c r="M64" s="285">
        <v>14841000</v>
      </c>
      <c r="N64" s="285">
        <v>16054000</v>
      </c>
      <c r="O64" s="1258">
        <f t="shared" si="3"/>
        <v>14934307.692307692</v>
      </c>
    </row>
    <row r="65" spans="1:15">
      <c r="A65" t="s">
        <v>500</v>
      </c>
      <c r="B65" s="285">
        <v>20565000</v>
      </c>
      <c r="C65" s="285">
        <v>20565000</v>
      </c>
      <c r="D65" s="285">
        <v>20565000</v>
      </c>
      <c r="E65" s="285">
        <v>20565000</v>
      </c>
      <c r="F65" s="285">
        <v>20565000</v>
      </c>
      <c r="G65" s="285">
        <v>20565000</v>
      </c>
      <c r="H65" s="285">
        <v>20565000</v>
      </c>
      <c r="I65" s="285">
        <v>20565000</v>
      </c>
      <c r="J65" s="285">
        <v>20565000</v>
      </c>
      <c r="K65" s="285">
        <v>20565000</v>
      </c>
      <c r="L65" s="285">
        <v>20565000</v>
      </c>
      <c r="M65" s="285">
        <v>20565000</v>
      </c>
      <c r="N65" s="285">
        <v>20565000</v>
      </c>
      <c r="O65" s="1258">
        <f t="shared" si="3"/>
        <v>20565000</v>
      </c>
    </row>
    <row r="66" spans="1:15">
      <c r="A66" t="s">
        <v>508</v>
      </c>
      <c r="B66" s="285">
        <v>13139000</v>
      </c>
      <c r="C66" s="285">
        <v>13139000</v>
      </c>
      <c r="D66" s="285">
        <v>13139000</v>
      </c>
      <c r="E66" s="285">
        <v>13139000</v>
      </c>
      <c r="F66" s="285">
        <v>13139000</v>
      </c>
      <c r="G66" s="285">
        <v>13139000</v>
      </c>
      <c r="H66" s="285">
        <v>13139000</v>
      </c>
      <c r="I66" s="285">
        <v>13139000</v>
      </c>
      <c r="J66" s="285">
        <v>13139000</v>
      </c>
      <c r="K66" s="285">
        <v>13139000</v>
      </c>
      <c r="L66" s="285">
        <v>13139000</v>
      </c>
      <c r="M66" s="285">
        <v>13139000</v>
      </c>
      <c r="N66" s="285">
        <v>13139000</v>
      </c>
      <c r="O66" s="1258">
        <f t="shared" si="3"/>
        <v>13139000</v>
      </c>
    </row>
    <row r="67" spans="1:15">
      <c r="A67" t="s">
        <v>509</v>
      </c>
      <c r="B67" s="285">
        <v>19771000</v>
      </c>
      <c r="C67" s="285">
        <v>19771000</v>
      </c>
      <c r="D67" s="285">
        <v>19771000</v>
      </c>
      <c r="E67" s="285">
        <v>19771000</v>
      </c>
      <c r="F67" s="285">
        <v>19771000</v>
      </c>
      <c r="G67" s="285">
        <v>19771000</v>
      </c>
      <c r="H67" s="285">
        <v>19771000</v>
      </c>
      <c r="I67" s="285">
        <v>19771000</v>
      </c>
      <c r="J67" s="285">
        <v>19771000</v>
      </c>
      <c r="K67" s="285">
        <v>19771000</v>
      </c>
      <c r="L67" s="285">
        <v>19771000</v>
      </c>
      <c r="M67" s="285">
        <v>19771000</v>
      </c>
      <c r="N67" s="285">
        <v>19771000</v>
      </c>
      <c r="O67" s="1258">
        <f t="shared" si="3"/>
        <v>19771000</v>
      </c>
    </row>
    <row r="68" spans="1:15">
      <c r="A68" t="s">
        <v>1348</v>
      </c>
      <c r="B68" s="285">
        <v>0</v>
      </c>
      <c r="C68" s="285">
        <v>0</v>
      </c>
      <c r="D68" s="285">
        <v>0</v>
      </c>
      <c r="E68" s="285">
        <v>0</v>
      </c>
      <c r="F68" s="285">
        <v>0</v>
      </c>
      <c r="G68" s="285">
        <v>0</v>
      </c>
      <c r="H68" s="285">
        <v>0</v>
      </c>
      <c r="I68" s="285">
        <v>0</v>
      </c>
      <c r="J68" s="285">
        <v>0</v>
      </c>
      <c r="K68" s="285">
        <v>0</v>
      </c>
      <c r="L68" s="285">
        <v>0</v>
      </c>
      <c r="M68" s="285">
        <v>0</v>
      </c>
      <c r="N68" s="285">
        <v>1213000</v>
      </c>
      <c r="O68" s="1258">
        <f t="shared" si="3"/>
        <v>93307.692307692312</v>
      </c>
    </row>
    <row r="69" spans="1:15">
      <c r="A69" t="s">
        <v>531</v>
      </c>
      <c r="B69" s="285">
        <v>114000</v>
      </c>
      <c r="C69" s="285">
        <v>114000</v>
      </c>
      <c r="D69" s="285">
        <v>114000</v>
      </c>
      <c r="E69" s="285">
        <v>114000</v>
      </c>
      <c r="F69" s="285">
        <v>114000</v>
      </c>
      <c r="G69" s="285">
        <v>114000</v>
      </c>
      <c r="H69" s="285">
        <v>114000</v>
      </c>
      <c r="I69" s="285">
        <v>114000</v>
      </c>
      <c r="J69" s="285">
        <v>114000</v>
      </c>
      <c r="K69" s="285">
        <v>114000</v>
      </c>
      <c r="L69" s="285">
        <v>114000</v>
      </c>
      <c r="M69" s="285">
        <v>114000</v>
      </c>
      <c r="N69" s="285">
        <v>114000</v>
      </c>
      <c r="O69" s="1258">
        <f t="shared" si="3"/>
        <v>114000</v>
      </c>
    </row>
    <row r="70" spans="1:15">
      <c r="A70" t="s">
        <v>532</v>
      </c>
      <c r="B70" s="285">
        <v>331000</v>
      </c>
      <c r="C70" s="285">
        <v>331000</v>
      </c>
      <c r="D70" s="285">
        <v>331000</v>
      </c>
      <c r="E70" s="285">
        <v>331000</v>
      </c>
      <c r="F70" s="285">
        <v>331000</v>
      </c>
      <c r="G70" s="285">
        <v>331000</v>
      </c>
      <c r="H70" s="285">
        <v>331000</v>
      </c>
      <c r="I70" s="285">
        <v>331000</v>
      </c>
      <c r="J70" s="285">
        <v>331000</v>
      </c>
      <c r="K70" s="285">
        <v>331000</v>
      </c>
      <c r="L70" s="285">
        <v>331000</v>
      </c>
      <c r="M70" s="285">
        <v>331000</v>
      </c>
      <c r="N70" s="285">
        <v>331000</v>
      </c>
      <c r="O70" s="1258">
        <f t="shared" si="3"/>
        <v>331000</v>
      </c>
    </row>
    <row r="71" spans="1:15">
      <c r="A71" s="968" t="s">
        <v>1150</v>
      </c>
      <c r="B71" s="598">
        <f>SUM(B59:B70)</f>
        <v>94634000</v>
      </c>
      <c r="C71" s="598">
        <f t="shared" ref="C71:N71" si="4">SUM(C59:C70)</f>
        <v>94634000</v>
      </c>
      <c r="D71" s="598">
        <f t="shared" si="4"/>
        <v>94634000</v>
      </c>
      <c r="E71" s="598">
        <f t="shared" si="4"/>
        <v>94634000</v>
      </c>
      <c r="F71" s="598">
        <f t="shared" si="4"/>
        <v>94634000</v>
      </c>
      <c r="G71" s="598">
        <f t="shared" si="4"/>
        <v>94634000</v>
      </c>
      <c r="H71" s="598">
        <f t="shared" si="4"/>
        <v>94634000</v>
      </c>
      <c r="I71" s="598">
        <f t="shared" si="4"/>
        <v>94634000</v>
      </c>
      <c r="J71" s="598">
        <f t="shared" si="4"/>
        <v>94634000</v>
      </c>
      <c r="K71" s="598">
        <f t="shared" si="4"/>
        <v>94634000</v>
      </c>
      <c r="L71" s="598">
        <f t="shared" si="4"/>
        <v>94634000</v>
      </c>
      <c r="M71" s="598">
        <f t="shared" si="4"/>
        <v>94634000</v>
      </c>
      <c r="N71" s="598">
        <f t="shared" si="4"/>
        <v>97028000</v>
      </c>
      <c r="O71" s="598">
        <f>SUM(O59:O70)</f>
        <v>94818153.84615384</v>
      </c>
    </row>
    <row r="72" spans="1:15">
      <c r="B72" s="1296"/>
      <c r="C72" s="1296"/>
      <c r="D72" s="1296"/>
      <c r="E72" s="1296"/>
      <c r="F72" s="1296"/>
      <c r="G72" s="1296"/>
      <c r="H72" s="1296"/>
      <c r="I72" s="1296"/>
      <c r="J72" s="1296"/>
      <c r="K72" s="1296"/>
      <c r="L72" s="1296"/>
      <c r="M72" s="1296"/>
      <c r="N72" s="1296"/>
      <c r="O72" s="1258"/>
    </row>
    <row r="73" spans="1:15">
      <c r="A73" t="s">
        <v>1151</v>
      </c>
      <c r="B73" s="285">
        <v>1781000</v>
      </c>
      <c r="C73" s="285">
        <v>1781000</v>
      </c>
      <c r="D73" s="285">
        <v>1781000</v>
      </c>
      <c r="E73" s="285">
        <v>1781000</v>
      </c>
      <c r="F73" s="285">
        <v>1781000</v>
      </c>
      <c r="G73" s="285">
        <v>1781000</v>
      </c>
      <c r="H73" s="285">
        <v>1781000</v>
      </c>
      <c r="I73" s="285">
        <v>1781000</v>
      </c>
      <c r="J73" s="285">
        <v>1781000</v>
      </c>
      <c r="K73" s="285">
        <v>1781000</v>
      </c>
      <c r="L73" s="285">
        <v>1781000</v>
      </c>
      <c r="M73" s="285">
        <v>1781000</v>
      </c>
      <c r="N73" s="285">
        <v>1781000</v>
      </c>
      <c r="O73" s="1258">
        <f t="shared" ref="O73:O79" si="5">AVERAGE(B73:N73)</f>
        <v>1781000</v>
      </c>
    </row>
    <row r="74" spans="1:15">
      <c r="A74" t="s">
        <v>488</v>
      </c>
      <c r="B74" s="285">
        <v>1276000</v>
      </c>
      <c r="C74" s="285">
        <v>1276000</v>
      </c>
      <c r="D74" s="285">
        <v>1276000</v>
      </c>
      <c r="E74" s="285">
        <v>1276000</v>
      </c>
      <c r="F74" s="285">
        <v>1276000</v>
      </c>
      <c r="G74" s="285">
        <v>1276000</v>
      </c>
      <c r="H74" s="285">
        <v>1276000</v>
      </c>
      <c r="I74" s="285">
        <v>1276000</v>
      </c>
      <c r="J74" s="285">
        <v>1276000</v>
      </c>
      <c r="K74" s="285">
        <v>1276000</v>
      </c>
      <c r="L74" s="285">
        <v>1276000</v>
      </c>
      <c r="M74" s="285">
        <v>1276000</v>
      </c>
      <c r="N74" s="285">
        <v>1276000</v>
      </c>
      <c r="O74" s="1258">
        <f t="shared" si="5"/>
        <v>1276000</v>
      </c>
    </row>
    <row r="75" spans="1:15">
      <c r="A75" t="s">
        <v>492</v>
      </c>
      <c r="B75" s="285">
        <v>43224000</v>
      </c>
      <c r="C75" s="285">
        <v>43224000</v>
      </c>
      <c r="D75" s="285">
        <v>43224000</v>
      </c>
      <c r="E75" s="285">
        <v>43224000</v>
      </c>
      <c r="F75" s="285">
        <v>43224000</v>
      </c>
      <c r="G75" s="285">
        <v>43224000</v>
      </c>
      <c r="H75" s="285">
        <v>43224000</v>
      </c>
      <c r="I75" s="285">
        <v>43224000</v>
      </c>
      <c r="J75" s="285">
        <v>43224000</v>
      </c>
      <c r="K75" s="285">
        <v>43224000</v>
      </c>
      <c r="L75" s="285">
        <v>43224000</v>
      </c>
      <c r="M75" s="285">
        <v>43224000</v>
      </c>
      <c r="N75" s="285">
        <v>44590000</v>
      </c>
      <c r="O75" s="1258">
        <f t="shared" si="5"/>
        <v>43329076.92307692</v>
      </c>
    </row>
    <row r="76" spans="1:15">
      <c r="A76" t="s">
        <v>498</v>
      </c>
      <c r="B76" s="285">
        <v>22956000</v>
      </c>
      <c r="C76" s="285">
        <v>22956000</v>
      </c>
      <c r="D76" s="285">
        <v>22956000</v>
      </c>
      <c r="E76" s="285">
        <v>22956000</v>
      </c>
      <c r="F76" s="285">
        <v>22956000</v>
      </c>
      <c r="G76" s="285">
        <v>22956000</v>
      </c>
      <c r="H76" s="285">
        <v>22956000</v>
      </c>
      <c r="I76" s="285">
        <v>22956000</v>
      </c>
      <c r="J76" s="285">
        <v>22956000</v>
      </c>
      <c r="K76" s="285">
        <v>22956000</v>
      </c>
      <c r="L76" s="285">
        <v>22956000</v>
      </c>
      <c r="M76" s="285">
        <v>22956000</v>
      </c>
      <c r="N76" s="285">
        <v>22956000</v>
      </c>
      <c r="O76" s="1258">
        <f t="shared" si="5"/>
        <v>22956000</v>
      </c>
    </row>
    <row r="77" spans="1:15">
      <c r="A77" t="s">
        <v>504</v>
      </c>
      <c r="B77" s="285">
        <v>204000</v>
      </c>
      <c r="C77" s="285">
        <v>204000</v>
      </c>
      <c r="D77" s="285">
        <v>204000</v>
      </c>
      <c r="E77" s="285">
        <v>204000</v>
      </c>
      <c r="F77" s="285">
        <v>204000</v>
      </c>
      <c r="G77" s="285">
        <v>204000</v>
      </c>
      <c r="H77" s="285">
        <v>204000</v>
      </c>
      <c r="I77" s="285">
        <v>204000</v>
      </c>
      <c r="J77" s="285">
        <v>204000</v>
      </c>
      <c r="K77" s="285">
        <v>204000</v>
      </c>
      <c r="L77" s="285">
        <v>204000</v>
      </c>
      <c r="M77" s="285">
        <v>204000</v>
      </c>
      <c r="N77" s="285">
        <v>1570000</v>
      </c>
      <c r="O77" s="1258">
        <f t="shared" si="5"/>
        <v>309076.92307692306</v>
      </c>
    </row>
    <row r="78" spans="1:15">
      <c r="A78" t="s">
        <v>507</v>
      </c>
      <c r="B78" s="285">
        <v>24709000</v>
      </c>
      <c r="C78" s="285">
        <v>24709000</v>
      </c>
      <c r="D78" s="285">
        <v>24709000</v>
      </c>
      <c r="E78" s="285">
        <v>24709000</v>
      </c>
      <c r="F78" s="285">
        <v>24709000</v>
      </c>
      <c r="G78" s="285">
        <v>24709000</v>
      </c>
      <c r="H78" s="285">
        <v>24709000</v>
      </c>
      <c r="I78" s="285">
        <v>24709000</v>
      </c>
      <c r="J78" s="285">
        <v>24709000</v>
      </c>
      <c r="K78" s="285">
        <v>24709000</v>
      </c>
      <c r="L78" s="285">
        <v>24709000</v>
      </c>
      <c r="M78" s="285">
        <v>24709000</v>
      </c>
      <c r="N78" s="285">
        <v>24709000</v>
      </c>
      <c r="O78" s="1258">
        <f t="shared" si="5"/>
        <v>24709000</v>
      </c>
    </row>
    <row r="79" spans="1:15">
      <c r="A79" t="s">
        <v>530</v>
      </c>
      <c r="B79" s="285">
        <v>653000</v>
      </c>
      <c r="C79" s="285">
        <v>653000</v>
      </c>
      <c r="D79" s="285">
        <v>653000</v>
      </c>
      <c r="E79" s="285">
        <v>653000</v>
      </c>
      <c r="F79" s="285">
        <v>653000</v>
      </c>
      <c r="G79" s="285">
        <v>653000</v>
      </c>
      <c r="H79" s="285">
        <v>653000</v>
      </c>
      <c r="I79" s="285">
        <v>653000</v>
      </c>
      <c r="J79" s="285">
        <v>653000</v>
      </c>
      <c r="K79" s="285">
        <v>653000</v>
      </c>
      <c r="L79" s="285">
        <v>653000</v>
      </c>
      <c r="M79" s="285">
        <v>653000</v>
      </c>
      <c r="N79" s="285">
        <v>653000</v>
      </c>
      <c r="O79" s="1258">
        <f t="shared" si="5"/>
        <v>653000</v>
      </c>
    </row>
    <row r="80" spans="1:15">
      <c r="A80" s="968" t="s">
        <v>1132</v>
      </c>
      <c r="B80" s="1299">
        <f>SUM(B73:B79)</f>
        <v>94803000</v>
      </c>
      <c r="C80" s="1299">
        <f t="shared" ref="C80:O80" si="6">SUM(C73:C79)</f>
        <v>94803000</v>
      </c>
      <c r="D80" s="1299">
        <f t="shared" si="6"/>
        <v>94803000</v>
      </c>
      <c r="E80" s="1299">
        <f t="shared" si="6"/>
        <v>94803000</v>
      </c>
      <c r="F80" s="1299">
        <f t="shared" si="6"/>
        <v>94803000</v>
      </c>
      <c r="G80" s="1299">
        <f t="shared" si="6"/>
        <v>94803000</v>
      </c>
      <c r="H80" s="1299">
        <f t="shared" si="6"/>
        <v>94803000</v>
      </c>
      <c r="I80" s="1299">
        <f t="shared" si="6"/>
        <v>94803000</v>
      </c>
      <c r="J80" s="1299">
        <f t="shared" si="6"/>
        <v>94803000</v>
      </c>
      <c r="K80" s="1299">
        <f t="shared" si="6"/>
        <v>94803000</v>
      </c>
      <c r="L80" s="1299">
        <f t="shared" si="6"/>
        <v>94803000</v>
      </c>
      <c r="M80" s="1299">
        <f t="shared" si="6"/>
        <v>94803000</v>
      </c>
      <c r="N80" s="1299">
        <f>SUM(N73:N79)</f>
        <v>97535000</v>
      </c>
      <c r="O80" s="1299">
        <f t="shared" si="6"/>
        <v>95013153.846153855</v>
      </c>
    </row>
    <row r="81" spans="1:15">
      <c r="A81" s="105"/>
      <c r="B81" s="447"/>
      <c r="C81" s="447"/>
      <c r="D81" s="447"/>
      <c r="E81" s="447"/>
      <c r="F81" s="447"/>
      <c r="G81" s="447"/>
      <c r="H81" s="447"/>
      <c r="I81" s="447"/>
      <c r="J81" s="447"/>
      <c r="K81" s="447"/>
      <c r="L81" s="447"/>
      <c r="M81" s="447"/>
      <c r="N81" s="447"/>
      <c r="O81" s="447"/>
    </row>
    <row r="82" spans="1:15">
      <c r="A82" t="s">
        <v>1030</v>
      </c>
      <c r="B82" s="285">
        <v>2000</v>
      </c>
      <c r="C82" s="285">
        <v>2000</v>
      </c>
      <c r="D82" s="285">
        <v>2000</v>
      </c>
      <c r="E82" s="285">
        <v>2000</v>
      </c>
      <c r="F82" s="285">
        <v>2000</v>
      </c>
      <c r="G82" s="285">
        <v>2000</v>
      </c>
      <c r="H82" s="285">
        <v>2000</v>
      </c>
      <c r="I82" s="285">
        <v>2000</v>
      </c>
      <c r="J82" s="285">
        <v>2000</v>
      </c>
      <c r="K82" s="285">
        <v>2000</v>
      </c>
      <c r="L82" s="285">
        <v>2000</v>
      </c>
      <c r="M82" s="285">
        <v>2000</v>
      </c>
      <c r="N82" s="285">
        <v>2000</v>
      </c>
      <c r="O82" s="1258">
        <f t="shared" ref="O82:O114" si="7">AVERAGE(B82:N82)</f>
        <v>2000</v>
      </c>
    </row>
    <row r="83" spans="1:15">
      <c r="A83" t="s">
        <v>1031</v>
      </c>
      <c r="B83" s="285">
        <v>29000</v>
      </c>
      <c r="C83" s="285">
        <v>29000</v>
      </c>
      <c r="D83" s="285">
        <v>29000</v>
      </c>
      <c r="E83" s="285">
        <v>29000</v>
      </c>
      <c r="F83" s="285">
        <v>29000</v>
      </c>
      <c r="G83" s="285">
        <v>29000</v>
      </c>
      <c r="H83" s="285">
        <v>29000</v>
      </c>
      <c r="I83" s="285">
        <v>29000</v>
      </c>
      <c r="J83" s="285">
        <v>29000</v>
      </c>
      <c r="K83" s="285">
        <v>29000</v>
      </c>
      <c r="L83" s="285">
        <v>29000</v>
      </c>
      <c r="M83" s="285">
        <v>29000</v>
      </c>
      <c r="N83" s="285">
        <v>29000</v>
      </c>
      <c r="O83" s="1258">
        <f t="shared" si="7"/>
        <v>29000</v>
      </c>
    </row>
    <row r="84" spans="1:15">
      <c r="A84" t="s">
        <v>1032</v>
      </c>
      <c r="B84" s="285">
        <v>132000</v>
      </c>
      <c r="C84" s="285">
        <v>132000</v>
      </c>
      <c r="D84" s="285">
        <v>132000</v>
      </c>
      <c r="E84" s="285">
        <v>132000</v>
      </c>
      <c r="F84" s="285">
        <v>132000</v>
      </c>
      <c r="G84" s="285">
        <v>132000</v>
      </c>
      <c r="H84" s="285">
        <v>132000</v>
      </c>
      <c r="I84" s="285">
        <v>132000</v>
      </c>
      <c r="J84" s="285">
        <v>132000</v>
      </c>
      <c r="K84" s="285">
        <v>132000</v>
      </c>
      <c r="L84" s="285">
        <v>132000</v>
      </c>
      <c r="M84" s="285">
        <v>132000</v>
      </c>
      <c r="N84" s="285">
        <v>132000</v>
      </c>
      <c r="O84" s="1258">
        <f t="shared" si="7"/>
        <v>132000</v>
      </c>
    </row>
    <row r="85" spans="1:15">
      <c r="A85" t="s">
        <v>1033</v>
      </c>
      <c r="B85" s="285">
        <v>1000</v>
      </c>
      <c r="C85" s="285">
        <v>1000</v>
      </c>
      <c r="D85" s="285">
        <v>1000</v>
      </c>
      <c r="E85" s="285">
        <v>1000</v>
      </c>
      <c r="F85" s="285">
        <v>1000</v>
      </c>
      <c r="G85" s="285">
        <v>1000</v>
      </c>
      <c r="H85" s="285">
        <v>1000</v>
      </c>
      <c r="I85" s="285">
        <v>1000</v>
      </c>
      <c r="J85" s="285">
        <v>1000</v>
      </c>
      <c r="K85" s="285">
        <v>1000</v>
      </c>
      <c r="L85" s="285">
        <v>1000</v>
      </c>
      <c r="M85" s="285">
        <v>1000</v>
      </c>
      <c r="N85" s="285">
        <v>1000</v>
      </c>
      <c r="O85" s="1258">
        <f t="shared" si="7"/>
        <v>1000</v>
      </c>
    </row>
    <row r="86" spans="1:15">
      <c r="A86" t="s">
        <v>1034</v>
      </c>
      <c r="B86" s="285">
        <v>7000</v>
      </c>
      <c r="C86" s="285">
        <v>7000</v>
      </c>
      <c r="D86" s="285">
        <v>7000</v>
      </c>
      <c r="E86" s="285">
        <v>7000</v>
      </c>
      <c r="F86" s="285">
        <v>7000</v>
      </c>
      <c r="G86" s="285">
        <v>7000</v>
      </c>
      <c r="H86" s="285">
        <v>7000</v>
      </c>
      <c r="I86" s="285">
        <v>7000</v>
      </c>
      <c r="J86" s="285">
        <v>7000</v>
      </c>
      <c r="K86" s="285">
        <v>7000</v>
      </c>
      <c r="L86" s="285">
        <v>7000</v>
      </c>
      <c r="M86" s="285">
        <v>7000</v>
      </c>
      <c r="N86" s="285">
        <v>7000</v>
      </c>
      <c r="O86" s="1258">
        <f t="shared" si="7"/>
        <v>7000</v>
      </c>
    </row>
    <row r="87" spans="1:15">
      <c r="A87" t="s">
        <v>1117</v>
      </c>
      <c r="B87" s="285">
        <v>40000</v>
      </c>
      <c r="C87" s="285">
        <v>40000</v>
      </c>
      <c r="D87" s="285">
        <v>40000</v>
      </c>
      <c r="E87" s="285">
        <v>40000</v>
      </c>
      <c r="F87" s="285">
        <v>40000</v>
      </c>
      <c r="G87" s="285">
        <v>40000</v>
      </c>
      <c r="H87" s="285">
        <v>40000</v>
      </c>
      <c r="I87" s="285">
        <v>40000</v>
      </c>
      <c r="J87" s="285">
        <v>40000</v>
      </c>
      <c r="K87" s="285">
        <v>40000</v>
      </c>
      <c r="L87" s="285">
        <v>40000</v>
      </c>
      <c r="M87" s="285">
        <v>40000</v>
      </c>
      <c r="N87" s="285">
        <v>40000</v>
      </c>
      <c r="O87" s="1258">
        <f t="shared" si="7"/>
        <v>40000</v>
      </c>
    </row>
    <row r="88" spans="1:15">
      <c r="A88" t="s">
        <v>1070</v>
      </c>
      <c r="B88" s="285">
        <v>1684000</v>
      </c>
      <c r="C88" s="285">
        <v>1684000</v>
      </c>
      <c r="D88" s="285">
        <v>1684000</v>
      </c>
      <c r="E88" s="285">
        <v>1684000</v>
      </c>
      <c r="F88" s="285">
        <v>1684000</v>
      </c>
      <c r="G88" s="285">
        <v>1684000</v>
      </c>
      <c r="H88" s="285">
        <v>1684000</v>
      </c>
      <c r="I88" s="285">
        <v>1684000</v>
      </c>
      <c r="J88" s="285">
        <v>1684000</v>
      </c>
      <c r="K88" s="285">
        <v>1684000</v>
      </c>
      <c r="L88" s="285">
        <v>1684000</v>
      </c>
      <c r="M88" s="285">
        <v>1684000</v>
      </c>
      <c r="N88" s="285">
        <v>1684000</v>
      </c>
      <c r="O88" s="1258">
        <f t="shared" si="7"/>
        <v>1684000</v>
      </c>
    </row>
    <row r="89" spans="1:15">
      <c r="A89" t="s">
        <v>1035</v>
      </c>
      <c r="B89" s="285">
        <v>153000</v>
      </c>
      <c r="C89" s="285">
        <v>153000</v>
      </c>
      <c r="D89" s="285">
        <v>153000</v>
      </c>
      <c r="E89" s="285">
        <v>153000</v>
      </c>
      <c r="F89" s="285">
        <v>153000</v>
      </c>
      <c r="G89" s="285">
        <v>153000</v>
      </c>
      <c r="H89" s="285">
        <v>153000</v>
      </c>
      <c r="I89" s="285">
        <v>153000</v>
      </c>
      <c r="J89" s="285">
        <v>153000</v>
      </c>
      <c r="K89" s="285">
        <v>153000</v>
      </c>
      <c r="L89" s="285">
        <v>153000</v>
      </c>
      <c r="M89" s="285">
        <v>153000</v>
      </c>
      <c r="N89" s="285">
        <v>153000</v>
      </c>
      <c r="O89" s="1258">
        <f t="shared" si="7"/>
        <v>153000</v>
      </c>
    </row>
    <row r="90" spans="1:15">
      <c r="A90" t="s">
        <v>1036</v>
      </c>
      <c r="B90" s="285">
        <v>79000</v>
      </c>
      <c r="C90" s="285">
        <v>79000</v>
      </c>
      <c r="D90" s="285">
        <v>79000</v>
      </c>
      <c r="E90" s="285">
        <v>79000</v>
      </c>
      <c r="F90" s="285">
        <v>79000</v>
      </c>
      <c r="G90" s="285">
        <v>79000</v>
      </c>
      <c r="H90" s="285">
        <v>79000</v>
      </c>
      <c r="I90" s="285">
        <v>79000</v>
      </c>
      <c r="J90" s="285">
        <v>79000</v>
      </c>
      <c r="K90" s="285">
        <v>79000</v>
      </c>
      <c r="L90" s="285">
        <v>79000</v>
      </c>
      <c r="M90" s="285">
        <v>79000</v>
      </c>
      <c r="N90" s="285">
        <v>79000</v>
      </c>
      <c r="O90" s="1258">
        <f t="shared" si="7"/>
        <v>79000</v>
      </c>
    </row>
    <row r="91" spans="1:15">
      <c r="A91" t="s">
        <v>1037</v>
      </c>
      <c r="B91" s="285">
        <v>405000</v>
      </c>
      <c r="C91" s="285">
        <v>405000</v>
      </c>
      <c r="D91" s="285">
        <v>405000</v>
      </c>
      <c r="E91" s="285">
        <v>405000</v>
      </c>
      <c r="F91" s="285">
        <v>405000</v>
      </c>
      <c r="G91" s="285">
        <v>405000</v>
      </c>
      <c r="H91" s="285">
        <v>405000</v>
      </c>
      <c r="I91" s="285">
        <v>405000</v>
      </c>
      <c r="J91" s="285">
        <v>405000</v>
      </c>
      <c r="K91" s="285">
        <v>405000</v>
      </c>
      <c r="L91" s="285">
        <v>405000</v>
      </c>
      <c r="M91" s="285">
        <v>405000</v>
      </c>
      <c r="N91" s="285">
        <v>405000</v>
      </c>
      <c r="O91" s="1258">
        <f t="shared" si="7"/>
        <v>405000</v>
      </c>
    </row>
    <row r="92" spans="1:15">
      <c r="A92" t="s">
        <v>1038</v>
      </c>
      <c r="B92" s="285">
        <v>144000</v>
      </c>
      <c r="C92" s="285">
        <v>144000</v>
      </c>
      <c r="D92" s="285">
        <v>144000</v>
      </c>
      <c r="E92" s="285">
        <v>144000</v>
      </c>
      <c r="F92" s="285">
        <v>144000</v>
      </c>
      <c r="G92" s="285">
        <v>144000</v>
      </c>
      <c r="H92" s="285">
        <v>144000</v>
      </c>
      <c r="I92" s="285">
        <v>144000</v>
      </c>
      <c r="J92" s="285">
        <v>144000</v>
      </c>
      <c r="K92" s="285">
        <v>144000</v>
      </c>
      <c r="L92" s="285">
        <v>144000</v>
      </c>
      <c r="M92" s="285">
        <v>144000</v>
      </c>
      <c r="N92" s="285">
        <v>144000</v>
      </c>
      <c r="O92" s="1258">
        <f t="shared" si="7"/>
        <v>144000</v>
      </c>
    </row>
    <row r="93" spans="1:15">
      <c r="A93" t="s">
        <v>1039</v>
      </c>
      <c r="B93" s="285">
        <v>377000</v>
      </c>
      <c r="C93" s="285">
        <v>378000</v>
      </c>
      <c r="D93" s="285">
        <v>379000</v>
      </c>
      <c r="E93" s="285">
        <v>380000</v>
      </c>
      <c r="F93" s="285">
        <v>380000</v>
      </c>
      <c r="G93" s="285">
        <v>381000</v>
      </c>
      <c r="H93" s="285">
        <v>381000</v>
      </c>
      <c r="I93" s="285">
        <v>381000</v>
      </c>
      <c r="J93" s="285">
        <v>381000</v>
      </c>
      <c r="K93" s="285">
        <v>382000</v>
      </c>
      <c r="L93" s="285">
        <v>382000</v>
      </c>
      <c r="M93" s="285">
        <v>382000</v>
      </c>
      <c r="N93" s="285">
        <v>382000</v>
      </c>
      <c r="O93" s="1258">
        <f t="shared" si="7"/>
        <v>380461.53846153844</v>
      </c>
    </row>
    <row r="94" spans="1:15">
      <c r="A94" t="s">
        <v>1349</v>
      </c>
      <c r="B94" s="285">
        <v>0</v>
      </c>
      <c r="C94" s="285">
        <v>0</v>
      </c>
      <c r="D94" s="285">
        <v>0</v>
      </c>
      <c r="E94" s="285">
        <v>0</v>
      </c>
      <c r="F94" s="285">
        <v>0</v>
      </c>
      <c r="G94" s="285">
        <v>0</v>
      </c>
      <c r="H94" s="285">
        <v>0</v>
      </c>
      <c r="I94" s="285">
        <v>0</v>
      </c>
      <c r="J94" s="285">
        <v>23071000</v>
      </c>
      <c r="K94" s="285">
        <v>23062000</v>
      </c>
      <c r="L94" s="285">
        <v>23062000</v>
      </c>
      <c r="M94" s="285">
        <v>23070000</v>
      </c>
      <c r="N94" s="285">
        <v>23048000</v>
      </c>
      <c r="O94" s="1258">
        <f t="shared" si="7"/>
        <v>8870230.7692307699</v>
      </c>
    </row>
    <row r="95" spans="1:15">
      <c r="A95" t="s">
        <v>1040</v>
      </c>
      <c r="B95" s="285">
        <v>112000</v>
      </c>
      <c r="C95" s="285">
        <v>112000</v>
      </c>
      <c r="D95" s="285">
        <v>112000</v>
      </c>
      <c r="E95" s="285">
        <v>112000</v>
      </c>
      <c r="F95" s="285">
        <v>112000</v>
      </c>
      <c r="G95" s="285">
        <v>112000</v>
      </c>
      <c r="H95" s="285">
        <v>112000</v>
      </c>
      <c r="I95" s="285">
        <v>112000</v>
      </c>
      <c r="J95" s="285">
        <v>112000</v>
      </c>
      <c r="K95" s="285">
        <v>112000</v>
      </c>
      <c r="L95" s="285">
        <v>112000</v>
      </c>
      <c r="M95" s="285">
        <v>112000</v>
      </c>
      <c r="N95" s="285">
        <v>112000</v>
      </c>
      <c r="O95" s="1258">
        <f t="shared" si="7"/>
        <v>112000</v>
      </c>
    </row>
    <row r="96" spans="1:15">
      <c r="A96" t="s">
        <v>1041</v>
      </c>
      <c r="B96" s="285">
        <v>5413000</v>
      </c>
      <c r="C96" s="285">
        <v>5413000</v>
      </c>
      <c r="D96" s="285">
        <v>5413000</v>
      </c>
      <c r="E96" s="285">
        <v>4060000</v>
      </c>
      <c r="F96" s="285">
        <v>4060000</v>
      </c>
      <c r="G96" s="285">
        <v>4060000</v>
      </c>
      <c r="H96" s="285">
        <v>4060000</v>
      </c>
      <c r="I96" s="285">
        <v>4060000</v>
      </c>
      <c r="J96" s="285">
        <v>4060000</v>
      </c>
      <c r="K96" s="285">
        <v>4060000</v>
      </c>
      <c r="L96" s="285">
        <v>4060000</v>
      </c>
      <c r="M96" s="285">
        <v>4060000</v>
      </c>
      <c r="N96" s="285">
        <v>4060000</v>
      </c>
      <c r="O96" s="1258">
        <f t="shared" si="7"/>
        <v>4372230.769230769</v>
      </c>
    </row>
    <row r="97" spans="1:15">
      <c r="A97" t="s">
        <v>1059</v>
      </c>
      <c r="B97" s="285">
        <v>5619000</v>
      </c>
      <c r="C97" s="285">
        <v>5619000</v>
      </c>
      <c r="D97" s="285">
        <v>5619000</v>
      </c>
      <c r="E97" s="285">
        <v>5619000</v>
      </c>
      <c r="F97" s="285">
        <v>5619000</v>
      </c>
      <c r="G97" s="285">
        <v>5619000</v>
      </c>
      <c r="H97" s="285">
        <v>5619000</v>
      </c>
      <c r="I97" s="285">
        <v>5619000</v>
      </c>
      <c r="J97" s="285">
        <v>5619000</v>
      </c>
      <c r="K97" s="285">
        <v>5619000</v>
      </c>
      <c r="L97" s="285">
        <v>5619000</v>
      </c>
      <c r="M97" s="285">
        <v>5619000</v>
      </c>
      <c r="N97" s="285">
        <v>5619000</v>
      </c>
      <c r="O97" s="1258">
        <f t="shared" si="7"/>
        <v>5619000</v>
      </c>
    </row>
    <row r="98" spans="1:15">
      <c r="A98" t="s">
        <v>1157</v>
      </c>
      <c r="B98" s="285">
        <v>5035000</v>
      </c>
      <c r="C98" s="285">
        <v>5035000</v>
      </c>
      <c r="D98" s="285">
        <v>5035000</v>
      </c>
      <c r="E98" s="285">
        <v>5035000</v>
      </c>
      <c r="F98" s="285">
        <v>5035000</v>
      </c>
      <c r="G98" s="285">
        <v>5035000</v>
      </c>
      <c r="H98" s="285">
        <v>5035000</v>
      </c>
      <c r="I98" s="285">
        <v>5035000</v>
      </c>
      <c r="J98" s="285">
        <v>5035000</v>
      </c>
      <c r="K98" s="285">
        <v>5035000</v>
      </c>
      <c r="L98" s="285">
        <v>5035000</v>
      </c>
      <c r="M98" s="285">
        <v>5035000</v>
      </c>
      <c r="N98" s="285">
        <v>5035000</v>
      </c>
      <c r="O98" s="1258">
        <f t="shared" si="7"/>
        <v>5035000</v>
      </c>
    </row>
    <row r="99" spans="1:15">
      <c r="A99" t="s">
        <v>1042</v>
      </c>
      <c r="B99" s="285">
        <v>3189000</v>
      </c>
      <c r="C99" s="285">
        <v>3189000</v>
      </c>
      <c r="D99" s="285">
        <v>3189000</v>
      </c>
      <c r="E99" s="285">
        <v>3189000</v>
      </c>
      <c r="F99" s="285">
        <v>3189000</v>
      </c>
      <c r="G99" s="285">
        <v>3189000</v>
      </c>
      <c r="H99" s="285">
        <v>3189000</v>
      </c>
      <c r="I99" s="285">
        <v>3189000</v>
      </c>
      <c r="J99" s="285">
        <v>3189000</v>
      </c>
      <c r="K99" s="285">
        <v>3189000</v>
      </c>
      <c r="L99" s="285">
        <v>3189000</v>
      </c>
      <c r="M99" s="285">
        <v>3189000</v>
      </c>
      <c r="N99" s="285">
        <v>3189000</v>
      </c>
      <c r="O99" s="1258">
        <f t="shared" si="7"/>
        <v>3189000</v>
      </c>
    </row>
    <row r="100" spans="1:15">
      <c r="A100" t="s">
        <v>1043</v>
      </c>
      <c r="B100" s="285">
        <v>3815000</v>
      </c>
      <c r="C100" s="285">
        <v>3815000</v>
      </c>
      <c r="D100" s="285">
        <v>3815000</v>
      </c>
      <c r="E100" s="285">
        <v>3815000</v>
      </c>
      <c r="F100" s="285">
        <v>3815000</v>
      </c>
      <c r="G100" s="285">
        <v>3815000</v>
      </c>
      <c r="H100" s="285">
        <v>3815000</v>
      </c>
      <c r="I100" s="285">
        <v>3815000</v>
      </c>
      <c r="J100" s="285">
        <v>3815000</v>
      </c>
      <c r="K100" s="285">
        <v>3815000</v>
      </c>
      <c r="L100" s="285">
        <v>3815000</v>
      </c>
      <c r="M100" s="285">
        <v>3815000</v>
      </c>
      <c r="N100" s="285">
        <v>3815000</v>
      </c>
      <c r="O100" s="1258">
        <f t="shared" si="7"/>
        <v>3815000</v>
      </c>
    </row>
    <row r="101" spans="1:15">
      <c r="A101" t="s">
        <v>1044</v>
      </c>
      <c r="B101" s="285">
        <v>1732000</v>
      </c>
      <c r="C101" s="285">
        <v>1732000</v>
      </c>
      <c r="D101" s="285">
        <v>1732000</v>
      </c>
      <c r="E101" s="285">
        <v>1732000</v>
      </c>
      <c r="F101" s="285">
        <v>1732000</v>
      </c>
      <c r="G101" s="285">
        <v>1732000</v>
      </c>
      <c r="H101" s="285">
        <v>1732000</v>
      </c>
      <c r="I101" s="285">
        <v>1732000</v>
      </c>
      <c r="J101" s="285">
        <v>1732000</v>
      </c>
      <c r="K101" s="285">
        <v>1732000</v>
      </c>
      <c r="L101" s="285">
        <v>1732000</v>
      </c>
      <c r="M101" s="285">
        <v>1732000</v>
      </c>
      <c r="N101" s="285">
        <v>1732000</v>
      </c>
      <c r="O101" s="1258">
        <f t="shared" si="7"/>
        <v>1732000</v>
      </c>
    </row>
    <row r="102" spans="1:15">
      <c r="A102" t="s">
        <v>1045</v>
      </c>
      <c r="B102" s="285">
        <v>411000</v>
      </c>
      <c r="C102" s="285">
        <v>411000</v>
      </c>
      <c r="D102" s="285">
        <v>411000</v>
      </c>
      <c r="E102" s="285">
        <v>411000</v>
      </c>
      <c r="F102" s="285">
        <v>411000</v>
      </c>
      <c r="G102" s="285">
        <v>411000</v>
      </c>
      <c r="H102" s="285">
        <v>411000</v>
      </c>
      <c r="I102" s="285">
        <v>411000</v>
      </c>
      <c r="J102" s="285">
        <v>411000</v>
      </c>
      <c r="K102" s="285">
        <v>411000</v>
      </c>
      <c r="L102" s="285">
        <v>411000</v>
      </c>
      <c r="M102" s="285">
        <v>411000</v>
      </c>
      <c r="N102" s="285">
        <v>411000</v>
      </c>
      <c r="O102" s="1258">
        <f t="shared" si="7"/>
        <v>411000</v>
      </c>
    </row>
    <row r="103" spans="1:15">
      <c r="A103" t="s">
        <v>1046</v>
      </c>
      <c r="B103" s="285">
        <v>8919000</v>
      </c>
      <c r="C103" s="285">
        <v>8919000</v>
      </c>
      <c r="D103" s="285">
        <v>8919000</v>
      </c>
      <c r="E103" s="285">
        <v>8919000</v>
      </c>
      <c r="F103" s="285">
        <v>8919000</v>
      </c>
      <c r="G103" s="285">
        <v>8919000</v>
      </c>
      <c r="H103" s="285">
        <v>8919000</v>
      </c>
      <c r="I103" s="285">
        <v>8919000</v>
      </c>
      <c r="J103" s="285">
        <v>8919000</v>
      </c>
      <c r="K103" s="285">
        <v>8919000</v>
      </c>
      <c r="L103" s="285">
        <v>8919000</v>
      </c>
      <c r="M103" s="285">
        <v>8919000</v>
      </c>
      <c r="N103" s="285">
        <v>8919000</v>
      </c>
      <c r="O103" s="1258">
        <f t="shared" si="7"/>
        <v>8919000</v>
      </c>
    </row>
    <row r="104" spans="1:15">
      <c r="A104" t="s">
        <v>1047</v>
      </c>
      <c r="B104" s="285">
        <v>9381000</v>
      </c>
      <c r="C104" s="285">
        <v>9381000</v>
      </c>
      <c r="D104" s="285">
        <v>9381000</v>
      </c>
      <c r="E104" s="285">
        <v>9381000</v>
      </c>
      <c r="F104" s="285">
        <v>9381000</v>
      </c>
      <c r="G104" s="285">
        <v>9381000</v>
      </c>
      <c r="H104" s="285">
        <v>9381000</v>
      </c>
      <c r="I104" s="285">
        <v>9381000</v>
      </c>
      <c r="J104" s="285">
        <v>9381000</v>
      </c>
      <c r="K104" s="285">
        <v>9381000</v>
      </c>
      <c r="L104" s="285">
        <v>9381000</v>
      </c>
      <c r="M104" s="285">
        <v>9381000</v>
      </c>
      <c r="N104" s="285">
        <v>9381000</v>
      </c>
      <c r="O104" s="1258">
        <f t="shared" si="7"/>
        <v>9381000</v>
      </c>
    </row>
    <row r="105" spans="1:15">
      <c r="A105" t="s">
        <v>1048</v>
      </c>
      <c r="B105" s="285">
        <v>2700000</v>
      </c>
      <c r="C105" s="285">
        <v>2700000</v>
      </c>
      <c r="D105" s="285">
        <v>2700000</v>
      </c>
      <c r="E105" s="285">
        <v>2700000</v>
      </c>
      <c r="F105" s="285">
        <v>2700000</v>
      </c>
      <c r="G105" s="285">
        <v>2700000</v>
      </c>
      <c r="H105" s="285">
        <v>2700000</v>
      </c>
      <c r="I105" s="285">
        <v>2700000</v>
      </c>
      <c r="J105" s="285">
        <v>2700000</v>
      </c>
      <c r="K105" s="285">
        <v>2700000</v>
      </c>
      <c r="L105" s="285">
        <v>2700000</v>
      </c>
      <c r="M105" s="285">
        <v>2700000</v>
      </c>
      <c r="N105" s="285">
        <v>2700000</v>
      </c>
      <c r="O105" s="1258">
        <f t="shared" si="7"/>
        <v>2700000</v>
      </c>
    </row>
    <row r="106" spans="1:15">
      <c r="A106" t="s">
        <v>1071</v>
      </c>
      <c r="B106" s="285">
        <v>24186000</v>
      </c>
      <c r="C106" s="285">
        <v>24186000</v>
      </c>
      <c r="D106" s="285">
        <v>24186000</v>
      </c>
      <c r="E106" s="285">
        <v>24186000</v>
      </c>
      <c r="F106" s="285">
        <v>24186000</v>
      </c>
      <c r="G106" s="285">
        <v>24186000</v>
      </c>
      <c r="H106" s="285">
        <v>24186000</v>
      </c>
      <c r="I106" s="285">
        <v>24186000</v>
      </c>
      <c r="J106" s="285">
        <v>24186000</v>
      </c>
      <c r="K106" s="285">
        <v>24186000</v>
      </c>
      <c r="L106" s="285">
        <v>24186000</v>
      </c>
      <c r="M106" s="285">
        <v>24186000</v>
      </c>
      <c r="N106" s="285">
        <v>24186000</v>
      </c>
      <c r="O106" s="1258">
        <f t="shared" si="7"/>
        <v>24186000</v>
      </c>
    </row>
    <row r="107" spans="1:15">
      <c r="A107" t="s">
        <v>1049</v>
      </c>
      <c r="B107" s="285">
        <v>1780000</v>
      </c>
      <c r="C107" s="285">
        <v>1780000</v>
      </c>
      <c r="D107" s="285">
        <v>1780000</v>
      </c>
      <c r="E107" s="285">
        <v>1780000</v>
      </c>
      <c r="F107" s="285">
        <v>1780000</v>
      </c>
      <c r="G107" s="285">
        <v>1780000</v>
      </c>
      <c r="H107" s="285">
        <v>1780000</v>
      </c>
      <c r="I107" s="285">
        <v>1780000</v>
      </c>
      <c r="J107" s="285">
        <v>1780000</v>
      </c>
      <c r="K107" s="285">
        <v>1780000</v>
      </c>
      <c r="L107" s="285">
        <v>1780000</v>
      </c>
      <c r="M107" s="285">
        <v>1780000</v>
      </c>
      <c r="N107" s="285">
        <v>1780000</v>
      </c>
      <c r="O107" s="1258">
        <f t="shared" si="7"/>
        <v>1780000</v>
      </c>
    </row>
    <row r="108" spans="1:15">
      <c r="A108" t="s">
        <v>1050</v>
      </c>
      <c r="B108" s="285">
        <v>31000</v>
      </c>
      <c r="C108" s="285">
        <v>31000</v>
      </c>
      <c r="D108" s="285">
        <v>31000</v>
      </c>
      <c r="E108" s="285">
        <v>31000</v>
      </c>
      <c r="F108" s="285">
        <v>31000</v>
      </c>
      <c r="G108" s="285">
        <v>31000</v>
      </c>
      <c r="H108" s="285">
        <v>31000</v>
      </c>
      <c r="I108" s="285">
        <v>31000</v>
      </c>
      <c r="J108" s="285">
        <v>31000</v>
      </c>
      <c r="K108" s="285">
        <v>31000</v>
      </c>
      <c r="L108" s="285">
        <v>31000</v>
      </c>
      <c r="M108" s="285">
        <v>31000</v>
      </c>
      <c r="N108" s="285">
        <v>31000</v>
      </c>
      <c r="O108" s="1258">
        <f t="shared" si="7"/>
        <v>31000</v>
      </c>
    </row>
    <row r="109" spans="1:15">
      <c r="A109" t="s">
        <v>1051</v>
      </c>
      <c r="B109" s="285">
        <v>206000</v>
      </c>
      <c r="C109" s="285">
        <v>206000</v>
      </c>
      <c r="D109" s="285">
        <v>206000</v>
      </c>
      <c r="E109" s="285">
        <v>206000</v>
      </c>
      <c r="F109" s="285">
        <v>206000</v>
      </c>
      <c r="G109" s="285">
        <v>206000</v>
      </c>
      <c r="H109" s="285">
        <v>206000</v>
      </c>
      <c r="I109" s="285">
        <v>206000</v>
      </c>
      <c r="J109" s="285">
        <v>206000</v>
      </c>
      <c r="K109" s="285">
        <v>206000</v>
      </c>
      <c r="L109" s="285">
        <v>206000</v>
      </c>
      <c r="M109" s="285">
        <v>206000</v>
      </c>
      <c r="N109" s="285">
        <v>206000</v>
      </c>
      <c r="O109" s="1258">
        <f t="shared" si="7"/>
        <v>206000</v>
      </c>
    </row>
    <row r="110" spans="1:15">
      <c r="A110" t="s">
        <v>1052</v>
      </c>
      <c r="B110" s="285">
        <v>127000</v>
      </c>
      <c r="C110" s="285">
        <v>127000</v>
      </c>
      <c r="D110" s="285">
        <v>127000</v>
      </c>
      <c r="E110" s="285">
        <v>127000</v>
      </c>
      <c r="F110" s="285">
        <v>127000</v>
      </c>
      <c r="G110" s="285">
        <v>127000</v>
      </c>
      <c r="H110" s="285">
        <v>127000</v>
      </c>
      <c r="I110" s="285">
        <v>127000</v>
      </c>
      <c r="J110" s="285">
        <v>127000</v>
      </c>
      <c r="K110" s="285">
        <v>127000</v>
      </c>
      <c r="L110" s="285">
        <v>127000</v>
      </c>
      <c r="M110" s="285">
        <v>127000</v>
      </c>
      <c r="N110" s="285">
        <v>127000</v>
      </c>
      <c r="O110" s="1258">
        <f t="shared" si="7"/>
        <v>127000</v>
      </c>
    </row>
    <row r="111" spans="1:15">
      <c r="A111" t="s">
        <v>1060</v>
      </c>
      <c r="B111" s="285">
        <v>4059000</v>
      </c>
      <c r="C111" s="285">
        <v>4059000</v>
      </c>
      <c r="D111" s="285">
        <v>4059000</v>
      </c>
      <c r="E111" s="285">
        <v>4059000</v>
      </c>
      <c r="F111" s="285">
        <v>4059000</v>
      </c>
      <c r="G111" s="285">
        <v>4059000</v>
      </c>
      <c r="H111" s="285">
        <v>4059000</v>
      </c>
      <c r="I111" s="285">
        <v>4059000</v>
      </c>
      <c r="J111" s="285">
        <v>4059000</v>
      </c>
      <c r="K111" s="285">
        <v>4059000</v>
      </c>
      <c r="L111" s="285">
        <v>4059000</v>
      </c>
      <c r="M111" s="285">
        <v>4059000</v>
      </c>
      <c r="N111" s="285">
        <v>4059000</v>
      </c>
      <c r="O111" s="1258">
        <f t="shared" si="7"/>
        <v>4059000</v>
      </c>
    </row>
    <row r="112" spans="1:15">
      <c r="A112" t="s">
        <v>1061</v>
      </c>
      <c r="B112" s="285">
        <v>4730000</v>
      </c>
      <c r="C112" s="285">
        <v>4730000</v>
      </c>
      <c r="D112" s="285">
        <v>4730000</v>
      </c>
      <c r="E112" s="285">
        <v>4730000</v>
      </c>
      <c r="F112" s="285">
        <v>4730000</v>
      </c>
      <c r="G112" s="285">
        <v>4730000</v>
      </c>
      <c r="H112" s="285">
        <v>4730000</v>
      </c>
      <c r="I112" s="285">
        <v>4730000</v>
      </c>
      <c r="J112" s="285">
        <v>4730000</v>
      </c>
      <c r="K112" s="285">
        <v>4730000</v>
      </c>
      <c r="L112" s="285">
        <v>4730000</v>
      </c>
      <c r="M112" s="285">
        <v>4730000</v>
      </c>
      <c r="N112" s="285">
        <v>4730000</v>
      </c>
      <c r="O112" s="1258">
        <f t="shared" si="7"/>
        <v>4730000</v>
      </c>
    </row>
    <row r="113" spans="1:15">
      <c r="A113" t="s">
        <v>1053</v>
      </c>
      <c r="B113" s="285">
        <v>209000</v>
      </c>
      <c r="C113" s="285">
        <v>209000</v>
      </c>
      <c r="D113" s="285">
        <v>209000</v>
      </c>
      <c r="E113" s="285">
        <v>209000</v>
      </c>
      <c r="F113" s="285">
        <v>209000</v>
      </c>
      <c r="G113" s="285">
        <v>209000</v>
      </c>
      <c r="H113" s="285">
        <v>209000</v>
      </c>
      <c r="I113" s="285">
        <v>209000</v>
      </c>
      <c r="J113" s="285">
        <v>209000</v>
      </c>
      <c r="K113" s="285">
        <v>209000</v>
      </c>
      <c r="L113" s="285">
        <v>209000</v>
      </c>
      <c r="M113" s="285">
        <v>209000</v>
      </c>
      <c r="N113" s="285">
        <v>209000</v>
      </c>
      <c r="O113" s="1258">
        <f t="shared" si="7"/>
        <v>209000</v>
      </c>
    </row>
    <row r="114" spans="1:15">
      <c r="A114" t="s">
        <v>1054</v>
      </c>
      <c r="B114" s="285">
        <v>92000</v>
      </c>
      <c r="C114" s="285">
        <v>92000</v>
      </c>
      <c r="D114" s="285">
        <v>92000</v>
      </c>
      <c r="E114" s="285">
        <v>92000</v>
      </c>
      <c r="F114" s="285">
        <v>92000</v>
      </c>
      <c r="G114" s="285">
        <v>92000</v>
      </c>
      <c r="H114" s="285">
        <v>92000</v>
      </c>
      <c r="I114" s="285">
        <v>92000</v>
      </c>
      <c r="J114" s="285">
        <v>92000</v>
      </c>
      <c r="K114" s="285">
        <v>92000</v>
      </c>
      <c r="L114" s="285">
        <v>92000</v>
      </c>
      <c r="M114" s="285">
        <v>92000</v>
      </c>
      <c r="N114" s="285">
        <v>92000</v>
      </c>
      <c r="O114" s="1258">
        <f t="shared" si="7"/>
        <v>92000</v>
      </c>
    </row>
    <row r="115" spans="1:15">
      <c r="A115" t="s">
        <v>1055</v>
      </c>
      <c r="B115" s="285">
        <v>26000</v>
      </c>
      <c r="C115" s="285">
        <v>26000</v>
      </c>
      <c r="D115" s="285">
        <v>26000</v>
      </c>
      <c r="E115" s="285">
        <v>26000</v>
      </c>
      <c r="F115" s="285">
        <v>26000</v>
      </c>
      <c r="G115" s="285">
        <v>26000</v>
      </c>
      <c r="H115" s="285">
        <v>26000</v>
      </c>
      <c r="I115" s="285">
        <v>26000</v>
      </c>
      <c r="J115" s="285">
        <v>26000</v>
      </c>
      <c r="K115" s="285">
        <v>26000</v>
      </c>
      <c r="L115" s="285">
        <v>26000</v>
      </c>
      <c r="M115" s="285">
        <v>26000</v>
      </c>
      <c r="N115" s="285">
        <v>26000</v>
      </c>
      <c r="O115" s="1258">
        <f t="shared" ref="O115:O156" si="8">AVERAGE(B115:N115)</f>
        <v>26000</v>
      </c>
    </row>
    <row r="116" spans="1:15">
      <c r="A116" t="s">
        <v>1072</v>
      </c>
      <c r="B116" s="285">
        <v>2835000</v>
      </c>
      <c r="C116" s="285">
        <v>2835000</v>
      </c>
      <c r="D116" s="285">
        <v>2835000</v>
      </c>
      <c r="E116" s="285">
        <v>2835000</v>
      </c>
      <c r="F116" s="285">
        <v>2835000</v>
      </c>
      <c r="G116" s="285">
        <v>2835000</v>
      </c>
      <c r="H116" s="285">
        <v>2835000</v>
      </c>
      <c r="I116" s="285">
        <v>2835000</v>
      </c>
      <c r="J116" s="285">
        <v>2835000</v>
      </c>
      <c r="K116" s="285">
        <v>2835000</v>
      </c>
      <c r="L116" s="285">
        <v>2835000</v>
      </c>
      <c r="M116" s="285">
        <v>2835000</v>
      </c>
      <c r="N116" s="285">
        <v>2835000</v>
      </c>
      <c r="O116" s="1258">
        <f t="shared" si="8"/>
        <v>2835000</v>
      </c>
    </row>
    <row r="117" spans="1:15">
      <c r="A117" t="s">
        <v>1056</v>
      </c>
      <c r="B117" s="285">
        <v>3525000</v>
      </c>
      <c r="C117" s="285">
        <v>3525000</v>
      </c>
      <c r="D117" s="285">
        <v>3525000</v>
      </c>
      <c r="E117" s="285">
        <v>3525000</v>
      </c>
      <c r="F117" s="285">
        <v>3525000</v>
      </c>
      <c r="G117" s="285">
        <v>3525000</v>
      </c>
      <c r="H117" s="285">
        <v>3525000</v>
      </c>
      <c r="I117" s="285">
        <v>3525000</v>
      </c>
      <c r="J117" s="285">
        <v>3525000</v>
      </c>
      <c r="K117" s="285">
        <v>3525000</v>
      </c>
      <c r="L117" s="285">
        <v>3525000</v>
      </c>
      <c r="M117" s="285">
        <v>3525000</v>
      </c>
      <c r="N117" s="285">
        <v>3525000</v>
      </c>
      <c r="O117" s="1258">
        <f t="shared" si="8"/>
        <v>3525000</v>
      </c>
    </row>
    <row r="118" spans="1:15">
      <c r="A118" t="s">
        <v>1057</v>
      </c>
      <c r="B118" s="285">
        <v>137000</v>
      </c>
      <c r="C118" s="285">
        <v>137000</v>
      </c>
      <c r="D118" s="285">
        <v>137000</v>
      </c>
      <c r="E118" s="285">
        <v>137000</v>
      </c>
      <c r="F118" s="285">
        <v>137000</v>
      </c>
      <c r="G118" s="285">
        <v>137000</v>
      </c>
      <c r="H118" s="285">
        <v>137000</v>
      </c>
      <c r="I118" s="285">
        <v>137000</v>
      </c>
      <c r="J118" s="285">
        <v>137000</v>
      </c>
      <c r="K118" s="285">
        <v>137000</v>
      </c>
      <c r="L118" s="285">
        <v>137000</v>
      </c>
      <c r="M118" s="285">
        <v>137000</v>
      </c>
      <c r="N118" s="285">
        <v>137000</v>
      </c>
      <c r="O118" s="1258">
        <f t="shared" si="8"/>
        <v>137000</v>
      </c>
    </row>
    <row r="119" spans="1:15">
      <c r="A119" t="s">
        <v>1058</v>
      </c>
      <c r="B119" s="285">
        <v>13000</v>
      </c>
      <c r="C119" s="285">
        <v>13000</v>
      </c>
      <c r="D119" s="285">
        <v>13000</v>
      </c>
      <c r="E119" s="285">
        <v>13000</v>
      </c>
      <c r="F119" s="285">
        <v>13000</v>
      </c>
      <c r="G119" s="285">
        <v>13000</v>
      </c>
      <c r="H119" s="285">
        <v>13000</v>
      </c>
      <c r="I119" s="285">
        <v>13000</v>
      </c>
      <c r="J119" s="285">
        <v>13000</v>
      </c>
      <c r="K119" s="285">
        <v>13000</v>
      </c>
      <c r="L119" s="285">
        <v>13000</v>
      </c>
      <c r="M119" s="285">
        <v>13000</v>
      </c>
      <c r="N119" s="285">
        <v>13000</v>
      </c>
      <c r="O119" s="1258">
        <f t="shared" si="8"/>
        <v>13000</v>
      </c>
    </row>
    <row r="120" spans="1:15">
      <c r="A120" t="s">
        <v>0</v>
      </c>
      <c r="B120" s="285">
        <v>2706000</v>
      </c>
      <c r="C120" s="285">
        <v>2706000</v>
      </c>
      <c r="D120" s="285">
        <v>2706000</v>
      </c>
      <c r="E120" s="285">
        <v>2706000</v>
      </c>
      <c r="F120" s="285">
        <v>2706000</v>
      </c>
      <c r="G120" s="285">
        <v>2706000</v>
      </c>
      <c r="H120" s="285">
        <v>2706000</v>
      </c>
      <c r="I120" s="285">
        <v>2706000</v>
      </c>
      <c r="J120" s="285">
        <v>2706000</v>
      </c>
      <c r="K120" s="285">
        <v>2706000</v>
      </c>
      <c r="L120" s="285">
        <v>2706000</v>
      </c>
      <c r="M120" s="285">
        <v>2706000</v>
      </c>
      <c r="N120" s="285">
        <v>2706000</v>
      </c>
      <c r="O120" s="1258">
        <f t="shared" si="8"/>
        <v>2706000</v>
      </c>
    </row>
    <row r="121" spans="1:15">
      <c r="A121" t="s">
        <v>1</v>
      </c>
      <c r="B121" s="285">
        <v>2885000</v>
      </c>
      <c r="C121" s="285">
        <v>2885000</v>
      </c>
      <c r="D121" s="285">
        <v>2885000</v>
      </c>
      <c r="E121" s="285">
        <v>2885000</v>
      </c>
      <c r="F121" s="285">
        <v>2885000</v>
      </c>
      <c r="G121" s="285">
        <v>2885000</v>
      </c>
      <c r="H121" s="285">
        <v>2885000</v>
      </c>
      <c r="I121" s="285">
        <v>2885000</v>
      </c>
      <c r="J121" s="285">
        <v>2885000</v>
      </c>
      <c r="K121" s="285">
        <v>2885000</v>
      </c>
      <c r="L121" s="285">
        <v>2885000</v>
      </c>
      <c r="M121" s="285">
        <v>2885000</v>
      </c>
      <c r="N121" s="285">
        <v>2885000</v>
      </c>
      <c r="O121" s="1258">
        <f t="shared" si="8"/>
        <v>2885000</v>
      </c>
    </row>
    <row r="122" spans="1:15">
      <c r="A122" t="s">
        <v>2</v>
      </c>
      <c r="B122" s="285">
        <v>2566000</v>
      </c>
      <c r="C122" s="285">
        <v>2566000</v>
      </c>
      <c r="D122" s="285">
        <v>2566000</v>
      </c>
      <c r="E122" s="285">
        <v>2567000</v>
      </c>
      <c r="F122" s="285">
        <v>2570000</v>
      </c>
      <c r="G122" s="285">
        <v>2570000</v>
      </c>
      <c r="H122" s="285">
        <v>2570000</v>
      </c>
      <c r="I122" s="285">
        <v>2570000</v>
      </c>
      <c r="J122" s="285">
        <v>2570000</v>
      </c>
      <c r="K122" s="285">
        <v>2570000</v>
      </c>
      <c r="L122" s="285">
        <v>2570000</v>
      </c>
      <c r="M122" s="285">
        <v>2570000</v>
      </c>
      <c r="N122" s="285">
        <v>2570000</v>
      </c>
      <c r="O122" s="1258">
        <f t="shared" si="8"/>
        <v>2568846.153846154</v>
      </c>
    </row>
    <row r="123" spans="1:15">
      <c r="A123" t="s">
        <v>3</v>
      </c>
      <c r="B123" s="285">
        <v>10815000</v>
      </c>
      <c r="C123" s="285">
        <v>10815000</v>
      </c>
      <c r="D123" s="285">
        <v>10815000</v>
      </c>
      <c r="E123" s="285">
        <v>10815000</v>
      </c>
      <c r="F123" s="285">
        <v>10815000</v>
      </c>
      <c r="G123" s="285">
        <v>10815000</v>
      </c>
      <c r="H123" s="285">
        <v>10815000</v>
      </c>
      <c r="I123" s="285">
        <v>10815000</v>
      </c>
      <c r="J123" s="285">
        <v>10815000</v>
      </c>
      <c r="K123" s="285">
        <v>10815000</v>
      </c>
      <c r="L123" s="285">
        <v>10815000</v>
      </c>
      <c r="M123" s="285">
        <v>10815000</v>
      </c>
      <c r="N123" s="285">
        <v>10815000</v>
      </c>
      <c r="O123" s="1258">
        <f t="shared" si="8"/>
        <v>10815000</v>
      </c>
    </row>
    <row r="124" spans="1:15">
      <c r="A124" t="s">
        <v>1152</v>
      </c>
      <c r="B124" s="285">
        <v>9688000</v>
      </c>
      <c r="C124" s="285">
        <v>9688000</v>
      </c>
      <c r="D124" s="285">
        <v>9688000</v>
      </c>
      <c r="E124" s="285">
        <v>9688000</v>
      </c>
      <c r="F124" s="285">
        <v>9688000</v>
      </c>
      <c r="G124" s="285">
        <v>9688000</v>
      </c>
      <c r="H124" s="285">
        <v>9688000</v>
      </c>
      <c r="I124" s="285">
        <v>9688000</v>
      </c>
      <c r="J124" s="285">
        <v>9688000</v>
      </c>
      <c r="K124" s="285">
        <v>9688000</v>
      </c>
      <c r="L124" s="285">
        <v>9688000</v>
      </c>
      <c r="M124" s="285">
        <v>9688000</v>
      </c>
      <c r="N124" s="285">
        <v>9688000</v>
      </c>
      <c r="O124" s="1258">
        <f t="shared" si="8"/>
        <v>9688000</v>
      </c>
    </row>
    <row r="125" spans="1:15">
      <c r="A125" t="s">
        <v>4</v>
      </c>
      <c r="B125" s="285">
        <v>8292000</v>
      </c>
      <c r="C125" s="285">
        <v>8292000</v>
      </c>
      <c r="D125" s="285">
        <v>8292000</v>
      </c>
      <c r="E125" s="285">
        <v>8292000</v>
      </c>
      <c r="F125" s="285">
        <v>8292000</v>
      </c>
      <c r="G125" s="285">
        <v>8292000</v>
      </c>
      <c r="H125" s="285">
        <v>8292000</v>
      </c>
      <c r="I125" s="285">
        <v>8292000</v>
      </c>
      <c r="J125" s="285">
        <v>8292000</v>
      </c>
      <c r="K125" s="285">
        <v>8292000</v>
      </c>
      <c r="L125" s="285">
        <v>8292000</v>
      </c>
      <c r="M125" s="285">
        <v>8292000</v>
      </c>
      <c r="N125" s="285">
        <v>8292000</v>
      </c>
      <c r="O125" s="1258">
        <f t="shared" si="8"/>
        <v>8292000</v>
      </c>
    </row>
    <row r="126" spans="1:15">
      <c r="A126" t="s">
        <v>5</v>
      </c>
      <c r="B126" s="285">
        <v>152000</v>
      </c>
      <c r="C126" s="285">
        <v>152000</v>
      </c>
      <c r="D126" s="285">
        <v>152000</v>
      </c>
      <c r="E126" s="285">
        <v>152000</v>
      </c>
      <c r="F126" s="285">
        <v>152000</v>
      </c>
      <c r="G126" s="285">
        <v>152000</v>
      </c>
      <c r="H126" s="285">
        <v>152000</v>
      </c>
      <c r="I126" s="285">
        <v>152000</v>
      </c>
      <c r="J126" s="285">
        <v>152000</v>
      </c>
      <c r="K126" s="285">
        <v>152000</v>
      </c>
      <c r="L126" s="285">
        <v>152000</v>
      </c>
      <c r="M126" s="285">
        <v>152000</v>
      </c>
      <c r="N126" s="285">
        <v>152000</v>
      </c>
      <c r="O126" s="1258">
        <f t="shared" si="8"/>
        <v>152000</v>
      </c>
    </row>
    <row r="127" spans="1:15">
      <c r="A127" t="s">
        <v>6</v>
      </c>
      <c r="B127" s="285">
        <v>159000</v>
      </c>
      <c r="C127" s="285">
        <v>159000</v>
      </c>
      <c r="D127" s="285">
        <v>159000</v>
      </c>
      <c r="E127" s="285">
        <v>159000</v>
      </c>
      <c r="F127" s="285">
        <v>159000</v>
      </c>
      <c r="G127" s="285">
        <v>159000</v>
      </c>
      <c r="H127" s="285">
        <v>159000</v>
      </c>
      <c r="I127" s="285">
        <v>159000</v>
      </c>
      <c r="J127" s="285">
        <v>159000</v>
      </c>
      <c r="K127" s="285">
        <v>159000</v>
      </c>
      <c r="L127" s="285">
        <v>159000</v>
      </c>
      <c r="M127" s="285">
        <v>159000</v>
      </c>
      <c r="N127" s="285">
        <v>159000</v>
      </c>
      <c r="O127" s="1258">
        <f t="shared" si="8"/>
        <v>159000</v>
      </c>
    </row>
    <row r="128" spans="1:15">
      <c r="A128" t="s">
        <v>1062</v>
      </c>
      <c r="B128" s="285">
        <v>45000</v>
      </c>
      <c r="C128" s="285">
        <v>45000</v>
      </c>
      <c r="D128" s="285">
        <v>45000</v>
      </c>
      <c r="E128" s="285">
        <v>45000</v>
      </c>
      <c r="F128" s="285">
        <v>45000</v>
      </c>
      <c r="G128" s="285">
        <v>45000</v>
      </c>
      <c r="H128" s="285">
        <v>45000</v>
      </c>
      <c r="I128" s="285">
        <v>45000</v>
      </c>
      <c r="J128" s="285">
        <v>45000</v>
      </c>
      <c r="K128" s="285">
        <v>45000</v>
      </c>
      <c r="L128" s="285">
        <v>45000</v>
      </c>
      <c r="M128" s="285">
        <v>45000</v>
      </c>
      <c r="N128" s="285">
        <v>45000</v>
      </c>
      <c r="O128" s="1258">
        <f t="shared" si="8"/>
        <v>45000</v>
      </c>
    </row>
    <row r="129" spans="1:15">
      <c r="A129" t="s">
        <v>7</v>
      </c>
      <c r="B129" s="285">
        <v>1545000</v>
      </c>
      <c r="C129" s="285">
        <v>1545000</v>
      </c>
      <c r="D129" s="285">
        <v>1545000</v>
      </c>
      <c r="E129" s="285">
        <v>1545000</v>
      </c>
      <c r="F129" s="285">
        <v>1545000</v>
      </c>
      <c r="G129" s="285">
        <v>1545000</v>
      </c>
      <c r="H129" s="285">
        <v>1545000</v>
      </c>
      <c r="I129" s="285">
        <v>1545000</v>
      </c>
      <c r="J129" s="285">
        <v>1545000</v>
      </c>
      <c r="K129" s="285">
        <v>1545000</v>
      </c>
      <c r="L129" s="285">
        <v>1545000</v>
      </c>
      <c r="M129" s="285">
        <v>1545000</v>
      </c>
      <c r="N129" s="285">
        <v>1545000</v>
      </c>
      <c r="O129" s="1258">
        <f t="shared" si="8"/>
        <v>1545000</v>
      </c>
    </row>
    <row r="130" spans="1:15">
      <c r="A130" t="s">
        <v>8</v>
      </c>
      <c r="B130" s="285">
        <v>11000</v>
      </c>
      <c r="C130" s="285">
        <v>11000</v>
      </c>
      <c r="D130" s="285">
        <v>11000</v>
      </c>
      <c r="E130" s="285">
        <v>11000</v>
      </c>
      <c r="F130" s="285">
        <v>11000</v>
      </c>
      <c r="G130" s="285">
        <v>11000</v>
      </c>
      <c r="H130" s="285">
        <v>11000</v>
      </c>
      <c r="I130" s="285">
        <v>11000</v>
      </c>
      <c r="J130" s="285">
        <v>11000</v>
      </c>
      <c r="K130" s="285">
        <v>11000</v>
      </c>
      <c r="L130" s="285">
        <v>11000</v>
      </c>
      <c r="M130" s="285">
        <v>11000</v>
      </c>
      <c r="N130" s="285">
        <v>11000</v>
      </c>
      <c r="O130" s="1258">
        <f t="shared" si="8"/>
        <v>11000</v>
      </c>
    </row>
    <row r="131" spans="1:15">
      <c r="A131" t="s">
        <v>9</v>
      </c>
      <c r="B131" s="285">
        <v>935000</v>
      </c>
      <c r="C131" s="285">
        <v>935000</v>
      </c>
      <c r="D131" s="285">
        <v>935000</v>
      </c>
      <c r="E131" s="285">
        <v>935000</v>
      </c>
      <c r="F131" s="285">
        <v>935000</v>
      </c>
      <c r="G131" s="285">
        <v>935000</v>
      </c>
      <c r="H131" s="285">
        <v>935000</v>
      </c>
      <c r="I131" s="285">
        <v>935000</v>
      </c>
      <c r="J131" s="285">
        <v>935000</v>
      </c>
      <c r="K131" s="285">
        <v>935000</v>
      </c>
      <c r="L131" s="285">
        <v>935000</v>
      </c>
      <c r="M131" s="285">
        <v>935000</v>
      </c>
      <c r="N131" s="285">
        <v>935000</v>
      </c>
      <c r="O131" s="1258">
        <f t="shared" si="8"/>
        <v>935000</v>
      </c>
    </row>
    <row r="132" spans="1:15">
      <c r="A132" t="s">
        <v>10</v>
      </c>
      <c r="B132" s="285">
        <v>19000</v>
      </c>
      <c r="C132" s="285">
        <v>19000</v>
      </c>
      <c r="D132" s="285">
        <v>19000</v>
      </c>
      <c r="E132" s="285">
        <v>19000</v>
      </c>
      <c r="F132" s="285">
        <v>19000</v>
      </c>
      <c r="G132" s="285">
        <v>19000</v>
      </c>
      <c r="H132" s="285">
        <v>19000</v>
      </c>
      <c r="I132" s="285">
        <v>19000</v>
      </c>
      <c r="J132" s="285">
        <v>19000</v>
      </c>
      <c r="K132" s="285">
        <v>19000</v>
      </c>
      <c r="L132" s="285">
        <v>19000</v>
      </c>
      <c r="M132" s="285">
        <v>19000</v>
      </c>
      <c r="N132" s="285">
        <v>19000</v>
      </c>
      <c r="O132" s="1258">
        <f t="shared" si="8"/>
        <v>19000</v>
      </c>
    </row>
    <row r="133" spans="1:15">
      <c r="A133" t="s">
        <v>11</v>
      </c>
      <c r="B133" s="285">
        <v>194000</v>
      </c>
      <c r="C133" s="285">
        <v>194000</v>
      </c>
      <c r="D133" s="285">
        <v>194000</v>
      </c>
      <c r="E133" s="285">
        <v>194000</v>
      </c>
      <c r="F133" s="285">
        <v>194000</v>
      </c>
      <c r="G133" s="285">
        <v>194000</v>
      </c>
      <c r="H133" s="285">
        <v>194000</v>
      </c>
      <c r="I133" s="285">
        <v>194000</v>
      </c>
      <c r="J133" s="285">
        <v>194000</v>
      </c>
      <c r="K133" s="285">
        <v>194000</v>
      </c>
      <c r="L133" s="285">
        <v>194000</v>
      </c>
      <c r="M133" s="285">
        <v>194000</v>
      </c>
      <c r="N133" s="285">
        <v>194000</v>
      </c>
      <c r="O133" s="1258">
        <f t="shared" si="8"/>
        <v>194000</v>
      </c>
    </row>
    <row r="134" spans="1:15">
      <c r="A134" t="s">
        <v>12</v>
      </c>
      <c r="B134" s="285">
        <v>85000</v>
      </c>
      <c r="C134" s="285">
        <v>85000</v>
      </c>
      <c r="D134" s="285">
        <v>85000</v>
      </c>
      <c r="E134" s="285">
        <v>85000</v>
      </c>
      <c r="F134" s="285">
        <v>85000</v>
      </c>
      <c r="G134" s="285">
        <v>85000</v>
      </c>
      <c r="H134" s="285">
        <v>85000</v>
      </c>
      <c r="I134" s="285">
        <v>85000</v>
      </c>
      <c r="J134" s="285">
        <v>85000</v>
      </c>
      <c r="K134" s="285">
        <v>85000</v>
      </c>
      <c r="L134" s="285">
        <v>85000</v>
      </c>
      <c r="M134" s="285">
        <v>85000</v>
      </c>
      <c r="N134" s="285">
        <v>85000</v>
      </c>
      <c r="O134" s="1258">
        <f>AVERAGE(B134:N134)</f>
        <v>85000</v>
      </c>
    </row>
    <row r="135" spans="1:15">
      <c r="A135" t="s">
        <v>1118</v>
      </c>
      <c r="B135" s="285">
        <v>89000</v>
      </c>
      <c r="C135" s="285">
        <v>89000</v>
      </c>
      <c r="D135" s="285">
        <v>89000</v>
      </c>
      <c r="E135" s="285">
        <v>89000</v>
      </c>
      <c r="F135" s="285">
        <v>89000</v>
      </c>
      <c r="G135" s="285">
        <v>89000</v>
      </c>
      <c r="H135" s="285">
        <v>89000</v>
      </c>
      <c r="I135" s="285">
        <v>89000</v>
      </c>
      <c r="J135" s="285">
        <v>89000</v>
      </c>
      <c r="K135" s="285">
        <v>89000</v>
      </c>
      <c r="L135" s="285">
        <v>89000</v>
      </c>
      <c r="M135" s="285">
        <v>89000</v>
      </c>
      <c r="N135" s="285">
        <v>89000</v>
      </c>
      <c r="O135" s="1258">
        <f t="shared" si="8"/>
        <v>89000</v>
      </c>
    </row>
    <row r="136" spans="1:15">
      <c r="A136" t="s">
        <v>13</v>
      </c>
      <c r="B136" s="285">
        <v>152000</v>
      </c>
      <c r="C136" s="285">
        <v>152000</v>
      </c>
      <c r="D136" s="285">
        <v>152000</v>
      </c>
      <c r="E136" s="285">
        <v>152000</v>
      </c>
      <c r="F136" s="285">
        <v>152000</v>
      </c>
      <c r="G136" s="285">
        <v>152000</v>
      </c>
      <c r="H136" s="285">
        <v>152000</v>
      </c>
      <c r="I136" s="285">
        <v>152000</v>
      </c>
      <c r="J136" s="285">
        <v>152000</v>
      </c>
      <c r="K136" s="285">
        <v>152000</v>
      </c>
      <c r="L136" s="285">
        <v>152000</v>
      </c>
      <c r="M136" s="285">
        <v>152000</v>
      </c>
      <c r="N136" s="285">
        <v>152000</v>
      </c>
      <c r="O136" s="1258">
        <f t="shared" si="8"/>
        <v>152000</v>
      </c>
    </row>
    <row r="137" spans="1:15">
      <c r="A137" t="s">
        <v>14</v>
      </c>
      <c r="B137" s="285">
        <v>1175000</v>
      </c>
      <c r="C137" s="285">
        <v>1175000</v>
      </c>
      <c r="D137" s="285">
        <v>1175000</v>
      </c>
      <c r="E137" s="285">
        <v>1175000</v>
      </c>
      <c r="F137" s="285">
        <v>1175000</v>
      </c>
      <c r="G137" s="285">
        <v>1175000</v>
      </c>
      <c r="H137" s="285">
        <v>1175000</v>
      </c>
      <c r="I137" s="285">
        <v>1175000</v>
      </c>
      <c r="J137" s="285">
        <v>1175000</v>
      </c>
      <c r="K137" s="285">
        <v>1175000</v>
      </c>
      <c r="L137" s="285">
        <v>1175000</v>
      </c>
      <c r="M137" s="285">
        <v>1175000</v>
      </c>
      <c r="N137" s="285">
        <v>1175000</v>
      </c>
      <c r="O137" s="1258">
        <f t="shared" si="8"/>
        <v>1175000</v>
      </c>
    </row>
    <row r="138" spans="1:15">
      <c r="A138" t="s">
        <v>1073</v>
      </c>
      <c r="B138" s="285">
        <v>4534000</v>
      </c>
      <c r="C138" s="285">
        <v>4534000</v>
      </c>
      <c r="D138" s="285">
        <v>4534000</v>
      </c>
      <c r="E138" s="285">
        <v>4534000</v>
      </c>
      <c r="F138" s="285">
        <v>4534000</v>
      </c>
      <c r="G138" s="285">
        <v>4534000</v>
      </c>
      <c r="H138" s="285">
        <v>4534000</v>
      </c>
      <c r="I138" s="285">
        <v>4534000</v>
      </c>
      <c r="J138" s="285">
        <v>4534000</v>
      </c>
      <c r="K138" s="285">
        <v>4534000</v>
      </c>
      <c r="L138" s="285">
        <v>4534000</v>
      </c>
      <c r="M138" s="285">
        <v>4534000</v>
      </c>
      <c r="N138" s="285">
        <v>4534000</v>
      </c>
      <c r="O138" s="1258">
        <f t="shared" si="8"/>
        <v>4534000</v>
      </c>
    </row>
    <row r="139" spans="1:15">
      <c r="A139" t="s">
        <v>15</v>
      </c>
      <c r="B139" s="285">
        <v>1665000</v>
      </c>
      <c r="C139" s="285">
        <v>1665000</v>
      </c>
      <c r="D139" s="285">
        <v>1665000</v>
      </c>
      <c r="E139" s="285">
        <v>1665000</v>
      </c>
      <c r="F139" s="285">
        <v>1665000</v>
      </c>
      <c r="G139" s="285">
        <v>1665000</v>
      </c>
      <c r="H139" s="285">
        <v>1665000</v>
      </c>
      <c r="I139" s="285">
        <v>1665000</v>
      </c>
      <c r="J139" s="285">
        <v>1665000</v>
      </c>
      <c r="K139" s="285">
        <v>1665000</v>
      </c>
      <c r="L139" s="285">
        <v>1665000</v>
      </c>
      <c r="M139" s="285">
        <v>1665000</v>
      </c>
      <c r="N139" s="285">
        <v>1665000</v>
      </c>
      <c r="O139" s="1258">
        <f t="shared" si="8"/>
        <v>1665000</v>
      </c>
    </row>
    <row r="140" spans="1:15">
      <c r="A140" t="s">
        <v>1158</v>
      </c>
      <c r="B140" s="285">
        <v>3000</v>
      </c>
      <c r="C140" s="285">
        <v>3000</v>
      </c>
      <c r="D140" s="285">
        <v>3000</v>
      </c>
      <c r="E140" s="285">
        <v>3000</v>
      </c>
      <c r="F140" s="285">
        <v>3000</v>
      </c>
      <c r="G140" s="285">
        <v>3000</v>
      </c>
      <c r="H140" s="285">
        <v>3000</v>
      </c>
      <c r="I140" s="285">
        <v>3000</v>
      </c>
      <c r="J140" s="285">
        <v>3000</v>
      </c>
      <c r="K140" s="285">
        <v>3000</v>
      </c>
      <c r="L140" s="285">
        <v>3000</v>
      </c>
      <c r="M140" s="285">
        <v>3000</v>
      </c>
      <c r="N140" s="285">
        <v>3000</v>
      </c>
      <c r="O140" s="1258">
        <f t="shared" si="8"/>
        <v>3000</v>
      </c>
    </row>
    <row r="141" spans="1:15">
      <c r="A141" t="s">
        <v>16</v>
      </c>
      <c r="B141" s="285">
        <v>252000</v>
      </c>
      <c r="C141" s="285">
        <v>252000</v>
      </c>
      <c r="D141" s="285">
        <v>252000</v>
      </c>
      <c r="E141" s="285">
        <v>252000</v>
      </c>
      <c r="F141" s="285">
        <v>252000</v>
      </c>
      <c r="G141" s="285">
        <v>252000</v>
      </c>
      <c r="H141" s="285">
        <v>252000</v>
      </c>
      <c r="I141" s="285">
        <v>252000</v>
      </c>
      <c r="J141" s="285">
        <v>252000</v>
      </c>
      <c r="K141" s="285">
        <v>252000</v>
      </c>
      <c r="L141" s="285">
        <v>252000</v>
      </c>
      <c r="M141" s="285">
        <v>252000</v>
      </c>
      <c r="N141" s="285">
        <v>252000</v>
      </c>
      <c r="O141" s="1258">
        <f t="shared" si="8"/>
        <v>252000</v>
      </c>
    </row>
    <row r="142" spans="1:15">
      <c r="A142" t="s">
        <v>17</v>
      </c>
      <c r="B142" s="285">
        <v>9000</v>
      </c>
      <c r="C142" s="285">
        <v>9000</v>
      </c>
      <c r="D142" s="285">
        <v>9000</v>
      </c>
      <c r="E142" s="285">
        <v>9000</v>
      </c>
      <c r="F142" s="285">
        <v>9000</v>
      </c>
      <c r="G142" s="285">
        <v>9000</v>
      </c>
      <c r="H142" s="285">
        <v>9000</v>
      </c>
      <c r="I142" s="285">
        <v>9000</v>
      </c>
      <c r="J142" s="285">
        <v>9000</v>
      </c>
      <c r="K142" s="285">
        <v>9000</v>
      </c>
      <c r="L142" s="285">
        <v>9000</v>
      </c>
      <c r="M142" s="285">
        <v>9000</v>
      </c>
      <c r="N142" s="285">
        <v>9000</v>
      </c>
      <c r="O142" s="1258">
        <f t="shared" si="8"/>
        <v>9000</v>
      </c>
    </row>
    <row r="143" spans="1:15">
      <c r="A143" t="s">
        <v>18</v>
      </c>
      <c r="B143" s="285">
        <v>164000</v>
      </c>
      <c r="C143" s="285">
        <v>164000</v>
      </c>
      <c r="D143" s="285">
        <v>164000</v>
      </c>
      <c r="E143" s="285">
        <v>164000</v>
      </c>
      <c r="F143" s="285">
        <v>164000</v>
      </c>
      <c r="G143" s="285">
        <v>164000</v>
      </c>
      <c r="H143" s="285">
        <v>164000</v>
      </c>
      <c r="I143" s="285">
        <v>164000</v>
      </c>
      <c r="J143" s="285">
        <v>164000</v>
      </c>
      <c r="K143" s="285">
        <v>164000</v>
      </c>
      <c r="L143" s="285">
        <v>164000</v>
      </c>
      <c r="M143" s="285">
        <v>164000</v>
      </c>
      <c r="N143" s="285">
        <v>164000</v>
      </c>
      <c r="O143" s="1258">
        <f t="shared" si="8"/>
        <v>164000</v>
      </c>
    </row>
    <row r="144" spans="1:15">
      <c r="A144" t="s">
        <v>19</v>
      </c>
      <c r="B144" s="285">
        <v>103000</v>
      </c>
      <c r="C144" s="285">
        <v>103000</v>
      </c>
      <c r="D144" s="285">
        <v>103000</v>
      </c>
      <c r="E144" s="285">
        <v>103000</v>
      </c>
      <c r="F144" s="285">
        <v>103000</v>
      </c>
      <c r="G144" s="285">
        <v>103000</v>
      </c>
      <c r="H144" s="285">
        <v>103000</v>
      </c>
      <c r="I144" s="285">
        <v>103000</v>
      </c>
      <c r="J144" s="285">
        <v>103000</v>
      </c>
      <c r="K144" s="285">
        <v>103000</v>
      </c>
      <c r="L144" s="285">
        <v>103000</v>
      </c>
      <c r="M144" s="285">
        <v>103000</v>
      </c>
      <c r="N144" s="285">
        <v>103000</v>
      </c>
      <c r="O144" s="1258">
        <f t="shared" si="8"/>
        <v>103000</v>
      </c>
    </row>
    <row r="145" spans="1:15">
      <c r="A145" t="s">
        <v>20</v>
      </c>
      <c r="B145" s="285">
        <v>63000</v>
      </c>
      <c r="C145" s="285">
        <v>63000</v>
      </c>
      <c r="D145" s="285">
        <v>63000</v>
      </c>
      <c r="E145" s="285">
        <v>63000</v>
      </c>
      <c r="F145" s="285">
        <v>63000</v>
      </c>
      <c r="G145" s="285">
        <v>63000</v>
      </c>
      <c r="H145" s="285">
        <v>63000</v>
      </c>
      <c r="I145" s="285">
        <v>63000</v>
      </c>
      <c r="J145" s="285">
        <v>63000</v>
      </c>
      <c r="K145" s="285">
        <v>63000</v>
      </c>
      <c r="L145" s="285">
        <v>63000</v>
      </c>
      <c r="M145" s="285">
        <v>63000</v>
      </c>
      <c r="N145" s="285">
        <v>63000</v>
      </c>
      <c r="O145" s="1258">
        <f t="shared" si="8"/>
        <v>63000</v>
      </c>
    </row>
    <row r="146" spans="1:15">
      <c r="A146" t="s">
        <v>1119</v>
      </c>
      <c r="B146" s="285">
        <v>68000</v>
      </c>
      <c r="C146" s="285">
        <v>68000</v>
      </c>
      <c r="D146" s="285">
        <v>68000</v>
      </c>
      <c r="E146" s="285">
        <v>68000</v>
      </c>
      <c r="F146" s="285">
        <v>68000</v>
      </c>
      <c r="G146" s="285">
        <v>68000</v>
      </c>
      <c r="H146" s="285">
        <v>68000</v>
      </c>
      <c r="I146" s="285">
        <v>68000</v>
      </c>
      <c r="J146" s="285">
        <v>68000</v>
      </c>
      <c r="K146" s="285">
        <v>68000</v>
      </c>
      <c r="L146" s="285">
        <v>68000</v>
      </c>
      <c r="M146" s="285">
        <v>68000</v>
      </c>
      <c r="N146" s="285">
        <v>68000</v>
      </c>
      <c r="O146" s="1258">
        <f t="shared" si="8"/>
        <v>68000</v>
      </c>
    </row>
    <row r="147" spans="1:15">
      <c r="A147" t="s">
        <v>21</v>
      </c>
      <c r="B147" s="285">
        <v>59000</v>
      </c>
      <c r="C147" s="285">
        <v>59000</v>
      </c>
      <c r="D147" s="285">
        <v>59000</v>
      </c>
      <c r="E147" s="285">
        <v>59000</v>
      </c>
      <c r="F147" s="285">
        <v>59000</v>
      </c>
      <c r="G147" s="285">
        <v>59000</v>
      </c>
      <c r="H147" s="285">
        <v>59000</v>
      </c>
      <c r="I147" s="285">
        <v>59000</v>
      </c>
      <c r="J147" s="285">
        <v>59000</v>
      </c>
      <c r="K147" s="285">
        <v>59000</v>
      </c>
      <c r="L147" s="285">
        <v>59000</v>
      </c>
      <c r="M147" s="285">
        <v>59000</v>
      </c>
      <c r="N147" s="285">
        <v>59000</v>
      </c>
      <c r="O147" s="1258">
        <f t="shared" si="8"/>
        <v>59000</v>
      </c>
    </row>
    <row r="148" spans="1:15">
      <c r="A148" t="s">
        <v>22</v>
      </c>
      <c r="B148" s="285">
        <v>378000</v>
      </c>
      <c r="C148" s="285">
        <v>378000</v>
      </c>
      <c r="D148" s="285">
        <v>378000</v>
      </c>
      <c r="E148" s="285">
        <v>378000</v>
      </c>
      <c r="F148" s="285">
        <v>378000</v>
      </c>
      <c r="G148" s="285">
        <v>378000</v>
      </c>
      <c r="H148" s="285">
        <v>378000</v>
      </c>
      <c r="I148" s="285">
        <v>378000</v>
      </c>
      <c r="J148" s="285">
        <v>378000</v>
      </c>
      <c r="K148" s="285">
        <v>378000</v>
      </c>
      <c r="L148" s="285">
        <v>378000</v>
      </c>
      <c r="M148" s="285">
        <v>378000</v>
      </c>
      <c r="N148" s="285">
        <v>378000</v>
      </c>
      <c r="O148" s="1258">
        <f t="shared" si="8"/>
        <v>378000</v>
      </c>
    </row>
    <row r="149" spans="1:15">
      <c r="A149" t="s">
        <v>1074</v>
      </c>
      <c r="B149" s="285">
        <v>3023000</v>
      </c>
      <c r="C149" s="285">
        <v>3023000</v>
      </c>
      <c r="D149" s="285">
        <v>3023000</v>
      </c>
      <c r="E149" s="285">
        <v>3023000</v>
      </c>
      <c r="F149" s="285">
        <v>3023000</v>
      </c>
      <c r="G149" s="285">
        <v>3023000</v>
      </c>
      <c r="H149" s="285">
        <v>3023000</v>
      </c>
      <c r="I149" s="285">
        <v>3023000</v>
      </c>
      <c r="J149" s="285">
        <v>3023000</v>
      </c>
      <c r="K149" s="285">
        <v>3023000</v>
      </c>
      <c r="L149" s="285">
        <v>3023000</v>
      </c>
      <c r="M149" s="285">
        <v>3023000</v>
      </c>
      <c r="N149" s="285">
        <v>3023000</v>
      </c>
      <c r="O149" s="1258">
        <f t="shared" si="8"/>
        <v>3023000</v>
      </c>
    </row>
    <row r="150" spans="1:15">
      <c r="A150" t="s">
        <v>1120</v>
      </c>
      <c r="B150" s="285">
        <v>510000</v>
      </c>
      <c r="C150" s="285">
        <v>510000</v>
      </c>
      <c r="D150" s="285">
        <v>510000</v>
      </c>
      <c r="E150" s="285">
        <v>510000</v>
      </c>
      <c r="F150" s="285">
        <v>510000</v>
      </c>
      <c r="G150" s="285">
        <v>510000</v>
      </c>
      <c r="H150" s="285">
        <v>510000</v>
      </c>
      <c r="I150" s="285">
        <v>510000</v>
      </c>
      <c r="J150" s="285">
        <v>510000</v>
      </c>
      <c r="K150" s="285">
        <v>510000</v>
      </c>
      <c r="L150" s="285">
        <v>510000</v>
      </c>
      <c r="M150" s="285">
        <v>510000</v>
      </c>
      <c r="N150" s="285">
        <v>510000</v>
      </c>
      <c r="O150" s="1258">
        <f t="shared" si="8"/>
        <v>510000</v>
      </c>
    </row>
    <row r="151" spans="1:15">
      <c r="A151" t="s">
        <v>1159</v>
      </c>
      <c r="B151" s="285">
        <v>3475000</v>
      </c>
      <c r="C151" s="285">
        <v>3475000</v>
      </c>
      <c r="D151" s="285">
        <v>3475000</v>
      </c>
      <c r="E151" s="285">
        <v>3475000</v>
      </c>
      <c r="F151" s="285">
        <v>3475000</v>
      </c>
      <c r="G151" s="285">
        <v>3475000</v>
      </c>
      <c r="H151" s="285">
        <v>3475000</v>
      </c>
      <c r="I151" s="285">
        <v>3475000</v>
      </c>
      <c r="J151" s="285">
        <v>3475000</v>
      </c>
      <c r="K151" s="285">
        <v>3475000</v>
      </c>
      <c r="L151" s="285">
        <v>3475000</v>
      </c>
      <c r="M151" s="285">
        <v>3475000</v>
      </c>
      <c r="N151" s="285">
        <v>3475000</v>
      </c>
      <c r="O151" s="1258">
        <f t="shared" si="8"/>
        <v>3475000</v>
      </c>
    </row>
    <row r="152" spans="1:15">
      <c r="A152" t="s">
        <v>1075</v>
      </c>
      <c r="B152" s="285">
        <v>22546000</v>
      </c>
      <c r="C152" s="285">
        <v>22546000</v>
      </c>
      <c r="D152" s="285">
        <v>22546000</v>
      </c>
      <c r="E152" s="285">
        <v>22546000</v>
      </c>
      <c r="F152" s="285">
        <v>22546000</v>
      </c>
      <c r="G152" s="285">
        <v>22546000</v>
      </c>
      <c r="H152" s="285">
        <v>22546000</v>
      </c>
      <c r="I152" s="285">
        <v>22546000</v>
      </c>
      <c r="J152" s="285">
        <v>22546000</v>
      </c>
      <c r="K152" s="285">
        <v>22546000</v>
      </c>
      <c r="L152" s="285">
        <v>22546000</v>
      </c>
      <c r="M152" s="285">
        <v>22546000</v>
      </c>
      <c r="N152" s="285">
        <v>22546000</v>
      </c>
      <c r="O152" s="1258">
        <f>AVERAGE(B152:N152)</f>
        <v>22546000</v>
      </c>
    </row>
    <row r="153" spans="1:15">
      <c r="A153" t="s">
        <v>1121</v>
      </c>
      <c r="B153" s="285">
        <v>3837000</v>
      </c>
      <c r="C153" s="285">
        <v>3837000</v>
      </c>
      <c r="D153" s="285">
        <v>3837000</v>
      </c>
      <c r="E153" s="285">
        <v>3837000</v>
      </c>
      <c r="F153" s="285">
        <v>3837000</v>
      </c>
      <c r="G153" s="285">
        <v>3837000</v>
      </c>
      <c r="H153" s="285">
        <v>3837000</v>
      </c>
      <c r="I153" s="285">
        <v>3837000</v>
      </c>
      <c r="J153" s="285">
        <v>3837000</v>
      </c>
      <c r="K153" s="285">
        <v>3837000</v>
      </c>
      <c r="L153" s="285">
        <v>3837000</v>
      </c>
      <c r="M153" s="285">
        <v>3837000</v>
      </c>
      <c r="N153" s="285">
        <v>3837000</v>
      </c>
      <c r="O153" s="1258">
        <f t="shared" si="8"/>
        <v>3837000</v>
      </c>
    </row>
    <row r="154" spans="1:15">
      <c r="A154" t="s">
        <v>1122</v>
      </c>
      <c r="B154" s="285">
        <v>1080000</v>
      </c>
      <c r="C154" s="285">
        <v>1080000</v>
      </c>
      <c r="D154" s="285">
        <v>1080000</v>
      </c>
      <c r="E154" s="285">
        <v>1080000</v>
      </c>
      <c r="F154" s="285">
        <v>1080000</v>
      </c>
      <c r="G154" s="285">
        <v>1080000</v>
      </c>
      <c r="H154" s="285">
        <v>1080000</v>
      </c>
      <c r="I154" s="285">
        <v>1080000</v>
      </c>
      <c r="J154" s="285">
        <v>1080000</v>
      </c>
      <c r="K154" s="285">
        <v>1080000</v>
      </c>
      <c r="L154" s="285">
        <v>1080000</v>
      </c>
      <c r="M154" s="285">
        <v>1080000</v>
      </c>
      <c r="N154" s="285">
        <v>1080000</v>
      </c>
      <c r="O154" s="1258">
        <f t="shared" si="8"/>
        <v>1080000</v>
      </c>
    </row>
    <row r="155" spans="1:15">
      <c r="A155" t="s">
        <v>1123</v>
      </c>
      <c r="B155" s="285">
        <v>3086000</v>
      </c>
      <c r="C155" s="285">
        <v>3086000</v>
      </c>
      <c r="D155" s="285">
        <v>3086000</v>
      </c>
      <c r="E155" s="285">
        <v>3086000</v>
      </c>
      <c r="F155" s="285">
        <v>3086000</v>
      </c>
      <c r="G155" s="285">
        <v>3086000</v>
      </c>
      <c r="H155" s="285">
        <v>3086000</v>
      </c>
      <c r="I155" s="285">
        <v>3086000</v>
      </c>
      <c r="J155" s="285">
        <v>3086000</v>
      </c>
      <c r="K155" s="285">
        <v>3086000</v>
      </c>
      <c r="L155" s="285">
        <v>3086000</v>
      </c>
      <c r="M155" s="285">
        <v>3086000</v>
      </c>
      <c r="N155" s="285">
        <v>3086000</v>
      </c>
      <c r="O155" s="1258">
        <f t="shared" si="8"/>
        <v>3086000</v>
      </c>
    </row>
    <row r="156" spans="1:15">
      <c r="A156" t="s">
        <v>23</v>
      </c>
      <c r="B156" s="285">
        <v>8000</v>
      </c>
      <c r="C156" s="285">
        <v>8000</v>
      </c>
      <c r="D156" s="285">
        <v>8000</v>
      </c>
      <c r="E156" s="285">
        <v>8000</v>
      </c>
      <c r="F156" s="285">
        <v>8000</v>
      </c>
      <c r="G156" s="285">
        <v>8000</v>
      </c>
      <c r="H156" s="285">
        <v>8000</v>
      </c>
      <c r="I156" s="285">
        <v>8000</v>
      </c>
      <c r="J156" s="285">
        <v>8000</v>
      </c>
      <c r="K156" s="285">
        <v>8000</v>
      </c>
      <c r="L156" s="285">
        <v>8000</v>
      </c>
      <c r="M156" s="285">
        <v>8000</v>
      </c>
      <c r="N156" s="285">
        <v>8000</v>
      </c>
      <c r="O156" s="1258">
        <f t="shared" si="8"/>
        <v>8000</v>
      </c>
    </row>
    <row r="157" spans="1:15">
      <c r="A157" s="968" t="s">
        <v>1142</v>
      </c>
      <c r="B157" s="1297">
        <f t="shared" ref="B157:O157" si="9">SUM(B82:B156)</f>
        <v>177711000</v>
      </c>
      <c r="C157" s="1297">
        <f t="shared" si="9"/>
        <v>177712000</v>
      </c>
      <c r="D157" s="1297">
        <f t="shared" si="9"/>
        <v>177713000</v>
      </c>
      <c r="E157" s="1297">
        <f t="shared" si="9"/>
        <v>176362000</v>
      </c>
      <c r="F157" s="1297">
        <f t="shared" si="9"/>
        <v>176365000</v>
      </c>
      <c r="G157" s="1297">
        <f t="shared" si="9"/>
        <v>176366000</v>
      </c>
      <c r="H157" s="1297">
        <f t="shared" si="9"/>
        <v>176366000</v>
      </c>
      <c r="I157" s="1297">
        <f t="shared" si="9"/>
        <v>176366000</v>
      </c>
      <c r="J157" s="1297">
        <f t="shared" si="9"/>
        <v>199437000</v>
      </c>
      <c r="K157" s="1297">
        <f t="shared" si="9"/>
        <v>199429000</v>
      </c>
      <c r="L157" s="1297">
        <f t="shared" si="9"/>
        <v>199429000</v>
      </c>
      <c r="M157" s="1297">
        <f t="shared" si="9"/>
        <v>199437000</v>
      </c>
      <c r="N157" s="1297">
        <f t="shared" si="9"/>
        <v>199415000</v>
      </c>
      <c r="O157" s="1297">
        <f t="shared" si="9"/>
        <v>185546769.23076922</v>
      </c>
    </row>
    <row r="158" spans="1:15">
      <c r="B158" s="68"/>
      <c r="D158" s="68"/>
      <c r="O158" s="447"/>
    </row>
    <row r="159" spans="1:15">
      <c r="A159" t="s">
        <v>1160</v>
      </c>
      <c r="B159" s="285">
        <v>4082000</v>
      </c>
      <c r="C159" s="285">
        <v>4082000</v>
      </c>
      <c r="D159" s="285">
        <v>4082000</v>
      </c>
      <c r="E159" s="285">
        <v>4082000</v>
      </c>
      <c r="F159" s="285">
        <v>4082000</v>
      </c>
      <c r="G159" s="285">
        <v>4082000</v>
      </c>
      <c r="H159" s="285">
        <v>4082000</v>
      </c>
      <c r="I159" s="285">
        <v>4082000</v>
      </c>
      <c r="J159" s="285">
        <v>4082000</v>
      </c>
      <c r="K159" s="285">
        <v>4082000</v>
      </c>
      <c r="L159" s="285">
        <v>4082000</v>
      </c>
      <c r="M159" s="285">
        <v>4082000</v>
      </c>
      <c r="N159" s="285">
        <v>4082000</v>
      </c>
      <c r="O159" s="1258">
        <f>AVERAGE(B159:N159)</f>
        <v>4082000</v>
      </c>
    </row>
    <row r="160" spans="1:15">
      <c r="A160" t="s">
        <v>1161</v>
      </c>
      <c r="B160" s="285">
        <v>89000</v>
      </c>
      <c r="C160" s="285">
        <v>89000</v>
      </c>
      <c r="D160" s="285">
        <v>89000</v>
      </c>
      <c r="E160" s="285">
        <v>89000</v>
      </c>
      <c r="F160" s="285">
        <v>89000</v>
      </c>
      <c r="G160" s="285">
        <v>89000</v>
      </c>
      <c r="H160" s="285">
        <v>89000</v>
      </c>
      <c r="I160" s="285">
        <v>89000</v>
      </c>
      <c r="J160" s="285">
        <v>89000</v>
      </c>
      <c r="K160" s="285">
        <v>89000</v>
      </c>
      <c r="L160" s="285">
        <v>89000</v>
      </c>
      <c r="M160" s="285">
        <v>89000</v>
      </c>
      <c r="N160" s="285">
        <v>89000</v>
      </c>
      <c r="O160" s="1258">
        <f>AVERAGE(B160:N160)</f>
        <v>89000</v>
      </c>
    </row>
    <row r="161" spans="1:15">
      <c r="A161" t="s">
        <v>1162</v>
      </c>
      <c r="B161" s="285">
        <v>269000</v>
      </c>
      <c r="C161" s="285">
        <v>269000</v>
      </c>
      <c r="D161" s="285">
        <v>269000</v>
      </c>
      <c r="E161" s="285">
        <v>269000</v>
      </c>
      <c r="F161" s="285">
        <v>269000</v>
      </c>
      <c r="G161" s="285">
        <v>269000</v>
      </c>
      <c r="H161" s="285">
        <v>269000</v>
      </c>
      <c r="I161" s="285">
        <v>269000</v>
      </c>
      <c r="J161" s="285">
        <v>269000</v>
      </c>
      <c r="K161" s="285">
        <v>269000</v>
      </c>
      <c r="L161" s="285">
        <v>269000</v>
      </c>
      <c r="M161" s="285">
        <v>269000</v>
      </c>
      <c r="N161" s="285">
        <v>269000</v>
      </c>
      <c r="O161" s="1258">
        <f>AVERAGE(B161:N161)</f>
        <v>269000</v>
      </c>
    </row>
    <row r="162" spans="1:15">
      <c r="A162" s="968" t="s">
        <v>1143</v>
      </c>
      <c r="B162" s="1297">
        <f t="shared" ref="B162:O162" si="10">SUM(B159:B161)</f>
        <v>4440000</v>
      </c>
      <c r="C162" s="1297">
        <f t="shared" si="10"/>
        <v>4440000</v>
      </c>
      <c r="D162" s="1297">
        <f t="shared" si="10"/>
        <v>4440000</v>
      </c>
      <c r="E162" s="1297">
        <f t="shared" si="10"/>
        <v>4440000</v>
      </c>
      <c r="F162" s="1297">
        <f t="shared" si="10"/>
        <v>4440000</v>
      </c>
      <c r="G162" s="1297">
        <f t="shared" si="10"/>
        <v>4440000</v>
      </c>
      <c r="H162" s="1297">
        <f t="shared" si="10"/>
        <v>4440000</v>
      </c>
      <c r="I162" s="1297">
        <f t="shared" si="10"/>
        <v>4440000</v>
      </c>
      <c r="J162" s="1297">
        <f t="shared" si="10"/>
        <v>4440000</v>
      </c>
      <c r="K162" s="1297">
        <f t="shared" si="10"/>
        <v>4440000</v>
      </c>
      <c r="L162" s="1297">
        <f t="shared" si="10"/>
        <v>4440000</v>
      </c>
      <c r="M162" s="1297">
        <f t="shared" si="10"/>
        <v>4440000</v>
      </c>
      <c r="N162" s="1297">
        <f t="shared" si="10"/>
        <v>4440000</v>
      </c>
      <c r="O162" s="1297">
        <f t="shared" si="10"/>
        <v>4440000</v>
      </c>
    </row>
    <row r="163" spans="1:15">
      <c r="A163" s="102"/>
      <c r="B163" s="103"/>
      <c r="C163" s="103"/>
      <c r="D163" s="103"/>
      <c r="E163" s="103"/>
      <c r="F163" s="103"/>
      <c r="G163" s="103"/>
      <c r="H163" s="103"/>
      <c r="I163" s="103"/>
      <c r="J163" s="103"/>
      <c r="K163" s="103"/>
      <c r="L163" s="103"/>
      <c r="M163" s="103"/>
      <c r="N163" s="103"/>
      <c r="O163" s="1258"/>
    </row>
    <row r="164" spans="1:15">
      <c r="A164" s="585"/>
      <c r="B164" s="585"/>
      <c r="C164" s="585"/>
      <c r="D164" s="585"/>
      <c r="E164" s="585"/>
      <c r="F164" s="585"/>
      <c r="G164" s="585"/>
      <c r="H164" s="585"/>
      <c r="I164" s="585"/>
      <c r="J164" s="585"/>
      <c r="K164" s="585"/>
      <c r="L164" s="585"/>
      <c r="M164" s="585"/>
      <c r="N164" s="1124"/>
      <c r="O164" s="969"/>
    </row>
    <row r="165" spans="1:15" ht="15.75">
      <c r="A165" s="105" t="s">
        <v>1124</v>
      </c>
      <c r="B165" s="1289">
        <f t="shared" ref="B165:N165" si="11">B157+B55</f>
        <v>2081726000</v>
      </c>
      <c r="C165" s="1289">
        <f t="shared" si="11"/>
        <v>2099976000</v>
      </c>
      <c r="D165" s="1289">
        <f t="shared" si="11"/>
        <v>2115174000</v>
      </c>
      <c r="E165" s="1289">
        <f t="shared" si="11"/>
        <v>2123530000</v>
      </c>
      <c r="F165" s="1289">
        <f t="shared" si="11"/>
        <v>2129351000</v>
      </c>
      <c r="G165" s="1289">
        <f t="shared" si="11"/>
        <v>2132007000</v>
      </c>
      <c r="H165" s="1289">
        <f t="shared" si="11"/>
        <v>2133637000</v>
      </c>
      <c r="I165" s="1289">
        <f t="shared" si="11"/>
        <v>2139225000</v>
      </c>
      <c r="J165" s="1289">
        <f t="shared" si="11"/>
        <v>2185327000</v>
      </c>
      <c r="K165" s="1289">
        <f t="shared" si="11"/>
        <v>2187942000</v>
      </c>
      <c r="L165" s="1289">
        <f t="shared" si="11"/>
        <v>2197984000</v>
      </c>
      <c r="M165" s="1289">
        <f t="shared" si="11"/>
        <v>2218178000</v>
      </c>
      <c r="N165" s="1289">
        <f t="shared" si="11"/>
        <v>2262094000</v>
      </c>
      <c r="O165" s="1289">
        <f>AVERAGE(B165:N165)</f>
        <v>2154319307.6923075</v>
      </c>
    </row>
    <row r="166" spans="1:15" ht="15.75">
      <c r="A166" s="105" t="s">
        <v>1125</v>
      </c>
      <c r="B166" s="1289">
        <f t="shared" ref="B166:N166" si="12">B162+B71</f>
        <v>99074000</v>
      </c>
      <c r="C166" s="1289">
        <f t="shared" si="12"/>
        <v>99074000</v>
      </c>
      <c r="D166" s="1289">
        <f t="shared" si="12"/>
        <v>99074000</v>
      </c>
      <c r="E166" s="1289">
        <f t="shared" si="12"/>
        <v>99074000</v>
      </c>
      <c r="F166" s="1289">
        <f t="shared" si="12"/>
        <v>99074000</v>
      </c>
      <c r="G166" s="1289">
        <f t="shared" si="12"/>
        <v>99074000</v>
      </c>
      <c r="H166" s="1289">
        <f t="shared" si="12"/>
        <v>99074000</v>
      </c>
      <c r="I166" s="1289">
        <f t="shared" si="12"/>
        <v>99074000</v>
      </c>
      <c r="J166" s="1289">
        <f t="shared" si="12"/>
        <v>99074000</v>
      </c>
      <c r="K166" s="1289">
        <f t="shared" si="12"/>
        <v>99074000</v>
      </c>
      <c r="L166" s="1289">
        <f t="shared" si="12"/>
        <v>99074000</v>
      </c>
      <c r="M166" s="1289">
        <f t="shared" si="12"/>
        <v>99074000</v>
      </c>
      <c r="N166" s="1289">
        <f t="shared" si="12"/>
        <v>101468000</v>
      </c>
      <c r="O166" s="1289">
        <f>AVERAGE(B166:N166)</f>
        <v>99258153.84615384</v>
      </c>
    </row>
    <row r="167" spans="1:15" ht="15.75">
      <c r="A167" s="105" t="s">
        <v>1126</v>
      </c>
      <c r="B167" s="1289">
        <f t="shared" ref="B167:N167" si="13">B80</f>
        <v>94803000</v>
      </c>
      <c r="C167" s="1289">
        <f t="shared" si="13"/>
        <v>94803000</v>
      </c>
      <c r="D167" s="1289">
        <f t="shared" si="13"/>
        <v>94803000</v>
      </c>
      <c r="E167" s="1289">
        <f t="shared" si="13"/>
        <v>94803000</v>
      </c>
      <c r="F167" s="1289">
        <f t="shared" si="13"/>
        <v>94803000</v>
      </c>
      <c r="G167" s="1289">
        <f t="shared" si="13"/>
        <v>94803000</v>
      </c>
      <c r="H167" s="1289">
        <f t="shared" si="13"/>
        <v>94803000</v>
      </c>
      <c r="I167" s="1289">
        <f t="shared" si="13"/>
        <v>94803000</v>
      </c>
      <c r="J167" s="1289">
        <f t="shared" si="13"/>
        <v>94803000</v>
      </c>
      <c r="K167" s="1289">
        <f t="shared" si="13"/>
        <v>94803000</v>
      </c>
      <c r="L167" s="1289">
        <f t="shared" si="13"/>
        <v>94803000</v>
      </c>
      <c r="M167" s="1289">
        <f t="shared" si="13"/>
        <v>94803000</v>
      </c>
      <c r="N167" s="1289">
        <f t="shared" si="13"/>
        <v>97535000</v>
      </c>
      <c r="O167" s="1289">
        <f>AVERAGE(B167:N167)</f>
        <v>95013153.84615384</v>
      </c>
    </row>
    <row r="168" spans="1:15" ht="15.75">
      <c r="A168" s="105" t="s">
        <v>1163</v>
      </c>
      <c r="B168" s="1289">
        <f t="shared" ref="B168:N168" si="14">B57</f>
        <v>1558000</v>
      </c>
      <c r="C168" s="1289">
        <f t="shared" si="14"/>
        <v>1558000</v>
      </c>
      <c r="D168" s="1289">
        <f t="shared" si="14"/>
        <v>1558000</v>
      </c>
      <c r="E168" s="1289">
        <f t="shared" si="14"/>
        <v>1558000</v>
      </c>
      <c r="F168" s="1289">
        <f t="shared" si="14"/>
        <v>1558000</v>
      </c>
      <c r="G168" s="1289">
        <f t="shared" si="14"/>
        <v>1558000</v>
      </c>
      <c r="H168" s="1289">
        <f t="shared" si="14"/>
        <v>1558000</v>
      </c>
      <c r="I168" s="1289">
        <f t="shared" si="14"/>
        <v>1558000</v>
      </c>
      <c r="J168" s="1289">
        <f t="shared" si="14"/>
        <v>1558000</v>
      </c>
      <c r="K168" s="1289">
        <f t="shared" si="14"/>
        <v>1558000</v>
      </c>
      <c r="L168" s="1289">
        <f t="shared" si="14"/>
        <v>1558000</v>
      </c>
      <c r="M168" s="1289">
        <f t="shared" si="14"/>
        <v>1558000</v>
      </c>
      <c r="N168" s="1289">
        <f t="shared" si="14"/>
        <v>1891000</v>
      </c>
      <c r="O168" s="1289">
        <f>AVERAGE(B168:N168)</f>
        <v>1583615.3846153845</v>
      </c>
    </row>
    <row r="169" spans="1:15">
      <c r="A169" s="105" t="s">
        <v>1127</v>
      </c>
      <c r="B169" s="598">
        <f>SUM(B165:B168)</f>
        <v>2277161000</v>
      </c>
      <c r="C169" s="598">
        <f t="shared" ref="C169:M169" si="15">SUM(C165:C168)</f>
        <v>2295411000</v>
      </c>
      <c r="D169" s="598">
        <f t="shared" si="15"/>
        <v>2310609000</v>
      </c>
      <c r="E169" s="598">
        <f t="shared" si="15"/>
        <v>2318965000</v>
      </c>
      <c r="F169" s="598">
        <f t="shared" si="15"/>
        <v>2324786000</v>
      </c>
      <c r="G169" s="598">
        <f t="shared" si="15"/>
        <v>2327442000</v>
      </c>
      <c r="H169" s="598">
        <f t="shared" si="15"/>
        <v>2329072000</v>
      </c>
      <c r="I169" s="598">
        <f t="shared" si="15"/>
        <v>2334660000</v>
      </c>
      <c r="J169" s="598">
        <f t="shared" si="15"/>
        <v>2380762000</v>
      </c>
      <c r="K169" s="598">
        <f t="shared" si="15"/>
        <v>2383377000</v>
      </c>
      <c r="L169" s="598">
        <f t="shared" si="15"/>
        <v>2393419000</v>
      </c>
      <c r="M169" s="598">
        <f t="shared" si="15"/>
        <v>2413613000</v>
      </c>
      <c r="N169" s="598">
        <f>SUM(N165:N168)</f>
        <v>2462988000</v>
      </c>
      <c r="O169" s="598">
        <f>SUM(O165:O168)</f>
        <v>2350174230.7692304</v>
      </c>
    </row>
    <row r="170" spans="1:15">
      <c r="A170" s="585"/>
      <c r="B170" s="585"/>
      <c r="C170" s="585"/>
      <c r="D170" s="585"/>
      <c r="E170" s="585"/>
      <c r="F170" s="585"/>
      <c r="G170" s="585"/>
      <c r="H170" s="585"/>
      <c r="I170" s="585"/>
      <c r="J170" s="585"/>
      <c r="K170" s="585"/>
      <c r="L170" s="585"/>
      <c r="M170" s="585"/>
    </row>
    <row r="171" spans="1:15">
      <c r="A171" s="104" t="s">
        <v>1128</v>
      </c>
      <c r="B171" s="585"/>
      <c r="C171" s="585"/>
      <c r="D171" s="585"/>
      <c r="E171" s="585"/>
      <c r="F171" s="585"/>
      <c r="G171" s="585"/>
      <c r="H171" s="585"/>
      <c r="I171" s="585"/>
      <c r="J171" s="585"/>
      <c r="K171" s="585"/>
      <c r="L171" s="585"/>
      <c r="M171" s="585"/>
      <c r="O171" s="102" t="s">
        <v>1129</v>
      </c>
    </row>
    <row r="172" spans="1:15">
      <c r="A172" s="104"/>
      <c r="B172" s="585"/>
      <c r="C172" s="585"/>
      <c r="D172" s="585"/>
      <c r="E172" s="585"/>
      <c r="F172" s="585"/>
      <c r="G172" s="585"/>
      <c r="H172" s="585"/>
      <c r="I172" s="585"/>
      <c r="J172" s="585"/>
      <c r="K172" s="585"/>
      <c r="L172" s="585"/>
      <c r="M172" s="585"/>
      <c r="O172" s="102"/>
    </row>
    <row r="173" spans="1:15">
      <c r="A173" s="585"/>
      <c r="B173" s="585"/>
      <c r="C173" s="585"/>
      <c r="D173" s="585"/>
      <c r="E173" s="585"/>
      <c r="F173" s="585"/>
      <c r="G173" s="585"/>
      <c r="H173" s="585"/>
      <c r="I173" s="585"/>
      <c r="J173" s="585"/>
      <c r="K173" s="585"/>
      <c r="L173" s="585"/>
      <c r="M173" s="585"/>
      <c r="N173" s="68"/>
    </row>
    <row r="174" spans="1:15">
      <c r="A174" s="583" t="s">
        <v>1131</v>
      </c>
      <c r="O174" s="586"/>
    </row>
    <row r="175" spans="1:15" ht="15">
      <c r="A175" s="105" t="s">
        <v>534</v>
      </c>
      <c r="B175" s="1052">
        <f t="shared" ref="B175:N175" si="16">B5</f>
        <v>45627</v>
      </c>
      <c r="C175" s="1052">
        <f t="shared" si="16"/>
        <v>45658</v>
      </c>
      <c r="D175" s="1052">
        <f t="shared" si="16"/>
        <v>45689</v>
      </c>
      <c r="E175" s="1052">
        <f t="shared" si="16"/>
        <v>45717</v>
      </c>
      <c r="F175" s="1052">
        <f t="shared" si="16"/>
        <v>45748</v>
      </c>
      <c r="G175" s="1052">
        <f t="shared" si="16"/>
        <v>45778</v>
      </c>
      <c r="H175" s="1052">
        <f t="shared" si="16"/>
        <v>45809</v>
      </c>
      <c r="I175" s="1052">
        <f t="shared" si="16"/>
        <v>45839</v>
      </c>
      <c r="J175" s="1052">
        <f t="shared" si="16"/>
        <v>45870</v>
      </c>
      <c r="K175" s="1052">
        <f t="shared" si="16"/>
        <v>45901</v>
      </c>
      <c r="L175" s="1052">
        <f t="shared" si="16"/>
        <v>45931</v>
      </c>
      <c r="M175" s="1052">
        <f t="shared" si="16"/>
        <v>45962</v>
      </c>
      <c r="N175" s="1052">
        <f t="shared" si="16"/>
        <v>45992</v>
      </c>
      <c r="O175" s="584" t="s">
        <v>79</v>
      </c>
    </row>
    <row r="176" spans="1:15">
      <c r="A176" t="s">
        <v>1156</v>
      </c>
      <c r="B176" s="285">
        <v>4309000</v>
      </c>
      <c r="C176" s="285">
        <v>4333000</v>
      </c>
      <c r="D176" s="285">
        <v>4358000</v>
      </c>
      <c r="E176" s="285">
        <v>4382000</v>
      </c>
      <c r="F176" s="285">
        <v>4406000</v>
      </c>
      <c r="G176" s="285">
        <v>4431000</v>
      </c>
      <c r="H176" s="285">
        <v>4455000</v>
      </c>
      <c r="I176" s="285">
        <v>4479000</v>
      </c>
      <c r="J176" s="285">
        <v>4504000</v>
      </c>
      <c r="K176" s="285">
        <v>4528000</v>
      </c>
      <c r="L176" s="285">
        <v>4553000</v>
      </c>
      <c r="M176" s="285">
        <v>4579000</v>
      </c>
      <c r="N176" s="285">
        <v>4605000</v>
      </c>
      <c r="O176" s="108">
        <f t="shared" ref="O176:O224" si="17">AVERAGE(B176:N176)</f>
        <v>4455538.461538462</v>
      </c>
    </row>
    <row r="177" spans="1:15">
      <c r="A177" t="s">
        <v>426</v>
      </c>
      <c r="B177" s="285">
        <v>993000</v>
      </c>
      <c r="C177" s="285">
        <v>1003000</v>
      </c>
      <c r="D177" s="285">
        <v>1013000</v>
      </c>
      <c r="E177" s="285">
        <v>1023000</v>
      </c>
      <c r="F177" s="285">
        <v>1033000</v>
      </c>
      <c r="G177" s="285">
        <v>1043000</v>
      </c>
      <c r="H177" s="285">
        <v>1053000</v>
      </c>
      <c r="I177" s="285">
        <v>1064000</v>
      </c>
      <c r="J177" s="285">
        <v>1074000</v>
      </c>
      <c r="K177" s="285">
        <v>1084000</v>
      </c>
      <c r="L177" s="285">
        <v>1094000</v>
      </c>
      <c r="M177" s="285">
        <v>1104000</v>
      </c>
      <c r="N177" s="285">
        <v>1114000</v>
      </c>
      <c r="O177" s="108">
        <f t="shared" si="17"/>
        <v>1053461.5384615385</v>
      </c>
    </row>
    <row r="178" spans="1:15">
      <c r="A178" t="s">
        <v>486</v>
      </c>
      <c r="B178" s="285">
        <v>11316000</v>
      </c>
      <c r="C178" s="285">
        <v>11335000</v>
      </c>
      <c r="D178" s="285">
        <v>11354000</v>
      </c>
      <c r="E178" s="285">
        <v>11372000</v>
      </c>
      <c r="F178" s="285">
        <v>11391000</v>
      </c>
      <c r="G178" s="285">
        <v>11410000</v>
      </c>
      <c r="H178" s="285">
        <v>11429000</v>
      </c>
      <c r="I178" s="285">
        <v>11448000</v>
      </c>
      <c r="J178" s="285">
        <v>11466000</v>
      </c>
      <c r="K178" s="285">
        <v>11485000</v>
      </c>
      <c r="L178" s="285">
        <v>11504000</v>
      </c>
      <c r="M178" s="285">
        <v>11523000</v>
      </c>
      <c r="N178" s="285">
        <v>11542000</v>
      </c>
      <c r="O178" s="108">
        <f t="shared" si="17"/>
        <v>11428846.153846154</v>
      </c>
    </row>
    <row r="179" spans="1:15">
      <c r="A179" t="s">
        <v>1106</v>
      </c>
      <c r="B179" s="285">
        <v>71000</v>
      </c>
      <c r="C179" s="285">
        <v>71000</v>
      </c>
      <c r="D179" s="285">
        <v>71000</v>
      </c>
      <c r="E179" s="285">
        <v>71000</v>
      </c>
      <c r="F179" s="285">
        <v>71000</v>
      </c>
      <c r="G179" s="285">
        <v>71000</v>
      </c>
      <c r="H179" s="285">
        <v>71000</v>
      </c>
      <c r="I179" s="285">
        <v>71000</v>
      </c>
      <c r="J179" s="285">
        <v>71000</v>
      </c>
      <c r="K179" s="285">
        <v>71000</v>
      </c>
      <c r="L179" s="285">
        <v>71000</v>
      </c>
      <c r="M179" s="285">
        <v>71000</v>
      </c>
      <c r="N179" s="285">
        <v>71000</v>
      </c>
      <c r="O179" s="108">
        <f t="shared" si="17"/>
        <v>71000</v>
      </c>
    </row>
    <row r="180" spans="1:15">
      <c r="A180" t="s">
        <v>1107</v>
      </c>
      <c r="B180" s="285">
        <v>51000</v>
      </c>
      <c r="C180" s="285">
        <v>52000</v>
      </c>
      <c r="D180" s="285">
        <v>52000</v>
      </c>
      <c r="E180" s="285">
        <v>52000</v>
      </c>
      <c r="F180" s="285">
        <v>52000</v>
      </c>
      <c r="G180" s="285">
        <v>52000</v>
      </c>
      <c r="H180" s="285">
        <v>52000</v>
      </c>
      <c r="I180" s="285">
        <v>52000</v>
      </c>
      <c r="J180" s="285">
        <v>52000</v>
      </c>
      <c r="K180" s="285">
        <v>52000</v>
      </c>
      <c r="L180" s="285">
        <v>52000</v>
      </c>
      <c r="M180" s="285">
        <v>52000</v>
      </c>
      <c r="N180" s="285">
        <v>52000</v>
      </c>
      <c r="O180" s="108">
        <f t="shared" si="17"/>
        <v>51923.076923076922</v>
      </c>
    </row>
    <row r="181" spans="1:15">
      <c r="A181" t="s">
        <v>1344</v>
      </c>
      <c r="B181" s="285">
        <v>0</v>
      </c>
      <c r="C181" s="285">
        <v>1758000</v>
      </c>
      <c r="D181" s="285">
        <v>1832000</v>
      </c>
      <c r="E181" s="285">
        <v>1905000</v>
      </c>
      <c r="F181" s="285">
        <v>1961000</v>
      </c>
      <c r="G181" s="285">
        <v>2034000</v>
      </c>
      <c r="H181" s="285">
        <v>2107000</v>
      </c>
      <c r="I181" s="285">
        <v>2051000</v>
      </c>
      <c r="J181" s="285">
        <v>2085000</v>
      </c>
      <c r="K181" s="285">
        <v>2110000</v>
      </c>
      <c r="L181" s="285">
        <v>2013000</v>
      </c>
      <c r="M181" s="285">
        <v>2073000</v>
      </c>
      <c r="N181" s="285">
        <v>1960000</v>
      </c>
      <c r="O181" s="108">
        <f t="shared" si="17"/>
        <v>1837615.3846153845</v>
      </c>
    </row>
    <row r="182" spans="1:15">
      <c r="A182" t="s">
        <v>1345</v>
      </c>
      <c r="B182" s="285">
        <v>0</v>
      </c>
      <c r="C182" s="285">
        <v>17000</v>
      </c>
      <c r="D182" s="285">
        <v>18000</v>
      </c>
      <c r="E182" s="285">
        <v>19000</v>
      </c>
      <c r="F182" s="285">
        <v>20000</v>
      </c>
      <c r="G182" s="285">
        <v>21000</v>
      </c>
      <c r="H182" s="285">
        <v>22000</v>
      </c>
      <c r="I182" s="285">
        <v>23000</v>
      </c>
      <c r="J182" s="285">
        <v>24000</v>
      </c>
      <c r="K182" s="285">
        <v>25000</v>
      </c>
      <c r="L182" s="285">
        <v>27000</v>
      </c>
      <c r="M182" s="285">
        <v>28000</v>
      </c>
      <c r="N182" s="285">
        <v>103000</v>
      </c>
      <c r="O182" s="108">
        <f t="shared" si="17"/>
        <v>26692.307692307691</v>
      </c>
    </row>
    <row r="183" spans="1:15">
      <c r="A183" t="s">
        <v>1346</v>
      </c>
      <c r="B183" s="285">
        <v>0</v>
      </c>
      <c r="C183" s="285">
        <v>5564000</v>
      </c>
      <c r="D183" s="285">
        <v>5643000</v>
      </c>
      <c r="E183" s="285">
        <v>5665000</v>
      </c>
      <c r="F183" s="285">
        <v>5749000</v>
      </c>
      <c r="G183" s="285">
        <v>5834000</v>
      </c>
      <c r="H183" s="285">
        <v>5918000</v>
      </c>
      <c r="I183" s="285">
        <v>6004000</v>
      </c>
      <c r="J183" s="285">
        <v>6090000</v>
      </c>
      <c r="K183" s="285">
        <v>6177000</v>
      </c>
      <c r="L183" s="285">
        <v>6264000</v>
      </c>
      <c r="M183" s="285">
        <v>6350000</v>
      </c>
      <c r="N183" s="285">
        <v>6120000</v>
      </c>
      <c r="O183" s="108">
        <f t="shared" si="17"/>
        <v>5490615.384615385</v>
      </c>
    </row>
    <row r="184" spans="1:15">
      <c r="A184" t="s">
        <v>490</v>
      </c>
      <c r="B184" s="285">
        <v>879000</v>
      </c>
      <c r="C184" s="285">
        <v>885000</v>
      </c>
      <c r="D184" s="285">
        <v>891000</v>
      </c>
      <c r="E184" s="285">
        <v>896000</v>
      </c>
      <c r="F184" s="285">
        <v>902000</v>
      </c>
      <c r="G184" s="285">
        <v>908000</v>
      </c>
      <c r="H184" s="285">
        <v>914000</v>
      </c>
      <c r="I184" s="285">
        <v>920000</v>
      </c>
      <c r="J184" s="285">
        <v>926000</v>
      </c>
      <c r="K184" s="285">
        <v>932000</v>
      </c>
      <c r="L184" s="285">
        <v>938000</v>
      </c>
      <c r="M184" s="285">
        <v>944000</v>
      </c>
      <c r="N184" s="285">
        <v>950000</v>
      </c>
      <c r="O184" s="108">
        <f t="shared" si="17"/>
        <v>914230.76923076925</v>
      </c>
    </row>
    <row r="185" spans="1:15">
      <c r="A185" t="s">
        <v>427</v>
      </c>
      <c r="B185" s="285">
        <v>444000</v>
      </c>
      <c r="C185" s="285">
        <v>446000</v>
      </c>
      <c r="D185" s="285">
        <v>449000</v>
      </c>
      <c r="E185" s="285">
        <v>451000</v>
      </c>
      <c r="F185" s="285">
        <v>453000</v>
      </c>
      <c r="G185" s="285">
        <v>455000</v>
      </c>
      <c r="H185" s="285">
        <v>457000</v>
      </c>
      <c r="I185" s="285">
        <v>459000</v>
      </c>
      <c r="J185" s="285">
        <v>461000</v>
      </c>
      <c r="K185" s="285">
        <v>463000</v>
      </c>
      <c r="L185" s="285">
        <v>466000</v>
      </c>
      <c r="M185" s="285">
        <v>468000</v>
      </c>
      <c r="N185" s="285">
        <v>470000</v>
      </c>
      <c r="O185" s="108">
        <f t="shared" si="17"/>
        <v>457076.92307692306</v>
      </c>
    </row>
    <row r="186" spans="1:15">
      <c r="A186" t="s">
        <v>491</v>
      </c>
      <c r="B186" s="285">
        <v>1056000</v>
      </c>
      <c r="C186" s="285">
        <v>1059000</v>
      </c>
      <c r="D186" s="285">
        <v>1061000</v>
      </c>
      <c r="E186" s="285">
        <v>1064000</v>
      </c>
      <c r="F186" s="285">
        <v>1067000</v>
      </c>
      <c r="G186" s="285">
        <v>1069000</v>
      </c>
      <c r="H186" s="285">
        <v>1072000</v>
      </c>
      <c r="I186" s="285">
        <v>1075000</v>
      </c>
      <c r="J186" s="285">
        <v>1077000</v>
      </c>
      <c r="K186" s="285">
        <v>1080000</v>
      </c>
      <c r="L186" s="285">
        <v>1083000</v>
      </c>
      <c r="M186" s="285">
        <v>1085000</v>
      </c>
      <c r="N186" s="285">
        <v>1088000</v>
      </c>
      <c r="O186" s="108">
        <f t="shared" si="17"/>
        <v>1072000</v>
      </c>
    </row>
    <row r="187" spans="1:15">
      <c r="A187" t="s">
        <v>1165</v>
      </c>
      <c r="B187" s="285">
        <v>220000</v>
      </c>
      <c r="C187" s="285">
        <v>220000</v>
      </c>
      <c r="D187" s="285">
        <v>220000</v>
      </c>
      <c r="E187" s="285">
        <v>220000</v>
      </c>
      <c r="F187" s="285">
        <v>220000</v>
      </c>
      <c r="G187" s="285">
        <v>220000</v>
      </c>
      <c r="H187" s="285">
        <v>220000</v>
      </c>
      <c r="I187" s="285">
        <v>220000</v>
      </c>
      <c r="J187" s="285">
        <v>220000</v>
      </c>
      <c r="K187" s="285">
        <v>220000</v>
      </c>
      <c r="L187" s="285">
        <v>220000</v>
      </c>
      <c r="M187" s="285">
        <v>220000</v>
      </c>
      <c r="N187" s="285">
        <v>220000</v>
      </c>
      <c r="O187" s="108">
        <f>AVERAGE(B187:N187)</f>
        <v>220000</v>
      </c>
    </row>
    <row r="188" spans="1:15">
      <c r="A188" t="s">
        <v>1108</v>
      </c>
      <c r="B188" s="285">
        <v>1356000</v>
      </c>
      <c r="C188" s="285">
        <v>1363000</v>
      </c>
      <c r="D188" s="285">
        <v>1370000</v>
      </c>
      <c r="E188" s="285">
        <v>1377000</v>
      </c>
      <c r="F188" s="285">
        <v>1383000</v>
      </c>
      <c r="G188" s="285">
        <v>1390000</v>
      </c>
      <c r="H188" s="285">
        <v>1397000</v>
      </c>
      <c r="I188" s="285">
        <v>1404000</v>
      </c>
      <c r="J188" s="285">
        <v>1411000</v>
      </c>
      <c r="K188" s="285">
        <v>1379000</v>
      </c>
      <c r="L188" s="285">
        <v>1386000</v>
      </c>
      <c r="M188" s="285">
        <v>1393000</v>
      </c>
      <c r="N188" s="285">
        <v>1400000</v>
      </c>
      <c r="O188" s="108">
        <v>22334713.636923078</v>
      </c>
    </row>
    <row r="189" spans="1:15">
      <c r="A189" t="s">
        <v>493</v>
      </c>
      <c r="B189" s="285">
        <v>443000</v>
      </c>
      <c r="C189" s="285">
        <v>452000</v>
      </c>
      <c r="D189" s="285">
        <v>460000</v>
      </c>
      <c r="E189" s="285">
        <v>469000</v>
      </c>
      <c r="F189" s="285">
        <v>478000</v>
      </c>
      <c r="G189" s="285">
        <v>486000</v>
      </c>
      <c r="H189" s="285">
        <v>495000</v>
      </c>
      <c r="I189" s="285">
        <v>503000</v>
      </c>
      <c r="J189" s="285">
        <v>512000</v>
      </c>
      <c r="K189" s="285">
        <v>520000</v>
      </c>
      <c r="L189" s="285">
        <v>529000</v>
      </c>
      <c r="M189" s="285">
        <v>537000</v>
      </c>
      <c r="N189" s="285">
        <v>546000</v>
      </c>
      <c r="O189" s="108">
        <f t="shared" si="17"/>
        <v>494615.38461538462</v>
      </c>
    </row>
    <row r="190" spans="1:15">
      <c r="A190" t="s">
        <v>494</v>
      </c>
      <c r="B190" s="285">
        <v>34083000</v>
      </c>
      <c r="C190" s="285">
        <v>34388000</v>
      </c>
      <c r="D190" s="285">
        <v>34690000</v>
      </c>
      <c r="E190" s="285">
        <v>34378000</v>
      </c>
      <c r="F190" s="285">
        <v>34686000</v>
      </c>
      <c r="G190" s="285">
        <v>35000000</v>
      </c>
      <c r="H190" s="285">
        <v>35314000</v>
      </c>
      <c r="I190" s="285">
        <v>35627000</v>
      </c>
      <c r="J190" s="285">
        <v>35941000</v>
      </c>
      <c r="K190" s="285">
        <v>36260000</v>
      </c>
      <c r="L190" s="285">
        <v>36583000</v>
      </c>
      <c r="M190" s="285">
        <v>36907000</v>
      </c>
      <c r="N190" s="285">
        <v>37022000</v>
      </c>
      <c r="O190" s="108">
        <f t="shared" si="17"/>
        <v>35452230.769230768</v>
      </c>
    </row>
    <row r="191" spans="1:15">
      <c r="A191" t="s">
        <v>1327</v>
      </c>
      <c r="B191" s="285">
        <v>0</v>
      </c>
      <c r="C191" s="285">
        <v>0</v>
      </c>
      <c r="D191" s="285">
        <v>1000</v>
      </c>
      <c r="E191" s="285">
        <v>1000</v>
      </c>
      <c r="F191" s="285">
        <v>1000</v>
      </c>
      <c r="G191" s="285">
        <v>2000</v>
      </c>
      <c r="H191" s="285">
        <v>2000</v>
      </c>
      <c r="I191" s="285">
        <v>2000</v>
      </c>
      <c r="J191" s="285">
        <v>3000</v>
      </c>
      <c r="K191" s="285">
        <v>3000</v>
      </c>
      <c r="L191" s="285">
        <v>3000</v>
      </c>
      <c r="M191" s="285">
        <v>4000</v>
      </c>
      <c r="N191" s="285">
        <v>4000</v>
      </c>
      <c r="O191" s="108">
        <f t="shared" si="17"/>
        <v>2000</v>
      </c>
    </row>
    <row r="192" spans="1:15">
      <c r="A192" t="s">
        <v>1066</v>
      </c>
      <c r="B192" s="285">
        <v>193000</v>
      </c>
      <c r="C192" s="285">
        <v>196000</v>
      </c>
      <c r="D192" s="285">
        <v>199000</v>
      </c>
      <c r="E192" s="285">
        <v>202000</v>
      </c>
      <c r="F192" s="285">
        <v>205000</v>
      </c>
      <c r="G192" s="285">
        <v>208000</v>
      </c>
      <c r="H192" s="285">
        <v>211000</v>
      </c>
      <c r="I192" s="285">
        <v>213000</v>
      </c>
      <c r="J192" s="285">
        <v>216000</v>
      </c>
      <c r="K192" s="285">
        <v>219000</v>
      </c>
      <c r="L192" s="285">
        <v>222000</v>
      </c>
      <c r="M192" s="285">
        <v>225000</v>
      </c>
      <c r="N192" s="285">
        <v>228000</v>
      </c>
      <c r="O192" s="108">
        <f t="shared" si="17"/>
        <v>210538.46153846153</v>
      </c>
    </row>
    <row r="193" spans="1:15">
      <c r="A193" t="s">
        <v>1173</v>
      </c>
      <c r="B193" s="285">
        <v>41026000</v>
      </c>
      <c r="C193" s="285">
        <v>41553000</v>
      </c>
      <c r="D193" s="285">
        <v>42113000</v>
      </c>
      <c r="E193" s="285">
        <v>42678000</v>
      </c>
      <c r="F193" s="285">
        <v>43244000</v>
      </c>
      <c r="G193" s="285">
        <v>43815000</v>
      </c>
      <c r="H193" s="285">
        <v>44355000</v>
      </c>
      <c r="I193" s="285">
        <v>44929000</v>
      </c>
      <c r="J193" s="285">
        <v>45508000</v>
      </c>
      <c r="K193" s="285">
        <v>45200000</v>
      </c>
      <c r="L193" s="285">
        <v>45768000</v>
      </c>
      <c r="M193" s="285">
        <v>46343000</v>
      </c>
      <c r="N193" s="285">
        <v>46931000</v>
      </c>
      <c r="O193" s="108">
        <f t="shared" si="17"/>
        <v>44112538.461538464</v>
      </c>
    </row>
    <row r="194" spans="1:15">
      <c r="A194" t="s">
        <v>495</v>
      </c>
      <c r="B194" s="285">
        <v>2864000</v>
      </c>
      <c r="C194" s="285">
        <v>2874000</v>
      </c>
      <c r="D194" s="285">
        <v>2883000</v>
      </c>
      <c r="E194" s="285">
        <v>2893000</v>
      </c>
      <c r="F194" s="285">
        <v>2903000</v>
      </c>
      <c r="G194" s="285">
        <v>2912000</v>
      </c>
      <c r="H194" s="285">
        <v>2922000</v>
      </c>
      <c r="I194" s="285">
        <v>2931000</v>
      </c>
      <c r="J194" s="285">
        <v>2941000</v>
      </c>
      <c r="K194" s="285">
        <v>2951000</v>
      </c>
      <c r="L194" s="285">
        <v>2960000</v>
      </c>
      <c r="M194" s="285">
        <v>2970000</v>
      </c>
      <c r="N194" s="285">
        <v>2979000</v>
      </c>
      <c r="O194" s="108">
        <f t="shared" si="17"/>
        <v>2921769.230769231</v>
      </c>
    </row>
    <row r="195" spans="1:15">
      <c r="A195" t="s">
        <v>1166</v>
      </c>
      <c r="B195" s="285">
        <v>144000</v>
      </c>
      <c r="C195" s="285">
        <v>0</v>
      </c>
      <c r="D195" s="285">
        <v>0</v>
      </c>
      <c r="E195" s="285">
        <v>0</v>
      </c>
      <c r="F195" s="285">
        <v>0</v>
      </c>
      <c r="G195" s="285">
        <v>0</v>
      </c>
      <c r="H195" s="285">
        <v>0</v>
      </c>
      <c r="I195" s="285">
        <v>0</v>
      </c>
      <c r="J195" s="285">
        <v>0</v>
      </c>
      <c r="K195" s="285">
        <v>0</v>
      </c>
      <c r="L195" s="285">
        <v>0</v>
      </c>
      <c r="M195" s="285">
        <v>0</v>
      </c>
      <c r="N195" s="285">
        <v>0</v>
      </c>
      <c r="O195" s="108">
        <f t="shared" si="17"/>
        <v>11076.923076923076</v>
      </c>
    </row>
    <row r="196" spans="1:15">
      <c r="A196" t="s">
        <v>1318</v>
      </c>
      <c r="B196" s="285">
        <v>-44000</v>
      </c>
      <c r="C196" s="285">
        <v>-44000</v>
      </c>
      <c r="D196" s="285">
        <v>-44000</v>
      </c>
      <c r="E196" s="285">
        <v>-44000</v>
      </c>
      <c r="F196" s="285">
        <v>-44000</v>
      </c>
      <c r="G196" s="285">
        <v>-44000</v>
      </c>
      <c r="H196" s="285">
        <v>-44000</v>
      </c>
      <c r="I196" s="285">
        <v>-44000</v>
      </c>
      <c r="J196" s="285">
        <v>-44000</v>
      </c>
      <c r="K196" s="285">
        <v>-44000</v>
      </c>
      <c r="L196" s="285">
        <v>-44000</v>
      </c>
      <c r="M196" s="285">
        <v>-44000</v>
      </c>
      <c r="N196" s="285">
        <v>-44000</v>
      </c>
      <c r="O196" s="108">
        <f t="shared" si="17"/>
        <v>-44000</v>
      </c>
    </row>
    <row r="197" spans="1:15">
      <c r="A197" t="s">
        <v>496</v>
      </c>
      <c r="B197" s="285">
        <v>69635187</v>
      </c>
      <c r="C197" s="285">
        <v>75211000</v>
      </c>
      <c r="D197" s="285">
        <v>75589000</v>
      </c>
      <c r="E197" s="285">
        <v>75938000</v>
      </c>
      <c r="F197" s="285">
        <v>76316000</v>
      </c>
      <c r="G197" s="285">
        <v>76694000</v>
      </c>
      <c r="H197" s="285">
        <v>76944000</v>
      </c>
      <c r="I197" s="285">
        <v>77321000</v>
      </c>
      <c r="J197" s="285">
        <v>77650000</v>
      </c>
      <c r="K197" s="285">
        <v>77861000</v>
      </c>
      <c r="L197" s="285">
        <v>78191000</v>
      </c>
      <c r="M197" s="285">
        <v>78569000</v>
      </c>
      <c r="N197" s="285">
        <v>73785385</v>
      </c>
      <c r="O197" s="108">
        <f t="shared" si="17"/>
        <v>76131120.923076928</v>
      </c>
    </row>
    <row r="198" spans="1:15">
      <c r="A198" t="s">
        <v>497</v>
      </c>
      <c r="B198" s="285">
        <v>9686000</v>
      </c>
      <c r="C198" s="285">
        <v>9712000</v>
      </c>
      <c r="D198" s="285">
        <v>9738000</v>
      </c>
      <c r="E198" s="285">
        <v>9764000</v>
      </c>
      <c r="F198" s="285">
        <v>9790000</v>
      </c>
      <c r="G198" s="285">
        <v>9815000</v>
      </c>
      <c r="H198" s="285">
        <v>9841000</v>
      </c>
      <c r="I198" s="285">
        <v>9867000</v>
      </c>
      <c r="J198" s="285">
        <v>9893000</v>
      </c>
      <c r="K198" s="285">
        <v>9919000</v>
      </c>
      <c r="L198" s="285">
        <v>9945000</v>
      </c>
      <c r="M198" s="285">
        <v>9970000</v>
      </c>
      <c r="N198" s="285">
        <v>9996000</v>
      </c>
      <c r="O198" s="108">
        <f t="shared" si="17"/>
        <v>9841230.7692307699</v>
      </c>
    </row>
    <row r="199" spans="1:15">
      <c r="A199" t="s">
        <v>501</v>
      </c>
      <c r="B199" s="285">
        <v>2533000</v>
      </c>
      <c r="C199" s="285">
        <v>2538000</v>
      </c>
      <c r="D199" s="285">
        <v>2544000</v>
      </c>
      <c r="E199" s="285">
        <v>2549000</v>
      </c>
      <c r="F199" s="285">
        <v>2554000</v>
      </c>
      <c r="G199" s="285">
        <v>2560000</v>
      </c>
      <c r="H199" s="285">
        <v>2565000</v>
      </c>
      <c r="I199" s="285">
        <v>2571000</v>
      </c>
      <c r="J199" s="285">
        <v>2576000</v>
      </c>
      <c r="K199" s="285">
        <v>2581000</v>
      </c>
      <c r="L199" s="285">
        <v>2587000</v>
      </c>
      <c r="M199" s="285">
        <v>2592000</v>
      </c>
      <c r="N199" s="285">
        <v>2598000</v>
      </c>
      <c r="O199" s="108">
        <f t="shared" si="17"/>
        <v>2565230.769230769</v>
      </c>
    </row>
    <row r="200" spans="1:15">
      <c r="A200" t="s">
        <v>502</v>
      </c>
      <c r="B200" s="285">
        <v>1086000</v>
      </c>
      <c r="C200" s="285">
        <v>1087000</v>
      </c>
      <c r="D200" s="285">
        <v>1088000</v>
      </c>
      <c r="E200" s="285">
        <v>1089000</v>
      </c>
      <c r="F200" s="285">
        <v>1090000</v>
      </c>
      <c r="G200" s="285">
        <v>1092000</v>
      </c>
      <c r="H200" s="285">
        <v>1093000</v>
      </c>
      <c r="I200" s="285">
        <v>1094000</v>
      </c>
      <c r="J200" s="285">
        <v>1095000</v>
      </c>
      <c r="K200" s="285">
        <v>1096000</v>
      </c>
      <c r="L200" s="285">
        <v>1097000</v>
      </c>
      <c r="M200" s="285">
        <v>1098000</v>
      </c>
      <c r="N200" s="285">
        <v>1099000</v>
      </c>
      <c r="O200" s="108">
        <f t="shared" si="17"/>
        <v>1092615.3846153845</v>
      </c>
    </row>
    <row r="201" spans="1:15">
      <c r="A201" t="s">
        <v>503</v>
      </c>
      <c r="B201" s="285">
        <v>46326000</v>
      </c>
      <c r="C201" s="285">
        <v>47028000</v>
      </c>
      <c r="D201" s="285">
        <v>47720000</v>
      </c>
      <c r="E201" s="285">
        <v>48407000</v>
      </c>
      <c r="F201" s="285">
        <v>49115000</v>
      </c>
      <c r="G201" s="285">
        <v>49824000</v>
      </c>
      <c r="H201" s="285">
        <v>50567000</v>
      </c>
      <c r="I201" s="285">
        <v>51403000</v>
      </c>
      <c r="J201" s="285">
        <v>52249000</v>
      </c>
      <c r="K201" s="285">
        <v>53104000</v>
      </c>
      <c r="L201" s="285">
        <v>53961000</v>
      </c>
      <c r="M201" s="285">
        <v>54822000</v>
      </c>
      <c r="N201" s="285">
        <v>55693000</v>
      </c>
      <c r="O201" s="108">
        <f t="shared" si="17"/>
        <v>50786076.92307692</v>
      </c>
    </row>
    <row r="202" spans="1:15">
      <c r="A202" t="s">
        <v>1167</v>
      </c>
      <c r="B202" s="285">
        <v>323000</v>
      </c>
      <c r="C202" s="285">
        <v>323000</v>
      </c>
      <c r="D202" s="285">
        <v>323000</v>
      </c>
      <c r="E202" s="285">
        <v>323000</v>
      </c>
      <c r="F202" s="285">
        <v>323000</v>
      </c>
      <c r="G202" s="285">
        <v>323000</v>
      </c>
      <c r="H202" s="285">
        <v>323000</v>
      </c>
      <c r="I202" s="285">
        <v>323000</v>
      </c>
      <c r="J202" s="285">
        <v>323000</v>
      </c>
      <c r="K202" s="285">
        <v>323000</v>
      </c>
      <c r="L202" s="285">
        <v>323000</v>
      </c>
      <c r="M202" s="285">
        <v>323000</v>
      </c>
      <c r="N202" s="285">
        <v>323000</v>
      </c>
      <c r="O202" s="108">
        <f t="shared" si="17"/>
        <v>323000</v>
      </c>
    </row>
    <row r="203" spans="1:15">
      <c r="A203" t="s">
        <v>505</v>
      </c>
      <c r="B203" s="285">
        <v>2756000</v>
      </c>
      <c r="C203" s="285">
        <v>2763000</v>
      </c>
      <c r="D203" s="285">
        <v>2770000</v>
      </c>
      <c r="E203" s="285">
        <v>2777000</v>
      </c>
      <c r="F203" s="285">
        <v>2784000</v>
      </c>
      <c r="G203" s="285">
        <v>2791000</v>
      </c>
      <c r="H203" s="285">
        <v>2798000</v>
      </c>
      <c r="I203" s="285">
        <v>2805000</v>
      </c>
      <c r="J203" s="285">
        <v>2813000</v>
      </c>
      <c r="K203" s="285">
        <v>2820000</v>
      </c>
      <c r="L203" s="285">
        <v>2827000</v>
      </c>
      <c r="M203" s="285">
        <v>2834000</v>
      </c>
      <c r="N203" s="285">
        <v>2841000</v>
      </c>
      <c r="O203" s="108">
        <f>AVERAGE(B203:N203)</f>
        <v>2798384.6153846155</v>
      </c>
    </row>
    <row r="204" spans="1:15">
      <c r="A204" t="s">
        <v>1109</v>
      </c>
      <c r="B204" s="285">
        <v>-115000</v>
      </c>
      <c r="C204" s="285">
        <v>-112000</v>
      </c>
      <c r="D204" s="285">
        <v>-109000</v>
      </c>
      <c r="E204" s="285">
        <v>-106000</v>
      </c>
      <c r="F204" s="285">
        <v>-103000</v>
      </c>
      <c r="G204" s="285">
        <v>-100000</v>
      </c>
      <c r="H204" s="285">
        <v>-97000</v>
      </c>
      <c r="I204" s="285">
        <v>-94000</v>
      </c>
      <c r="J204" s="285">
        <v>-91000</v>
      </c>
      <c r="K204" s="285">
        <v>-88000</v>
      </c>
      <c r="L204" s="285">
        <v>-85000</v>
      </c>
      <c r="M204" s="285">
        <v>-82000</v>
      </c>
      <c r="N204" s="285">
        <v>-79000</v>
      </c>
      <c r="O204" s="108">
        <f t="shared" ref="O204:O217" si="18">AVERAGE(B204:N204)</f>
        <v>-97000</v>
      </c>
    </row>
    <row r="205" spans="1:15">
      <c r="A205" t="s">
        <v>506</v>
      </c>
      <c r="B205" s="285">
        <v>2839000</v>
      </c>
      <c r="C205" s="285">
        <v>2850000</v>
      </c>
      <c r="D205" s="285">
        <v>2861000</v>
      </c>
      <c r="E205" s="285">
        <v>2872000</v>
      </c>
      <c r="F205" s="285">
        <v>2883000</v>
      </c>
      <c r="G205" s="285">
        <v>2894000</v>
      </c>
      <c r="H205" s="285">
        <v>2905000</v>
      </c>
      <c r="I205" s="285">
        <v>2916000</v>
      </c>
      <c r="J205" s="285">
        <v>2927000</v>
      </c>
      <c r="K205" s="285">
        <v>2938000</v>
      </c>
      <c r="L205" s="285">
        <v>2949000</v>
      </c>
      <c r="M205" s="285">
        <v>2959000</v>
      </c>
      <c r="N205" s="285">
        <v>2970000</v>
      </c>
      <c r="O205" s="108">
        <f t="shared" si="18"/>
        <v>2904846.153846154</v>
      </c>
    </row>
    <row r="206" spans="1:15">
      <c r="A206" t="s">
        <v>1147</v>
      </c>
      <c r="B206" s="285">
        <v>35705000</v>
      </c>
      <c r="C206" s="285">
        <v>36235000</v>
      </c>
      <c r="D206" s="285">
        <v>36775000</v>
      </c>
      <c r="E206" s="285">
        <v>37241000</v>
      </c>
      <c r="F206" s="285">
        <v>37746000</v>
      </c>
      <c r="G206" s="285">
        <v>38306000</v>
      </c>
      <c r="H206" s="285">
        <v>38846000</v>
      </c>
      <c r="I206" s="285">
        <v>39400000</v>
      </c>
      <c r="J206" s="285">
        <v>39905000</v>
      </c>
      <c r="K206" s="285">
        <v>40477000</v>
      </c>
      <c r="L206" s="285">
        <v>40975000</v>
      </c>
      <c r="M206" s="285">
        <v>41551000</v>
      </c>
      <c r="N206" s="285">
        <v>42181000</v>
      </c>
      <c r="O206" s="108">
        <f t="shared" si="18"/>
        <v>38872538.461538464</v>
      </c>
    </row>
    <row r="207" spans="1:15">
      <c r="A207" t="s">
        <v>1148</v>
      </c>
      <c r="B207" s="285">
        <v>77746000</v>
      </c>
      <c r="C207" s="285">
        <v>78083000</v>
      </c>
      <c r="D207" s="285">
        <v>78340000</v>
      </c>
      <c r="E207" s="285">
        <v>78505000</v>
      </c>
      <c r="F207" s="285">
        <v>78684000</v>
      </c>
      <c r="G207" s="285">
        <v>78990000</v>
      </c>
      <c r="H207" s="285">
        <v>79113000</v>
      </c>
      <c r="I207" s="285">
        <v>79460000</v>
      </c>
      <c r="J207" s="285">
        <v>79667000</v>
      </c>
      <c r="K207" s="285">
        <v>79951000</v>
      </c>
      <c r="L207" s="285">
        <v>80105000</v>
      </c>
      <c r="M207" s="285">
        <v>80428000</v>
      </c>
      <c r="N207" s="285">
        <v>80420000</v>
      </c>
      <c r="O207" s="108">
        <f t="shared" si="18"/>
        <v>79191692.307692304</v>
      </c>
    </row>
    <row r="208" spans="1:15">
      <c r="A208" t="s">
        <v>1110</v>
      </c>
      <c r="B208" s="285">
        <v>3402000</v>
      </c>
      <c r="C208" s="285">
        <v>3418000</v>
      </c>
      <c r="D208" s="285">
        <v>3435000</v>
      </c>
      <c r="E208" s="285">
        <v>3452000</v>
      </c>
      <c r="F208" s="285">
        <v>3469000</v>
      </c>
      <c r="G208" s="285">
        <v>3485000</v>
      </c>
      <c r="H208" s="285">
        <v>3502000</v>
      </c>
      <c r="I208" s="285">
        <v>3519000</v>
      </c>
      <c r="J208" s="285">
        <v>3536000</v>
      </c>
      <c r="K208" s="285">
        <v>3552000</v>
      </c>
      <c r="L208" s="285">
        <v>3569000</v>
      </c>
      <c r="M208" s="285">
        <v>3586000</v>
      </c>
      <c r="N208" s="285">
        <v>3603000</v>
      </c>
      <c r="O208" s="108">
        <f t="shared" si="18"/>
        <v>3502153.846153846</v>
      </c>
    </row>
    <row r="209" spans="1:15">
      <c r="A209" t="s">
        <v>1111</v>
      </c>
      <c r="B209" s="285">
        <v>246000</v>
      </c>
      <c r="C209" s="285">
        <v>246000</v>
      </c>
      <c r="D209" s="285">
        <v>213000</v>
      </c>
      <c r="E209" s="285">
        <v>-108000</v>
      </c>
      <c r="F209" s="285">
        <v>-108000</v>
      </c>
      <c r="G209" s="285">
        <v>-108000</v>
      </c>
      <c r="H209" s="285">
        <v>-108000</v>
      </c>
      <c r="I209" s="285">
        <v>-107000</v>
      </c>
      <c r="J209" s="285">
        <v>-107000</v>
      </c>
      <c r="K209" s="285">
        <v>-107000</v>
      </c>
      <c r="L209" s="285">
        <v>-107000</v>
      </c>
      <c r="M209" s="285">
        <v>-106000</v>
      </c>
      <c r="N209" s="285">
        <v>-200000</v>
      </c>
      <c r="O209" s="108">
        <f t="shared" si="18"/>
        <v>-35461.538461538461</v>
      </c>
    </row>
    <row r="210" spans="1:15">
      <c r="A210" t="s">
        <v>510</v>
      </c>
      <c r="B210" s="285">
        <v>7426000</v>
      </c>
      <c r="C210" s="285">
        <v>7438000</v>
      </c>
      <c r="D210" s="285">
        <v>7451000</v>
      </c>
      <c r="E210" s="285">
        <v>7463000</v>
      </c>
      <c r="F210" s="285">
        <v>7476000</v>
      </c>
      <c r="G210" s="285">
        <v>7488000</v>
      </c>
      <c r="H210" s="285">
        <v>7501000</v>
      </c>
      <c r="I210" s="285">
        <v>7513000</v>
      </c>
      <c r="J210" s="285">
        <v>7526000</v>
      </c>
      <c r="K210" s="285">
        <v>7538000</v>
      </c>
      <c r="L210" s="285">
        <v>7550000</v>
      </c>
      <c r="M210" s="285">
        <v>7563000</v>
      </c>
      <c r="N210" s="285">
        <v>7575000</v>
      </c>
      <c r="O210" s="108">
        <f t="shared" si="18"/>
        <v>7500615.384615385</v>
      </c>
    </row>
    <row r="211" spans="1:15">
      <c r="A211" t="s">
        <v>1112</v>
      </c>
      <c r="B211" s="285">
        <v>107000</v>
      </c>
      <c r="C211" s="285">
        <v>108000</v>
      </c>
      <c r="D211" s="285">
        <v>108000</v>
      </c>
      <c r="E211" s="285">
        <v>109000</v>
      </c>
      <c r="F211" s="285">
        <v>109000</v>
      </c>
      <c r="G211" s="285">
        <v>110000</v>
      </c>
      <c r="H211" s="285">
        <v>110000</v>
      </c>
      <c r="I211" s="285">
        <v>111000</v>
      </c>
      <c r="J211" s="285">
        <v>112000</v>
      </c>
      <c r="K211" s="285">
        <v>112000</v>
      </c>
      <c r="L211" s="285">
        <v>113000</v>
      </c>
      <c r="M211" s="285">
        <v>113000</v>
      </c>
      <c r="N211" s="285">
        <v>114000</v>
      </c>
      <c r="O211" s="108">
        <f t="shared" si="18"/>
        <v>110461.53846153847</v>
      </c>
    </row>
    <row r="212" spans="1:15">
      <c r="A212" t="s">
        <v>511</v>
      </c>
      <c r="B212" s="285">
        <v>2238000</v>
      </c>
      <c r="C212" s="285">
        <v>2243000</v>
      </c>
      <c r="D212" s="285">
        <v>2248000</v>
      </c>
      <c r="E212" s="285">
        <v>2253000</v>
      </c>
      <c r="F212" s="285">
        <v>2258000</v>
      </c>
      <c r="G212" s="285">
        <v>2263000</v>
      </c>
      <c r="H212" s="285">
        <v>2268000</v>
      </c>
      <c r="I212" s="285">
        <v>2273000</v>
      </c>
      <c r="J212" s="285">
        <v>2278000</v>
      </c>
      <c r="K212" s="285">
        <v>2283000</v>
      </c>
      <c r="L212" s="285">
        <v>2288000</v>
      </c>
      <c r="M212" s="285">
        <v>2294000</v>
      </c>
      <c r="N212" s="285">
        <v>2299000</v>
      </c>
      <c r="O212" s="108">
        <f t="shared" si="18"/>
        <v>2268153.846153846</v>
      </c>
    </row>
    <row r="213" spans="1:15">
      <c r="A213" t="s">
        <v>512</v>
      </c>
      <c r="B213" s="285">
        <v>30351000</v>
      </c>
      <c r="C213" s="285">
        <v>30550000</v>
      </c>
      <c r="D213" s="285">
        <v>30750000</v>
      </c>
      <c r="E213" s="285">
        <v>30952000</v>
      </c>
      <c r="F213" s="285">
        <v>31155000</v>
      </c>
      <c r="G213" s="285">
        <v>31358000</v>
      </c>
      <c r="H213" s="285">
        <v>31508000</v>
      </c>
      <c r="I213" s="285">
        <v>31655000</v>
      </c>
      <c r="J213" s="285">
        <v>31804000</v>
      </c>
      <c r="K213" s="285">
        <v>31957000</v>
      </c>
      <c r="L213" s="285">
        <v>32111000</v>
      </c>
      <c r="M213" s="285">
        <v>32264000</v>
      </c>
      <c r="N213" s="285">
        <v>32419000</v>
      </c>
      <c r="O213" s="108">
        <f t="shared" si="18"/>
        <v>31448769.230769232</v>
      </c>
    </row>
    <row r="214" spans="1:15">
      <c r="A214" t="s">
        <v>428</v>
      </c>
      <c r="B214" s="285">
        <v>8015000</v>
      </c>
      <c r="C214" s="285">
        <v>8103000</v>
      </c>
      <c r="D214" s="285">
        <v>8191000</v>
      </c>
      <c r="E214" s="285">
        <v>8280000</v>
      </c>
      <c r="F214" s="285">
        <v>8368000</v>
      </c>
      <c r="G214" s="285">
        <v>8456000</v>
      </c>
      <c r="H214" s="285">
        <v>8172000</v>
      </c>
      <c r="I214" s="285">
        <v>8262000</v>
      </c>
      <c r="J214" s="285">
        <v>8352000</v>
      </c>
      <c r="K214" s="285">
        <v>8442000</v>
      </c>
      <c r="L214" s="285">
        <v>8532000</v>
      </c>
      <c r="M214" s="285">
        <v>8622000</v>
      </c>
      <c r="N214" s="285">
        <v>8713000</v>
      </c>
      <c r="O214" s="108">
        <f t="shared" si="18"/>
        <v>8346769.230769231</v>
      </c>
    </row>
    <row r="215" spans="1:15">
      <c r="A215" t="s">
        <v>1113</v>
      </c>
      <c r="B215" s="285">
        <v>1651000</v>
      </c>
      <c r="C215" s="285">
        <v>1656000</v>
      </c>
      <c r="D215" s="285">
        <v>1662000</v>
      </c>
      <c r="E215" s="285">
        <v>1668000</v>
      </c>
      <c r="F215" s="285">
        <v>1673000</v>
      </c>
      <c r="G215" s="285">
        <v>1679000</v>
      </c>
      <c r="H215" s="285">
        <v>1684000</v>
      </c>
      <c r="I215" s="285">
        <v>1690000</v>
      </c>
      <c r="J215" s="285">
        <v>1696000</v>
      </c>
      <c r="K215" s="285">
        <v>1701000</v>
      </c>
      <c r="L215" s="285">
        <v>1707000</v>
      </c>
      <c r="M215" s="285">
        <v>1713000</v>
      </c>
      <c r="N215" s="285">
        <v>1718000</v>
      </c>
      <c r="O215" s="108">
        <f t="shared" si="18"/>
        <v>1684461.5384615385</v>
      </c>
    </row>
    <row r="216" spans="1:15">
      <c r="A216" t="s">
        <v>1114</v>
      </c>
      <c r="B216" s="285">
        <v>739000</v>
      </c>
      <c r="C216" s="285">
        <v>739000</v>
      </c>
      <c r="D216" s="285">
        <v>739000</v>
      </c>
      <c r="E216" s="285">
        <v>739000</v>
      </c>
      <c r="F216" s="285">
        <v>740000</v>
      </c>
      <c r="G216" s="285">
        <v>740000</v>
      </c>
      <c r="H216" s="285">
        <v>741000</v>
      </c>
      <c r="I216" s="285">
        <v>742000</v>
      </c>
      <c r="J216" s="285">
        <v>742000</v>
      </c>
      <c r="K216" s="285">
        <v>743000</v>
      </c>
      <c r="L216" s="285">
        <v>744000</v>
      </c>
      <c r="M216" s="285">
        <v>744000</v>
      </c>
      <c r="N216" s="285">
        <v>745000</v>
      </c>
      <c r="O216" s="108">
        <f t="shared" si="18"/>
        <v>741307.69230769225</v>
      </c>
    </row>
    <row r="217" spans="1:15">
      <c r="A217" t="s">
        <v>513</v>
      </c>
      <c r="B217" s="285">
        <v>81444000</v>
      </c>
      <c r="C217" s="285">
        <v>81559000</v>
      </c>
      <c r="D217" s="285">
        <v>81673000</v>
      </c>
      <c r="E217" s="285">
        <v>81789000</v>
      </c>
      <c r="F217" s="285">
        <v>81905000</v>
      </c>
      <c r="G217" s="285">
        <v>82021000</v>
      </c>
      <c r="H217" s="285">
        <v>82128000</v>
      </c>
      <c r="I217" s="285">
        <v>82244000</v>
      </c>
      <c r="J217" s="285">
        <v>82352000</v>
      </c>
      <c r="K217" s="285">
        <v>82464000</v>
      </c>
      <c r="L217" s="285">
        <v>82579000</v>
      </c>
      <c r="M217" s="285">
        <v>82695000</v>
      </c>
      <c r="N217" s="285">
        <v>82757000</v>
      </c>
      <c r="O217" s="108">
        <f t="shared" si="18"/>
        <v>82123846.15384616</v>
      </c>
    </row>
    <row r="218" spans="1:15">
      <c r="A218" t="s">
        <v>527</v>
      </c>
      <c r="B218" s="285">
        <v>518000</v>
      </c>
      <c r="C218" s="285">
        <v>519000</v>
      </c>
      <c r="D218" s="285">
        <v>520000</v>
      </c>
      <c r="E218" s="285">
        <v>522000</v>
      </c>
      <c r="F218" s="285">
        <v>523000</v>
      </c>
      <c r="G218" s="285">
        <v>524000</v>
      </c>
      <c r="H218" s="285">
        <v>526000</v>
      </c>
      <c r="I218" s="285">
        <v>527000</v>
      </c>
      <c r="J218" s="285">
        <v>529000</v>
      </c>
      <c r="K218" s="285">
        <v>530000</v>
      </c>
      <c r="L218" s="285">
        <v>531000</v>
      </c>
      <c r="M218" s="285">
        <v>533000</v>
      </c>
      <c r="N218" s="285">
        <v>534000</v>
      </c>
      <c r="O218" s="108">
        <f>AVERAGE(B218:N218)</f>
        <v>525846.15384615387</v>
      </c>
    </row>
    <row r="219" spans="1:15">
      <c r="A219" t="s">
        <v>528</v>
      </c>
      <c r="B219" s="285">
        <v>2686000</v>
      </c>
      <c r="C219" s="285">
        <v>2688000</v>
      </c>
      <c r="D219" s="285">
        <v>2690000</v>
      </c>
      <c r="E219" s="285">
        <v>2693000</v>
      </c>
      <c r="F219" s="285">
        <v>2695000</v>
      </c>
      <c r="G219" s="285">
        <v>2697000</v>
      </c>
      <c r="H219" s="285">
        <v>2699000</v>
      </c>
      <c r="I219" s="285">
        <v>2701000</v>
      </c>
      <c r="J219" s="285">
        <v>2703000</v>
      </c>
      <c r="K219" s="285">
        <v>2705000</v>
      </c>
      <c r="L219" s="285">
        <v>2707000</v>
      </c>
      <c r="M219" s="285">
        <v>2709000</v>
      </c>
      <c r="N219" s="285">
        <v>2711000</v>
      </c>
      <c r="O219" s="108">
        <f>AVERAGE(B219:N219)</f>
        <v>2698769.230769231</v>
      </c>
    </row>
    <row r="220" spans="1:15">
      <c r="A220" t="s">
        <v>529</v>
      </c>
      <c r="B220" s="285">
        <v>208000</v>
      </c>
      <c r="C220" s="285">
        <v>214000</v>
      </c>
      <c r="D220" s="285">
        <v>220000</v>
      </c>
      <c r="E220" s="285">
        <v>226000</v>
      </c>
      <c r="F220" s="285">
        <v>232000</v>
      </c>
      <c r="G220" s="285">
        <v>238000</v>
      </c>
      <c r="H220" s="285">
        <v>244000</v>
      </c>
      <c r="I220" s="285">
        <v>250000</v>
      </c>
      <c r="J220" s="285">
        <v>256000</v>
      </c>
      <c r="K220" s="285">
        <v>262000</v>
      </c>
      <c r="L220" s="285">
        <v>268000</v>
      </c>
      <c r="M220" s="285">
        <v>275000</v>
      </c>
      <c r="N220" s="285">
        <v>281000</v>
      </c>
      <c r="O220" s="108">
        <f>AVERAGE(B220:N220)</f>
        <v>244153.84615384616</v>
      </c>
    </row>
    <row r="221" spans="1:15">
      <c r="A221" t="s">
        <v>533</v>
      </c>
      <c r="B221" s="285">
        <v>364000</v>
      </c>
      <c r="C221" s="285">
        <v>364000</v>
      </c>
      <c r="D221" s="285">
        <v>365000</v>
      </c>
      <c r="E221" s="285">
        <v>366000</v>
      </c>
      <c r="F221" s="285">
        <v>366000</v>
      </c>
      <c r="G221" s="285">
        <v>367000</v>
      </c>
      <c r="H221" s="285">
        <v>367000</v>
      </c>
      <c r="I221" s="285">
        <v>368000</v>
      </c>
      <c r="J221" s="285">
        <v>369000</v>
      </c>
      <c r="K221" s="285">
        <v>369000</v>
      </c>
      <c r="L221" s="285">
        <v>370000</v>
      </c>
      <c r="M221" s="285">
        <v>371000</v>
      </c>
      <c r="N221" s="285">
        <v>371000</v>
      </c>
      <c r="O221" s="108">
        <f>AVERAGE(B221:N221)</f>
        <v>367461.53846153844</v>
      </c>
    </row>
    <row r="222" spans="1:15">
      <c r="A222" s="968" t="s">
        <v>1140</v>
      </c>
      <c r="B222" s="1297">
        <f t="shared" ref="B222:O222" si="19">SUM(B176:B221)</f>
        <v>487319187</v>
      </c>
      <c r="C222" s="1297">
        <f t="shared" si="19"/>
        <v>503088000</v>
      </c>
      <c r="D222" s="1297">
        <f t="shared" si="19"/>
        <v>506538000</v>
      </c>
      <c r="E222" s="1297">
        <f t="shared" si="19"/>
        <v>508837000</v>
      </c>
      <c r="F222" s="1297">
        <f t="shared" si="19"/>
        <v>512224000</v>
      </c>
      <c r="G222" s="1297">
        <f t="shared" si="19"/>
        <v>515824000</v>
      </c>
      <c r="H222" s="1297">
        <f t="shared" si="19"/>
        <v>518662000</v>
      </c>
      <c r="I222" s="1297">
        <f t="shared" si="19"/>
        <v>522245000</v>
      </c>
      <c r="J222" s="1297">
        <f t="shared" si="19"/>
        <v>525693000</v>
      </c>
      <c r="K222" s="1297">
        <f t="shared" si="19"/>
        <v>528248000</v>
      </c>
      <c r="L222" s="1297">
        <f t="shared" si="19"/>
        <v>531529000</v>
      </c>
      <c r="M222" s="1297">
        <f t="shared" si="19"/>
        <v>535272000</v>
      </c>
      <c r="N222" s="1297">
        <f t="shared" si="19"/>
        <v>532828385</v>
      </c>
      <c r="O222" s="1297">
        <f t="shared" si="19"/>
        <v>538511526.86769235</v>
      </c>
    </row>
    <row r="223" spans="1:15">
      <c r="O223" s="445"/>
    </row>
    <row r="224" spans="1:15">
      <c r="A224" s="1306" t="s">
        <v>1164</v>
      </c>
      <c r="B224" s="598">
        <v>654000</v>
      </c>
      <c r="C224" s="598">
        <v>656000</v>
      </c>
      <c r="D224" s="598">
        <v>658000</v>
      </c>
      <c r="E224" s="598">
        <v>660000</v>
      </c>
      <c r="F224" s="598">
        <v>662000</v>
      </c>
      <c r="G224" s="598">
        <v>664000</v>
      </c>
      <c r="H224" s="598">
        <v>666000</v>
      </c>
      <c r="I224" s="598">
        <v>668000</v>
      </c>
      <c r="J224" s="598">
        <v>670000</v>
      </c>
      <c r="K224" s="598">
        <v>672000</v>
      </c>
      <c r="L224" s="598">
        <v>674000</v>
      </c>
      <c r="M224" s="598">
        <v>676000</v>
      </c>
      <c r="N224" s="598">
        <v>679000</v>
      </c>
      <c r="O224" s="598">
        <f t="shared" si="17"/>
        <v>666076.92307692312</v>
      </c>
    </row>
    <row r="225" spans="1:15">
      <c r="B225" s="1296"/>
      <c r="C225" s="1296"/>
      <c r="D225" s="1296"/>
      <c r="E225" s="1296"/>
      <c r="F225" s="1296"/>
      <c r="G225" s="1296"/>
      <c r="H225" s="1296"/>
      <c r="I225" s="1296"/>
      <c r="J225" s="1296"/>
      <c r="K225" s="1296"/>
      <c r="L225" s="1296"/>
      <c r="M225" s="1296"/>
      <c r="N225" s="1296"/>
    </row>
    <row r="226" spans="1:15">
      <c r="A226" t="s">
        <v>1168</v>
      </c>
      <c r="B226" s="285">
        <v>559000</v>
      </c>
      <c r="C226" s="285">
        <v>559000</v>
      </c>
      <c r="D226" s="285">
        <v>560000</v>
      </c>
      <c r="E226" s="285">
        <v>561000</v>
      </c>
      <c r="F226" s="285">
        <v>561000</v>
      </c>
      <c r="G226" s="285">
        <v>562000</v>
      </c>
      <c r="H226" s="285">
        <v>563000</v>
      </c>
      <c r="I226" s="285">
        <v>563000</v>
      </c>
      <c r="J226" s="285">
        <v>564000</v>
      </c>
      <c r="K226" s="285">
        <v>565000</v>
      </c>
      <c r="L226" s="285">
        <v>565000</v>
      </c>
      <c r="M226" s="285">
        <v>566000</v>
      </c>
      <c r="N226" s="285">
        <v>567000</v>
      </c>
      <c r="O226" s="1258">
        <f t="shared" ref="O226:O245" si="20">AVERAGE(B226:N226)</f>
        <v>562692.30769230775</v>
      </c>
    </row>
    <row r="227" spans="1:15">
      <c r="A227" t="s">
        <v>1169</v>
      </c>
      <c r="B227" s="285">
        <v>866000</v>
      </c>
      <c r="C227" s="285">
        <v>867000</v>
      </c>
      <c r="D227" s="285">
        <v>868000</v>
      </c>
      <c r="E227" s="285">
        <v>869000</v>
      </c>
      <c r="F227" s="285">
        <v>870000</v>
      </c>
      <c r="G227" s="285">
        <v>871000</v>
      </c>
      <c r="H227" s="285">
        <v>872000</v>
      </c>
      <c r="I227" s="285">
        <v>873000</v>
      </c>
      <c r="J227" s="285">
        <v>875000</v>
      </c>
      <c r="K227" s="285">
        <v>876000</v>
      </c>
      <c r="L227" s="285">
        <v>877000</v>
      </c>
      <c r="M227" s="285">
        <v>878000</v>
      </c>
      <c r="N227" s="285">
        <v>879000</v>
      </c>
      <c r="O227" s="1258">
        <f t="shared" si="20"/>
        <v>872384.61538461538</v>
      </c>
    </row>
    <row r="228" spans="1:15">
      <c r="A228" t="s">
        <v>489</v>
      </c>
      <c r="B228" s="285">
        <v>334000</v>
      </c>
      <c r="C228" s="285">
        <v>335000</v>
      </c>
      <c r="D228" s="285">
        <v>335000</v>
      </c>
      <c r="E228" s="285">
        <v>336000</v>
      </c>
      <c r="F228" s="285">
        <v>337000</v>
      </c>
      <c r="G228" s="285">
        <v>337000</v>
      </c>
      <c r="H228" s="285">
        <v>338000</v>
      </c>
      <c r="I228" s="285">
        <v>338000</v>
      </c>
      <c r="J228" s="285">
        <v>339000</v>
      </c>
      <c r="K228" s="285">
        <v>339000</v>
      </c>
      <c r="L228" s="285">
        <v>340000</v>
      </c>
      <c r="M228" s="285">
        <v>340000</v>
      </c>
      <c r="N228" s="285">
        <v>341000</v>
      </c>
      <c r="O228" s="1258">
        <f t="shared" si="20"/>
        <v>337615.38461538462</v>
      </c>
    </row>
    <row r="229" spans="1:15">
      <c r="A229" t="s">
        <v>1141</v>
      </c>
      <c r="B229" s="285">
        <v>14016000</v>
      </c>
      <c r="C229" s="285">
        <v>14063000</v>
      </c>
      <c r="D229" s="285">
        <v>14111000</v>
      </c>
      <c r="E229" s="285">
        <v>14158000</v>
      </c>
      <c r="F229" s="285">
        <v>14206000</v>
      </c>
      <c r="G229" s="285">
        <v>14253000</v>
      </c>
      <c r="H229" s="285">
        <v>14300000</v>
      </c>
      <c r="I229" s="285">
        <v>14348000</v>
      </c>
      <c r="J229" s="285">
        <v>14395000</v>
      </c>
      <c r="K229" s="285">
        <v>14442000</v>
      </c>
      <c r="L229" s="285">
        <v>14490000</v>
      </c>
      <c r="M229" s="285">
        <v>14537000</v>
      </c>
      <c r="N229" s="285">
        <v>14553000</v>
      </c>
      <c r="O229" s="1258">
        <f t="shared" si="20"/>
        <v>14297846.153846154</v>
      </c>
    </row>
    <row r="230" spans="1:15">
      <c r="A230" t="s">
        <v>499</v>
      </c>
      <c r="B230" s="285">
        <v>12058000</v>
      </c>
      <c r="C230" s="285">
        <v>12072000</v>
      </c>
      <c r="D230" s="285">
        <v>12086000</v>
      </c>
      <c r="E230" s="285">
        <v>12100000</v>
      </c>
      <c r="F230" s="285">
        <v>12114000</v>
      </c>
      <c r="G230" s="285">
        <v>12128000</v>
      </c>
      <c r="H230" s="285">
        <v>12142000</v>
      </c>
      <c r="I230" s="285">
        <v>12156000</v>
      </c>
      <c r="J230" s="285">
        <v>12170000</v>
      </c>
      <c r="K230" s="285">
        <v>12184000</v>
      </c>
      <c r="L230" s="285">
        <v>12198000</v>
      </c>
      <c r="M230" s="285">
        <v>12212000</v>
      </c>
      <c r="N230" s="285">
        <v>12226000</v>
      </c>
      <c r="O230" s="1258">
        <f t="shared" si="20"/>
        <v>12142000</v>
      </c>
    </row>
    <row r="231" spans="1:15">
      <c r="A231" t="s">
        <v>500</v>
      </c>
      <c r="B231" s="285">
        <v>16863000</v>
      </c>
      <c r="C231" s="285">
        <v>16882000</v>
      </c>
      <c r="D231" s="285">
        <v>16902000</v>
      </c>
      <c r="E231" s="285">
        <v>16921000</v>
      </c>
      <c r="F231" s="285">
        <v>16940000</v>
      </c>
      <c r="G231" s="285">
        <v>16960000</v>
      </c>
      <c r="H231" s="285">
        <v>16979000</v>
      </c>
      <c r="I231" s="285">
        <v>16998000</v>
      </c>
      <c r="J231" s="285">
        <v>17018000</v>
      </c>
      <c r="K231" s="285">
        <v>17037000</v>
      </c>
      <c r="L231" s="285">
        <v>17057000</v>
      </c>
      <c r="M231" s="285">
        <v>17076000</v>
      </c>
      <c r="N231" s="285">
        <v>17095000</v>
      </c>
      <c r="O231" s="1258">
        <f t="shared" si="20"/>
        <v>16979076.923076924</v>
      </c>
    </row>
    <row r="232" spans="1:15">
      <c r="A232" t="s">
        <v>1348</v>
      </c>
      <c r="B232" s="285">
        <v>0</v>
      </c>
      <c r="C232" s="285">
        <v>0</v>
      </c>
      <c r="D232" s="285">
        <v>0</v>
      </c>
      <c r="E232" s="285">
        <v>0</v>
      </c>
      <c r="F232" s="285">
        <v>0</v>
      </c>
      <c r="G232" s="285">
        <v>0</v>
      </c>
      <c r="H232" s="285">
        <v>0</v>
      </c>
      <c r="I232" s="285">
        <v>0</v>
      </c>
      <c r="J232" s="285">
        <v>0</v>
      </c>
      <c r="K232" s="285">
        <v>0</v>
      </c>
      <c r="L232" s="285">
        <v>0</v>
      </c>
      <c r="M232" s="285">
        <v>0</v>
      </c>
      <c r="N232" s="285">
        <v>1000</v>
      </c>
      <c r="O232" s="1258">
        <f t="shared" si="20"/>
        <v>76.92307692307692</v>
      </c>
    </row>
    <row r="233" spans="1:15">
      <c r="A233" t="s">
        <v>508</v>
      </c>
      <c r="B233" s="285">
        <v>11972000</v>
      </c>
      <c r="C233" s="285">
        <v>11985000</v>
      </c>
      <c r="D233" s="285">
        <v>11998000</v>
      </c>
      <c r="E233" s="285">
        <v>12011000</v>
      </c>
      <c r="F233" s="285">
        <v>12023000</v>
      </c>
      <c r="G233" s="285">
        <v>12036000</v>
      </c>
      <c r="H233" s="285">
        <v>12049000</v>
      </c>
      <c r="I233" s="285">
        <v>12062000</v>
      </c>
      <c r="J233" s="285">
        <v>12075000</v>
      </c>
      <c r="K233" s="285">
        <v>12088000</v>
      </c>
      <c r="L233" s="285">
        <v>12101000</v>
      </c>
      <c r="M233" s="285">
        <v>12114000</v>
      </c>
      <c r="N233" s="285">
        <v>12127000</v>
      </c>
      <c r="O233" s="1258">
        <f t="shared" si="20"/>
        <v>12049307.692307692</v>
      </c>
    </row>
    <row r="234" spans="1:15">
      <c r="A234" t="s">
        <v>509</v>
      </c>
      <c r="B234" s="285">
        <v>18027000</v>
      </c>
      <c r="C234" s="285">
        <v>18047000</v>
      </c>
      <c r="D234" s="285">
        <v>18066000</v>
      </c>
      <c r="E234" s="285">
        <v>18086000</v>
      </c>
      <c r="F234" s="285">
        <v>18105000</v>
      </c>
      <c r="G234" s="285">
        <v>18125000</v>
      </c>
      <c r="H234" s="285">
        <v>18144000</v>
      </c>
      <c r="I234" s="285">
        <v>18164000</v>
      </c>
      <c r="J234" s="285">
        <v>18183000</v>
      </c>
      <c r="K234" s="285">
        <v>18202000</v>
      </c>
      <c r="L234" s="285">
        <v>18222000</v>
      </c>
      <c r="M234" s="285">
        <v>18241000</v>
      </c>
      <c r="N234" s="285">
        <v>18261000</v>
      </c>
      <c r="O234" s="1258">
        <f t="shared" si="20"/>
        <v>18144076.923076924</v>
      </c>
    </row>
    <row r="235" spans="1:15">
      <c r="A235" t="s">
        <v>531</v>
      </c>
      <c r="B235" s="285">
        <v>91000</v>
      </c>
      <c r="C235" s="285">
        <v>91000</v>
      </c>
      <c r="D235" s="285">
        <v>91000</v>
      </c>
      <c r="E235" s="285">
        <v>91000</v>
      </c>
      <c r="F235" s="285">
        <v>91000</v>
      </c>
      <c r="G235" s="285">
        <v>91000</v>
      </c>
      <c r="H235" s="285">
        <v>91000</v>
      </c>
      <c r="I235" s="285">
        <v>92000</v>
      </c>
      <c r="J235" s="285">
        <v>92000</v>
      </c>
      <c r="K235" s="285">
        <v>92000</v>
      </c>
      <c r="L235" s="285">
        <v>92000</v>
      </c>
      <c r="M235" s="285">
        <v>92000</v>
      </c>
      <c r="N235" s="285">
        <v>92000</v>
      </c>
      <c r="O235" s="1258">
        <f t="shared" si="20"/>
        <v>91461.538461538468</v>
      </c>
    </row>
    <row r="236" spans="1:15">
      <c r="A236" t="s">
        <v>532</v>
      </c>
      <c r="B236" s="285">
        <v>261000</v>
      </c>
      <c r="C236" s="285">
        <v>262000</v>
      </c>
      <c r="D236" s="285">
        <v>262000</v>
      </c>
      <c r="E236" s="285">
        <v>262000</v>
      </c>
      <c r="F236" s="285">
        <v>263000</v>
      </c>
      <c r="G236" s="285">
        <v>263000</v>
      </c>
      <c r="H236" s="285">
        <v>264000</v>
      </c>
      <c r="I236" s="285">
        <v>264000</v>
      </c>
      <c r="J236" s="285">
        <v>264000</v>
      </c>
      <c r="K236" s="285">
        <v>265000</v>
      </c>
      <c r="L236" s="285">
        <v>265000</v>
      </c>
      <c r="M236" s="285">
        <v>265000</v>
      </c>
      <c r="N236" s="285">
        <v>266000</v>
      </c>
      <c r="O236" s="1258">
        <f>AVERAGE(B236:N236)</f>
        <v>263538.46153846156</v>
      </c>
    </row>
    <row r="237" spans="1:15">
      <c r="A237" s="968" t="s">
        <v>1116</v>
      </c>
      <c r="B237" s="1297">
        <f t="shared" ref="B237:M237" si="21">SUM(B226:B236)</f>
        <v>75047000</v>
      </c>
      <c r="C237" s="1297">
        <f t="shared" si="21"/>
        <v>75163000</v>
      </c>
      <c r="D237" s="1297">
        <f t="shared" si="21"/>
        <v>75279000</v>
      </c>
      <c r="E237" s="1297">
        <f t="shared" si="21"/>
        <v>75395000</v>
      </c>
      <c r="F237" s="1297">
        <f t="shared" si="21"/>
        <v>75510000</v>
      </c>
      <c r="G237" s="1297">
        <f t="shared" si="21"/>
        <v>75626000</v>
      </c>
      <c r="H237" s="1297">
        <f t="shared" si="21"/>
        <v>75742000</v>
      </c>
      <c r="I237" s="1297">
        <f t="shared" si="21"/>
        <v>75858000</v>
      </c>
      <c r="J237" s="1297">
        <f t="shared" si="21"/>
        <v>75975000</v>
      </c>
      <c r="K237" s="1297">
        <f t="shared" si="21"/>
        <v>76090000</v>
      </c>
      <c r="L237" s="1297">
        <f t="shared" si="21"/>
        <v>76207000</v>
      </c>
      <c r="M237" s="1297">
        <f t="shared" si="21"/>
        <v>76321000</v>
      </c>
      <c r="N237" s="1297">
        <f>SUM(N226:N236)</f>
        <v>76408000</v>
      </c>
      <c r="O237" s="598">
        <f t="shared" si="20"/>
        <v>75740076.923076928</v>
      </c>
    </row>
    <row r="238" spans="1:15">
      <c r="B238" s="1296"/>
      <c r="C238" s="1296"/>
      <c r="D238" s="1296"/>
      <c r="E238" s="1296"/>
      <c r="F238" s="1296"/>
      <c r="G238" s="1296"/>
      <c r="H238" s="1296"/>
      <c r="I238" s="1296"/>
      <c r="J238" s="1296"/>
      <c r="K238" s="1296"/>
      <c r="L238" s="1296"/>
      <c r="M238" s="1296"/>
      <c r="N238" s="1296"/>
    </row>
    <row r="239" spans="1:15">
      <c r="B239" s="1296"/>
      <c r="C239" s="1296"/>
      <c r="D239" s="1296"/>
      <c r="E239" s="1296"/>
      <c r="F239" s="1296"/>
      <c r="G239" s="1296"/>
      <c r="H239" s="1296"/>
      <c r="I239" s="1296"/>
      <c r="J239" s="1296"/>
      <c r="K239" s="1296"/>
      <c r="L239" s="1296"/>
      <c r="M239" s="1296"/>
      <c r="N239" s="1296"/>
      <c r="O239" s="1258"/>
    </row>
    <row r="240" spans="1:15">
      <c r="A240" t="s">
        <v>488</v>
      </c>
      <c r="B240" s="285">
        <v>692000</v>
      </c>
      <c r="C240" s="285">
        <v>693000</v>
      </c>
      <c r="D240" s="285">
        <v>695000</v>
      </c>
      <c r="E240" s="285">
        <v>697000</v>
      </c>
      <c r="F240" s="285">
        <v>698000</v>
      </c>
      <c r="G240" s="285">
        <v>700000</v>
      </c>
      <c r="H240" s="285">
        <v>702000</v>
      </c>
      <c r="I240" s="285">
        <v>703000</v>
      </c>
      <c r="J240" s="285">
        <v>705000</v>
      </c>
      <c r="K240" s="285">
        <v>707000</v>
      </c>
      <c r="L240" s="285">
        <v>708000</v>
      </c>
      <c r="M240" s="285">
        <v>710000</v>
      </c>
      <c r="N240" s="285">
        <v>712000</v>
      </c>
      <c r="O240" s="1258">
        <f t="shared" si="20"/>
        <v>701692.30769230775</v>
      </c>
    </row>
    <row r="241" spans="1:15">
      <c r="A241" t="s">
        <v>492</v>
      </c>
      <c r="B241" s="285">
        <v>24808000</v>
      </c>
      <c r="C241" s="285">
        <v>24895000</v>
      </c>
      <c r="D241" s="285">
        <v>24981000</v>
      </c>
      <c r="E241" s="285">
        <v>25067000</v>
      </c>
      <c r="F241" s="285">
        <v>25154000</v>
      </c>
      <c r="G241" s="285">
        <v>25240000</v>
      </c>
      <c r="H241" s="285">
        <v>25327000</v>
      </c>
      <c r="I241" s="285">
        <v>25413000</v>
      </c>
      <c r="J241" s="285">
        <v>25500000</v>
      </c>
      <c r="K241" s="285">
        <v>25586000</v>
      </c>
      <c r="L241" s="285">
        <v>25673000</v>
      </c>
      <c r="M241" s="285">
        <v>25759000</v>
      </c>
      <c r="N241" s="285">
        <v>25847000</v>
      </c>
      <c r="O241" s="1258">
        <f t="shared" si="20"/>
        <v>25326923.076923076</v>
      </c>
    </row>
    <row r="242" spans="1:15">
      <c r="A242" t="s">
        <v>498</v>
      </c>
      <c r="B242" s="285">
        <v>11931000</v>
      </c>
      <c r="C242" s="285">
        <v>11952000</v>
      </c>
      <c r="D242" s="285">
        <v>11974000</v>
      </c>
      <c r="E242" s="285">
        <v>11996000</v>
      </c>
      <c r="F242" s="285">
        <v>12017000</v>
      </c>
      <c r="G242" s="285">
        <v>12039000</v>
      </c>
      <c r="H242" s="285">
        <v>12060000</v>
      </c>
      <c r="I242" s="285">
        <v>12082000</v>
      </c>
      <c r="J242" s="285">
        <v>12104000</v>
      </c>
      <c r="K242" s="285">
        <v>12125000</v>
      </c>
      <c r="L242" s="285">
        <v>12147000</v>
      </c>
      <c r="M242" s="285">
        <v>12169000</v>
      </c>
      <c r="N242" s="285">
        <v>12190000</v>
      </c>
      <c r="O242" s="1258">
        <f t="shared" si="20"/>
        <v>12060461.538461538</v>
      </c>
    </row>
    <row r="243" spans="1:15">
      <c r="A243" t="s">
        <v>504</v>
      </c>
      <c r="B243" s="285">
        <v>157000</v>
      </c>
      <c r="C243" s="285">
        <v>158000</v>
      </c>
      <c r="D243" s="285">
        <v>158000</v>
      </c>
      <c r="E243" s="285">
        <v>158000</v>
      </c>
      <c r="F243" s="285">
        <v>159000</v>
      </c>
      <c r="G243" s="285">
        <v>159000</v>
      </c>
      <c r="H243" s="285">
        <v>160000</v>
      </c>
      <c r="I243" s="285">
        <v>160000</v>
      </c>
      <c r="J243" s="285">
        <v>160000</v>
      </c>
      <c r="K243" s="285">
        <v>161000</v>
      </c>
      <c r="L243" s="285">
        <v>161000</v>
      </c>
      <c r="M243" s="285">
        <v>162000</v>
      </c>
      <c r="N243" s="285">
        <v>163000</v>
      </c>
      <c r="O243" s="1258">
        <f t="shared" si="20"/>
        <v>159692.30769230769</v>
      </c>
    </row>
    <row r="244" spans="1:15">
      <c r="A244" t="s">
        <v>507</v>
      </c>
      <c r="B244" s="285">
        <v>15759000</v>
      </c>
      <c r="C244" s="285">
        <v>15784000</v>
      </c>
      <c r="D244" s="285">
        <v>15808000</v>
      </c>
      <c r="E244" s="285">
        <v>15832000</v>
      </c>
      <c r="F244" s="285">
        <v>15857000</v>
      </c>
      <c r="G244" s="285">
        <v>15881000</v>
      </c>
      <c r="H244" s="285">
        <v>15905000</v>
      </c>
      <c r="I244" s="285">
        <v>15929000</v>
      </c>
      <c r="J244" s="285">
        <v>15954000</v>
      </c>
      <c r="K244" s="285">
        <v>15978000</v>
      </c>
      <c r="L244" s="285">
        <v>16002000</v>
      </c>
      <c r="M244" s="285">
        <v>16027000</v>
      </c>
      <c r="N244" s="285">
        <v>16051000</v>
      </c>
      <c r="O244" s="1258">
        <f t="shared" si="20"/>
        <v>15905153.846153846</v>
      </c>
    </row>
    <row r="245" spans="1:15">
      <c r="A245" t="s">
        <v>530</v>
      </c>
      <c r="B245" s="285">
        <v>63000</v>
      </c>
      <c r="C245" s="285">
        <v>64000</v>
      </c>
      <c r="D245" s="285">
        <v>65000</v>
      </c>
      <c r="E245" s="285">
        <v>66000</v>
      </c>
      <c r="F245" s="285">
        <v>66000</v>
      </c>
      <c r="G245" s="285">
        <v>67000</v>
      </c>
      <c r="H245" s="285">
        <v>68000</v>
      </c>
      <c r="I245" s="285">
        <v>68000</v>
      </c>
      <c r="J245" s="285">
        <v>69000</v>
      </c>
      <c r="K245" s="285">
        <v>70000</v>
      </c>
      <c r="L245" s="285">
        <v>70000</v>
      </c>
      <c r="M245" s="285">
        <v>71000</v>
      </c>
      <c r="N245" s="285">
        <v>72000</v>
      </c>
      <c r="O245" s="1258">
        <f t="shared" si="20"/>
        <v>67615.38461538461</v>
      </c>
    </row>
    <row r="246" spans="1:15">
      <c r="A246" s="968" t="s">
        <v>1132</v>
      </c>
      <c r="B246" s="598">
        <f>SUM(B240:B245)</f>
        <v>53410000</v>
      </c>
      <c r="C246" s="598">
        <f t="shared" ref="C246:O246" si="22">SUM(C240:C245)</f>
        <v>53546000</v>
      </c>
      <c r="D246" s="598">
        <f t="shared" si="22"/>
        <v>53681000</v>
      </c>
      <c r="E246" s="598">
        <f t="shared" si="22"/>
        <v>53816000</v>
      </c>
      <c r="F246" s="598">
        <f t="shared" si="22"/>
        <v>53951000</v>
      </c>
      <c r="G246" s="598">
        <f t="shared" si="22"/>
        <v>54086000</v>
      </c>
      <c r="H246" s="598">
        <f t="shared" si="22"/>
        <v>54222000</v>
      </c>
      <c r="I246" s="598">
        <f t="shared" si="22"/>
        <v>54355000</v>
      </c>
      <c r="J246" s="598">
        <f t="shared" si="22"/>
        <v>54492000</v>
      </c>
      <c r="K246" s="598">
        <f t="shared" si="22"/>
        <v>54627000</v>
      </c>
      <c r="L246" s="598">
        <f t="shared" si="22"/>
        <v>54761000</v>
      </c>
      <c r="M246" s="598">
        <f t="shared" si="22"/>
        <v>54898000</v>
      </c>
      <c r="N246" s="598">
        <f>SUM(N240:N245)</f>
        <v>55035000</v>
      </c>
      <c r="O246" s="598">
        <f t="shared" si="22"/>
        <v>54221538.461538456</v>
      </c>
    </row>
    <row r="249" spans="1:15">
      <c r="A249" t="s">
        <v>1031</v>
      </c>
      <c r="B249" s="285">
        <v>11000</v>
      </c>
      <c r="C249" s="285">
        <v>11000</v>
      </c>
      <c r="D249" s="285">
        <v>11000</v>
      </c>
      <c r="E249" s="285">
        <v>11000</v>
      </c>
      <c r="F249" s="285">
        <v>11000</v>
      </c>
      <c r="G249" s="285">
        <v>11000</v>
      </c>
      <c r="H249" s="285">
        <v>11000</v>
      </c>
      <c r="I249" s="285">
        <v>11000</v>
      </c>
      <c r="J249" s="285">
        <v>11000</v>
      </c>
      <c r="K249" s="285">
        <v>11000</v>
      </c>
      <c r="L249" s="285">
        <v>11000</v>
      </c>
      <c r="M249" s="285">
        <v>11000</v>
      </c>
      <c r="N249" s="285">
        <v>11000</v>
      </c>
      <c r="O249" s="1258">
        <f t="shared" ref="O249:O280" si="23">AVERAGE(B249:N249)</f>
        <v>11000</v>
      </c>
    </row>
    <row r="250" spans="1:15">
      <c r="A250" t="s">
        <v>1032</v>
      </c>
      <c r="B250" s="285">
        <v>42000</v>
      </c>
      <c r="C250" s="285">
        <v>42000</v>
      </c>
      <c r="D250" s="285">
        <v>42000</v>
      </c>
      <c r="E250" s="285">
        <v>42000</v>
      </c>
      <c r="F250" s="285">
        <v>42000</v>
      </c>
      <c r="G250" s="285">
        <v>42000</v>
      </c>
      <c r="H250" s="285">
        <v>43000</v>
      </c>
      <c r="I250" s="285">
        <v>43000</v>
      </c>
      <c r="J250" s="285">
        <v>43000</v>
      </c>
      <c r="K250" s="285">
        <v>43000</v>
      </c>
      <c r="L250" s="285">
        <v>43000</v>
      </c>
      <c r="M250" s="285">
        <v>43000</v>
      </c>
      <c r="N250" s="285">
        <v>43000</v>
      </c>
      <c r="O250" s="1258">
        <f t="shared" si="23"/>
        <v>42538.461538461539</v>
      </c>
    </row>
    <row r="251" spans="1:15">
      <c r="A251" t="s">
        <v>1033</v>
      </c>
      <c r="B251" s="285">
        <v>1000</v>
      </c>
      <c r="C251" s="285">
        <v>1000</v>
      </c>
      <c r="D251" s="285">
        <v>1000</v>
      </c>
      <c r="E251" s="285">
        <v>1000</v>
      </c>
      <c r="F251" s="285">
        <v>1000</v>
      </c>
      <c r="G251" s="285">
        <v>1000</v>
      </c>
      <c r="H251" s="285">
        <v>1000</v>
      </c>
      <c r="I251" s="285">
        <v>1000</v>
      </c>
      <c r="J251" s="285">
        <v>1000</v>
      </c>
      <c r="K251" s="285">
        <v>1000</v>
      </c>
      <c r="L251" s="285">
        <v>1000</v>
      </c>
      <c r="M251" s="285">
        <v>1000</v>
      </c>
      <c r="N251" s="285">
        <v>1000</v>
      </c>
      <c r="O251" s="1258">
        <f t="shared" si="23"/>
        <v>1000</v>
      </c>
    </row>
    <row r="252" spans="1:15">
      <c r="A252" t="s">
        <v>1034</v>
      </c>
      <c r="B252" s="285">
        <v>2000</v>
      </c>
      <c r="C252" s="285">
        <v>2000</v>
      </c>
      <c r="D252" s="285">
        <v>2000</v>
      </c>
      <c r="E252" s="285">
        <v>2000</v>
      </c>
      <c r="F252" s="285">
        <v>2000</v>
      </c>
      <c r="G252" s="285">
        <v>2000</v>
      </c>
      <c r="H252" s="285">
        <v>2000</v>
      </c>
      <c r="I252" s="285">
        <v>2000</v>
      </c>
      <c r="J252" s="285">
        <v>2000</v>
      </c>
      <c r="K252" s="285">
        <v>2000</v>
      </c>
      <c r="L252" s="285">
        <v>2000</v>
      </c>
      <c r="M252" s="285">
        <v>2000</v>
      </c>
      <c r="N252" s="285">
        <v>2000</v>
      </c>
      <c r="O252" s="1258">
        <f t="shared" si="23"/>
        <v>2000</v>
      </c>
    </row>
    <row r="253" spans="1:15">
      <c r="A253" t="s">
        <v>1117</v>
      </c>
      <c r="B253" s="285">
        <v>31000</v>
      </c>
      <c r="C253" s="285">
        <v>31000</v>
      </c>
      <c r="D253" s="285">
        <v>31000</v>
      </c>
      <c r="E253" s="285">
        <v>31000</v>
      </c>
      <c r="F253" s="285">
        <v>32000</v>
      </c>
      <c r="G253" s="285">
        <v>32000</v>
      </c>
      <c r="H253" s="285">
        <v>32000</v>
      </c>
      <c r="I253" s="285">
        <v>32000</v>
      </c>
      <c r="J253" s="285">
        <v>32000</v>
      </c>
      <c r="K253" s="285">
        <v>32000</v>
      </c>
      <c r="L253" s="285">
        <v>32000</v>
      </c>
      <c r="M253" s="285">
        <v>32000</v>
      </c>
      <c r="N253" s="285">
        <v>32000</v>
      </c>
      <c r="O253" s="1258">
        <f t="shared" si="23"/>
        <v>31692.307692307691</v>
      </c>
    </row>
    <row r="254" spans="1:15">
      <c r="A254" t="s">
        <v>1070</v>
      </c>
      <c r="B254" s="285">
        <v>445000</v>
      </c>
      <c r="C254" s="285">
        <v>447000</v>
      </c>
      <c r="D254" s="285">
        <v>449000</v>
      </c>
      <c r="E254" s="285">
        <v>451000</v>
      </c>
      <c r="F254" s="285">
        <v>453000</v>
      </c>
      <c r="G254" s="285">
        <v>455000</v>
      </c>
      <c r="H254" s="285">
        <v>457000</v>
      </c>
      <c r="I254" s="285">
        <v>459000</v>
      </c>
      <c r="J254" s="285">
        <v>461000</v>
      </c>
      <c r="K254" s="285">
        <v>463000</v>
      </c>
      <c r="L254" s="285">
        <v>465000</v>
      </c>
      <c r="M254" s="285">
        <v>467000</v>
      </c>
      <c r="N254" s="285">
        <v>469000</v>
      </c>
      <c r="O254" s="1258">
        <f t="shared" si="23"/>
        <v>457000</v>
      </c>
    </row>
    <row r="255" spans="1:15">
      <c r="A255" t="s">
        <v>1035</v>
      </c>
      <c r="B255" s="285">
        <v>50000</v>
      </c>
      <c r="C255" s="285">
        <v>50000</v>
      </c>
      <c r="D255" s="285">
        <v>51000</v>
      </c>
      <c r="E255" s="285">
        <v>51000</v>
      </c>
      <c r="F255" s="285">
        <v>51000</v>
      </c>
      <c r="G255" s="285">
        <v>51000</v>
      </c>
      <c r="H255" s="285">
        <v>51000</v>
      </c>
      <c r="I255" s="285">
        <v>52000</v>
      </c>
      <c r="J255" s="285">
        <v>52000</v>
      </c>
      <c r="K255" s="285">
        <v>52000</v>
      </c>
      <c r="L255" s="285">
        <v>52000</v>
      </c>
      <c r="M255" s="285">
        <v>52000</v>
      </c>
      <c r="N255" s="285">
        <v>52000</v>
      </c>
      <c r="O255" s="1258">
        <f t="shared" si="23"/>
        <v>51307.692307692305</v>
      </c>
    </row>
    <row r="256" spans="1:15">
      <c r="A256" t="s">
        <v>1036</v>
      </c>
      <c r="B256" s="285">
        <v>71000</v>
      </c>
      <c r="C256" s="285">
        <v>71000</v>
      </c>
      <c r="D256" s="285">
        <v>72000</v>
      </c>
      <c r="E256" s="285">
        <v>72000</v>
      </c>
      <c r="F256" s="285">
        <v>72000</v>
      </c>
      <c r="G256" s="285">
        <v>72000</v>
      </c>
      <c r="H256" s="285">
        <v>72000</v>
      </c>
      <c r="I256" s="285">
        <v>72000</v>
      </c>
      <c r="J256" s="285">
        <v>72000</v>
      </c>
      <c r="K256" s="285">
        <v>72000</v>
      </c>
      <c r="L256" s="285">
        <v>72000</v>
      </c>
      <c r="M256" s="285">
        <v>72000</v>
      </c>
      <c r="N256" s="285">
        <v>72000</v>
      </c>
      <c r="O256" s="1258">
        <f t="shared" si="23"/>
        <v>71846.153846153844</v>
      </c>
    </row>
    <row r="257" spans="1:15">
      <c r="A257" t="s">
        <v>1037</v>
      </c>
      <c r="B257" s="285">
        <v>273000</v>
      </c>
      <c r="C257" s="285">
        <v>274000</v>
      </c>
      <c r="D257" s="285">
        <v>275000</v>
      </c>
      <c r="E257" s="285">
        <v>276000</v>
      </c>
      <c r="F257" s="285">
        <v>277000</v>
      </c>
      <c r="G257" s="285">
        <v>277000</v>
      </c>
      <c r="H257" s="285">
        <v>278000</v>
      </c>
      <c r="I257" s="285">
        <v>279000</v>
      </c>
      <c r="J257" s="285">
        <v>280000</v>
      </c>
      <c r="K257" s="285">
        <v>281000</v>
      </c>
      <c r="L257" s="285">
        <v>281000</v>
      </c>
      <c r="M257" s="285">
        <v>282000</v>
      </c>
      <c r="N257" s="285">
        <v>283000</v>
      </c>
      <c r="O257" s="1258">
        <f t="shared" si="23"/>
        <v>278153.84615384613</v>
      </c>
    </row>
    <row r="258" spans="1:15">
      <c r="A258" t="s">
        <v>1038</v>
      </c>
      <c r="B258" s="285">
        <v>103000</v>
      </c>
      <c r="C258" s="285">
        <v>104000</v>
      </c>
      <c r="D258" s="285">
        <v>104000</v>
      </c>
      <c r="E258" s="285">
        <v>104000</v>
      </c>
      <c r="F258" s="285">
        <v>104000</v>
      </c>
      <c r="G258" s="285">
        <v>105000</v>
      </c>
      <c r="H258" s="285">
        <v>105000</v>
      </c>
      <c r="I258" s="285">
        <v>105000</v>
      </c>
      <c r="J258" s="285">
        <v>105000</v>
      </c>
      <c r="K258" s="285">
        <v>106000</v>
      </c>
      <c r="L258" s="285">
        <v>106000</v>
      </c>
      <c r="M258" s="285">
        <v>106000</v>
      </c>
      <c r="N258" s="285">
        <v>106000</v>
      </c>
      <c r="O258" s="1258">
        <f t="shared" si="23"/>
        <v>104846.15384615384</v>
      </c>
    </row>
    <row r="259" spans="1:15">
      <c r="A259" t="s">
        <v>1039</v>
      </c>
      <c r="B259" s="285">
        <v>-15000</v>
      </c>
      <c r="C259" s="285">
        <v>-15000</v>
      </c>
      <c r="D259" s="285">
        <v>-14000</v>
      </c>
      <c r="E259" s="285">
        <v>-13000</v>
      </c>
      <c r="F259" s="285">
        <v>-13000</v>
      </c>
      <c r="G259" s="285">
        <v>-12000</v>
      </c>
      <c r="H259" s="285">
        <v>-11000</v>
      </c>
      <c r="I259" s="285">
        <v>-11000</v>
      </c>
      <c r="J259" s="285">
        <v>-10000</v>
      </c>
      <c r="K259" s="285">
        <v>-9000</v>
      </c>
      <c r="L259" s="285">
        <v>-9000</v>
      </c>
      <c r="M259" s="285">
        <v>-8000</v>
      </c>
      <c r="N259" s="285">
        <v>-7000</v>
      </c>
      <c r="O259" s="1258">
        <f t="shared" si="23"/>
        <v>-11307.692307692309</v>
      </c>
    </row>
    <row r="260" spans="1:15">
      <c r="A260" t="s">
        <v>1349</v>
      </c>
      <c r="B260" s="285">
        <v>0</v>
      </c>
      <c r="C260" s="285">
        <v>0</v>
      </c>
      <c r="D260" s="285">
        <v>0</v>
      </c>
      <c r="E260" s="285">
        <v>0</v>
      </c>
      <c r="F260" s="285">
        <v>0</v>
      </c>
      <c r="G260" s="285">
        <v>0</v>
      </c>
      <c r="H260" s="285">
        <v>0</v>
      </c>
      <c r="I260" s="285">
        <v>0</v>
      </c>
      <c r="J260" s="285">
        <v>20000</v>
      </c>
      <c r="K260" s="285">
        <v>60000</v>
      </c>
      <c r="L260" s="285">
        <v>100000</v>
      </c>
      <c r="M260" s="285">
        <v>137000</v>
      </c>
      <c r="N260" s="285">
        <v>173000</v>
      </c>
      <c r="O260" s="1258">
        <f t="shared" si="23"/>
        <v>37692.307692307695</v>
      </c>
    </row>
    <row r="261" spans="1:15">
      <c r="A261" t="s">
        <v>1040</v>
      </c>
      <c r="B261" s="285">
        <v>91000</v>
      </c>
      <c r="C261" s="285">
        <v>91000</v>
      </c>
      <c r="D261" s="285">
        <v>91000</v>
      </c>
      <c r="E261" s="285">
        <v>91000</v>
      </c>
      <c r="F261" s="285">
        <v>91000</v>
      </c>
      <c r="G261" s="285">
        <v>92000</v>
      </c>
      <c r="H261" s="285">
        <v>92000</v>
      </c>
      <c r="I261" s="285">
        <v>92000</v>
      </c>
      <c r="J261" s="285">
        <v>92000</v>
      </c>
      <c r="K261" s="285">
        <v>92000</v>
      </c>
      <c r="L261" s="285">
        <v>92000</v>
      </c>
      <c r="M261" s="285">
        <v>93000</v>
      </c>
      <c r="N261" s="285">
        <v>93000</v>
      </c>
      <c r="O261" s="1258">
        <f t="shared" si="23"/>
        <v>91769.230769230766</v>
      </c>
    </row>
    <row r="262" spans="1:15">
      <c r="A262" t="s">
        <v>1041</v>
      </c>
      <c r="B262" s="285">
        <v>5440000</v>
      </c>
      <c r="C262" s="285">
        <v>5449000</v>
      </c>
      <c r="D262" s="285">
        <v>5458000</v>
      </c>
      <c r="E262" s="285">
        <v>4061000</v>
      </c>
      <c r="F262" s="285">
        <v>4068000</v>
      </c>
      <c r="G262" s="285">
        <v>4075000</v>
      </c>
      <c r="H262" s="285">
        <v>4082000</v>
      </c>
      <c r="I262" s="285">
        <v>4089000</v>
      </c>
      <c r="J262" s="285">
        <v>4096000</v>
      </c>
      <c r="K262" s="285">
        <v>4100000</v>
      </c>
      <c r="L262" s="285">
        <v>4107000</v>
      </c>
      <c r="M262" s="285">
        <v>4114000</v>
      </c>
      <c r="N262" s="285">
        <v>4122000</v>
      </c>
      <c r="O262" s="1258">
        <f t="shared" si="23"/>
        <v>4404692.307692308</v>
      </c>
    </row>
    <row r="263" spans="1:15">
      <c r="A263" t="s">
        <v>1059</v>
      </c>
      <c r="B263" s="285">
        <v>4506000</v>
      </c>
      <c r="C263" s="285">
        <v>4516000</v>
      </c>
      <c r="D263" s="285">
        <v>4526000</v>
      </c>
      <c r="E263" s="285">
        <v>4535000</v>
      </c>
      <c r="F263" s="285">
        <v>4545000</v>
      </c>
      <c r="G263" s="285">
        <v>4555000</v>
      </c>
      <c r="H263" s="285">
        <v>4565000</v>
      </c>
      <c r="I263" s="285">
        <v>4575000</v>
      </c>
      <c r="J263" s="285">
        <v>4584000</v>
      </c>
      <c r="K263" s="285">
        <v>4594000</v>
      </c>
      <c r="L263" s="285">
        <v>4604000</v>
      </c>
      <c r="M263" s="285">
        <v>4614000</v>
      </c>
      <c r="N263" s="285">
        <v>4624000</v>
      </c>
      <c r="O263" s="1258">
        <f t="shared" si="23"/>
        <v>4564846.153846154</v>
      </c>
    </row>
    <row r="264" spans="1:15">
      <c r="A264" t="s">
        <v>1157</v>
      </c>
      <c r="B264" s="285">
        <v>2151000</v>
      </c>
      <c r="C264" s="285">
        <v>2159000</v>
      </c>
      <c r="D264" s="285">
        <v>2168000</v>
      </c>
      <c r="E264" s="285">
        <v>2177000</v>
      </c>
      <c r="F264" s="285">
        <v>2186000</v>
      </c>
      <c r="G264" s="285">
        <v>2195000</v>
      </c>
      <c r="H264" s="285">
        <v>2203000</v>
      </c>
      <c r="I264" s="285">
        <v>2212000</v>
      </c>
      <c r="J264" s="285">
        <v>2221000</v>
      </c>
      <c r="K264" s="285">
        <v>2230000</v>
      </c>
      <c r="L264" s="285">
        <v>2238000</v>
      </c>
      <c r="M264" s="285">
        <v>2247000</v>
      </c>
      <c r="N264" s="285">
        <v>2256000</v>
      </c>
      <c r="O264" s="1258">
        <f t="shared" si="23"/>
        <v>2203307.6923076925</v>
      </c>
    </row>
    <row r="265" spans="1:15">
      <c r="A265" t="s">
        <v>1042</v>
      </c>
      <c r="B265" s="285">
        <v>911000</v>
      </c>
      <c r="C265" s="285">
        <v>916000</v>
      </c>
      <c r="D265" s="285">
        <v>922000</v>
      </c>
      <c r="E265" s="285">
        <v>927000</v>
      </c>
      <c r="F265" s="285">
        <v>933000</v>
      </c>
      <c r="G265" s="285">
        <v>938000</v>
      </c>
      <c r="H265" s="285">
        <v>944000</v>
      </c>
      <c r="I265" s="285">
        <v>950000</v>
      </c>
      <c r="J265" s="285">
        <v>955000</v>
      </c>
      <c r="K265" s="285">
        <v>961000</v>
      </c>
      <c r="L265" s="285">
        <v>966000</v>
      </c>
      <c r="M265" s="285">
        <v>972000</v>
      </c>
      <c r="N265" s="285">
        <v>977000</v>
      </c>
      <c r="O265" s="1258">
        <f t="shared" si="23"/>
        <v>944000</v>
      </c>
    </row>
    <row r="266" spans="1:15">
      <c r="A266" t="s">
        <v>1043</v>
      </c>
      <c r="B266" s="285">
        <v>1889000</v>
      </c>
      <c r="C266" s="285">
        <v>1896000</v>
      </c>
      <c r="D266" s="285">
        <v>1903000</v>
      </c>
      <c r="E266" s="285">
        <v>1909000</v>
      </c>
      <c r="F266" s="285">
        <v>1916000</v>
      </c>
      <c r="G266" s="285">
        <v>1923000</v>
      </c>
      <c r="H266" s="285">
        <v>1929000</v>
      </c>
      <c r="I266" s="285">
        <v>1936000</v>
      </c>
      <c r="J266" s="285">
        <v>1942000</v>
      </c>
      <c r="K266" s="285">
        <v>1949000</v>
      </c>
      <c r="L266" s="285">
        <v>1956000</v>
      </c>
      <c r="M266" s="285">
        <v>1962000</v>
      </c>
      <c r="N266" s="285">
        <v>1969000</v>
      </c>
      <c r="O266" s="1258">
        <f t="shared" si="23"/>
        <v>1929153.8461538462</v>
      </c>
    </row>
    <row r="267" spans="1:15">
      <c r="A267" t="s">
        <v>1044</v>
      </c>
      <c r="B267" s="285">
        <v>816000</v>
      </c>
      <c r="C267" s="285">
        <v>819000</v>
      </c>
      <c r="D267" s="285">
        <v>822000</v>
      </c>
      <c r="E267" s="285">
        <v>825000</v>
      </c>
      <c r="F267" s="285">
        <v>828000</v>
      </c>
      <c r="G267" s="285">
        <v>831000</v>
      </c>
      <c r="H267" s="285">
        <v>834000</v>
      </c>
      <c r="I267" s="285">
        <v>837000</v>
      </c>
      <c r="J267" s="285">
        <v>840000</v>
      </c>
      <c r="K267" s="285">
        <v>843000</v>
      </c>
      <c r="L267" s="285">
        <v>846000</v>
      </c>
      <c r="M267" s="285">
        <v>849000</v>
      </c>
      <c r="N267" s="285">
        <v>852000</v>
      </c>
      <c r="O267" s="1258">
        <f t="shared" si="23"/>
        <v>834000</v>
      </c>
    </row>
    <row r="268" spans="1:15">
      <c r="A268" t="s">
        <v>1045</v>
      </c>
      <c r="B268" s="285">
        <v>140000</v>
      </c>
      <c r="C268" s="285">
        <v>141000</v>
      </c>
      <c r="D268" s="285">
        <v>141000</v>
      </c>
      <c r="E268" s="285">
        <v>142000</v>
      </c>
      <c r="F268" s="285">
        <v>143000</v>
      </c>
      <c r="G268" s="285">
        <v>143000</v>
      </c>
      <c r="H268" s="285">
        <v>144000</v>
      </c>
      <c r="I268" s="285">
        <v>145000</v>
      </c>
      <c r="J268" s="285">
        <v>146000</v>
      </c>
      <c r="K268" s="285">
        <v>146000</v>
      </c>
      <c r="L268" s="285">
        <v>147000</v>
      </c>
      <c r="M268" s="285">
        <v>148000</v>
      </c>
      <c r="N268" s="285">
        <v>148000</v>
      </c>
      <c r="O268" s="1258">
        <f t="shared" si="23"/>
        <v>144153.84615384616</v>
      </c>
    </row>
    <row r="269" spans="1:15">
      <c r="A269" t="s">
        <v>1046</v>
      </c>
      <c r="B269" s="285">
        <v>3049000</v>
      </c>
      <c r="C269" s="285">
        <v>3065000</v>
      </c>
      <c r="D269" s="285">
        <v>3080000</v>
      </c>
      <c r="E269" s="285">
        <v>3096000</v>
      </c>
      <c r="F269" s="285">
        <v>3111000</v>
      </c>
      <c r="G269" s="285">
        <v>3127000</v>
      </c>
      <c r="H269" s="285">
        <v>3142000</v>
      </c>
      <c r="I269" s="285">
        <v>3158000</v>
      </c>
      <c r="J269" s="285">
        <v>3173000</v>
      </c>
      <c r="K269" s="285">
        <v>3189000</v>
      </c>
      <c r="L269" s="285">
        <v>3204000</v>
      </c>
      <c r="M269" s="285">
        <v>3220000</v>
      </c>
      <c r="N269" s="285">
        <v>3235000</v>
      </c>
      <c r="O269" s="1258">
        <f t="shared" si="23"/>
        <v>3142230.769230769</v>
      </c>
    </row>
    <row r="270" spans="1:15">
      <c r="A270" t="s">
        <v>1047</v>
      </c>
      <c r="B270" s="285">
        <v>3733000</v>
      </c>
      <c r="C270" s="285">
        <v>3749000</v>
      </c>
      <c r="D270" s="285">
        <v>3765000</v>
      </c>
      <c r="E270" s="285">
        <v>3782000</v>
      </c>
      <c r="F270" s="285">
        <v>3798000</v>
      </c>
      <c r="G270" s="285">
        <v>3814000</v>
      </c>
      <c r="H270" s="285">
        <v>3831000</v>
      </c>
      <c r="I270" s="285">
        <v>3847000</v>
      </c>
      <c r="J270" s="285">
        <v>3863000</v>
      </c>
      <c r="K270" s="285">
        <v>3880000</v>
      </c>
      <c r="L270" s="285">
        <v>3896000</v>
      </c>
      <c r="M270" s="285">
        <v>3912000</v>
      </c>
      <c r="N270" s="285">
        <v>3929000</v>
      </c>
      <c r="O270" s="1258">
        <f t="shared" si="23"/>
        <v>3830692.3076923075</v>
      </c>
    </row>
    <row r="271" spans="1:15">
      <c r="A271" t="s">
        <v>1048</v>
      </c>
      <c r="B271" s="285">
        <v>929000</v>
      </c>
      <c r="C271" s="285">
        <v>933000</v>
      </c>
      <c r="D271" s="285">
        <v>938000</v>
      </c>
      <c r="E271" s="285">
        <v>943000</v>
      </c>
      <c r="F271" s="285">
        <v>947000</v>
      </c>
      <c r="G271" s="285">
        <v>952000</v>
      </c>
      <c r="H271" s="285">
        <v>957000</v>
      </c>
      <c r="I271" s="285">
        <v>961000</v>
      </c>
      <c r="J271" s="285">
        <v>966000</v>
      </c>
      <c r="K271" s="285">
        <v>971000</v>
      </c>
      <c r="L271" s="285">
        <v>976000</v>
      </c>
      <c r="M271" s="285">
        <v>980000</v>
      </c>
      <c r="N271" s="285">
        <v>985000</v>
      </c>
      <c r="O271" s="1258">
        <f t="shared" si="23"/>
        <v>956769.23076923075</v>
      </c>
    </row>
    <row r="272" spans="1:15">
      <c r="A272" t="s">
        <v>1071</v>
      </c>
      <c r="B272" s="285">
        <v>10662000</v>
      </c>
      <c r="C272" s="285">
        <v>10704000</v>
      </c>
      <c r="D272" s="285">
        <v>10746000</v>
      </c>
      <c r="E272" s="285">
        <v>10789000</v>
      </c>
      <c r="F272" s="285">
        <v>10831000</v>
      </c>
      <c r="G272" s="285">
        <v>10873000</v>
      </c>
      <c r="H272" s="285">
        <v>10915000</v>
      </c>
      <c r="I272" s="285">
        <v>10957000</v>
      </c>
      <c r="J272" s="285">
        <v>10999000</v>
      </c>
      <c r="K272" s="285">
        <v>11041000</v>
      </c>
      <c r="L272" s="285">
        <v>11083000</v>
      </c>
      <c r="M272" s="285">
        <v>11126000</v>
      </c>
      <c r="N272" s="285">
        <v>11168000</v>
      </c>
      <c r="O272" s="1258">
        <f t="shared" si="23"/>
        <v>10914923.076923076</v>
      </c>
    </row>
    <row r="273" spans="1:15">
      <c r="A273" t="s">
        <v>1049</v>
      </c>
      <c r="B273" s="285">
        <v>645000</v>
      </c>
      <c r="C273" s="285">
        <v>648000</v>
      </c>
      <c r="D273" s="285">
        <v>651000</v>
      </c>
      <c r="E273" s="285">
        <v>655000</v>
      </c>
      <c r="F273" s="285">
        <v>658000</v>
      </c>
      <c r="G273" s="285">
        <v>661000</v>
      </c>
      <c r="H273" s="285">
        <v>664000</v>
      </c>
      <c r="I273" s="285">
        <v>667000</v>
      </c>
      <c r="J273" s="285">
        <v>670000</v>
      </c>
      <c r="K273" s="285">
        <v>673000</v>
      </c>
      <c r="L273" s="285">
        <v>676000</v>
      </c>
      <c r="M273" s="285">
        <v>679000</v>
      </c>
      <c r="N273" s="285">
        <v>682000</v>
      </c>
      <c r="O273" s="1258">
        <f t="shared" si="23"/>
        <v>663769.23076923075</v>
      </c>
    </row>
    <row r="274" spans="1:15">
      <c r="A274" t="s">
        <v>1050</v>
      </c>
      <c r="B274" s="285">
        <v>12000</v>
      </c>
      <c r="C274" s="285">
        <v>13000</v>
      </c>
      <c r="D274" s="285">
        <v>13000</v>
      </c>
      <c r="E274" s="285">
        <v>13000</v>
      </c>
      <c r="F274" s="285">
        <v>13000</v>
      </c>
      <c r="G274" s="285">
        <v>13000</v>
      </c>
      <c r="H274" s="285">
        <v>13000</v>
      </c>
      <c r="I274" s="285">
        <v>13000</v>
      </c>
      <c r="J274" s="285">
        <v>13000</v>
      </c>
      <c r="K274" s="285">
        <v>13000</v>
      </c>
      <c r="L274" s="285">
        <v>13000</v>
      </c>
      <c r="M274" s="285">
        <v>13000</v>
      </c>
      <c r="N274" s="285">
        <v>13000</v>
      </c>
      <c r="O274" s="1258">
        <f t="shared" si="23"/>
        <v>12923.076923076924</v>
      </c>
    </row>
    <row r="275" spans="1:15">
      <c r="A275" t="s">
        <v>1051</v>
      </c>
      <c r="B275" s="285">
        <v>53000</v>
      </c>
      <c r="C275" s="285">
        <v>54000</v>
      </c>
      <c r="D275" s="285">
        <v>54000</v>
      </c>
      <c r="E275" s="285">
        <v>55000</v>
      </c>
      <c r="F275" s="285">
        <v>55000</v>
      </c>
      <c r="G275" s="285">
        <v>55000</v>
      </c>
      <c r="H275" s="285">
        <v>56000</v>
      </c>
      <c r="I275" s="285">
        <v>56000</v>
      </c>
      <c r="J275" s="285">
        <v>56000</v>
      </c>
      <c r="K275" s="285">
        <v>57000</v>
      </c>
      <c r="L275" s="285">
        <v>57000</v>
      </c>
      <c r="M275" s="285">
        <v>57000</v>
      </c>
      <c r="N275" s="285">
        <v>58000</v>
      </c>
      <c r="O275" s="1258">
        <f t="shared" si="23"/>
        <v>55615.384615384617</v>
      </c>
    </row>
    <row r="276" spans="1:15">
      <c r="A276" t="s">
        <v>1052</v>
      </c>
      <c r="B276" s="285">
        <v>48000</v>
      </c>
      <c r="C276" s="285">
        <v>48000</v>
      </c>
      <c r="D276" s="285">
        <v>48000</v>
      </c>
      <c r="E276" s="285">
        <v>49000</v>
      </c>
      <c r="F276" s="285">
        <v>49000</v>
      </c>
      <c r="G276" s="285">
        <v>49000</v>
      </c>
      <c r="H276" s="285">
        <v>49000</v>
      </c>
      <c r="I276" s="285">
        <v>50000</v>
      </c>
      <c r="J276" s="285">
        <v>50000</v>
      </c>
      <c r="K276" s="285">
        <v>50000</v>
      </c>
      <c r="L276" s="285">
        <v>50000</v>
      </c>
      <c r="M276" s="285">
        <v>50000</v>
      </c>
      <c r="N276" s="285">
        <v>51000</v>
      </c>
      <c r="O276" s="1258">
        <f t="shared" si="23"/>
        <v>49307.692307692305</v>
      </c>
    </row>
    <row r="277" spans="1:15">
      <c r="A277" t="s">
        <v>1060</v>
      </c>
      <c r="B277" s="285">
        <v>1149000</v>
      </c>
      <c r="C277" s="285">
        <v>1156000</v>
      </c>
      <c r="D277" s="285">
        <v>1163000</v>
      </c>
      <c r="E277" s="285">
        <v>1170000</v>
      </c>
      <c r="F277" s="285">
        <v>1177000</v>
      </c>
      <c r="G277" s="285">
        <v>1184000</v>
      </c>
      <c r="H277" s="285">
        <v>1191000</v>
      </c>
      <c r="I277" s="285">
        <v>1198000</v>
      </c>
      <c r="J277" s="285">
        <v>1205000</v>
      </c>
      <c r="K277" s="285">
        <v>1212000</v>
      </c>
      <c r="L277" s="285">
        <v>1219000</v>
      </c>
      <c r="M277" s="285">
        <v>1226000</v>
      </c>
      <c r="N277" s="285">
        <v>1234000</v>
      </c>
      <c r="O277" s="1258">
        <f t="shared" si="23"/>
        <v>1191076.923076923</v>
      </c>
    </row>
    <row r="278" spans="1:15">
      <c r="A278" t="s">
        <v>1061</v>
      </c>
      <c r="B278" s="285">
        <v>1203000</v>
      </c>
      <c r="C278" s="285">
        <v>1211000</v>
      </c>
      <c r="D278" s="285">
        <v>1219000</v>
      </c>
      <c r="E278" s="285">
        <v>1228000</v>
      </c>
      <c r="F278" s="285">
        <v>1236000</v>
      </c>
      <c r="G278" s="285">
        <v>1244000</v>
      </c>
      <c r="H278" s="285">
        <v>1252000</v>
      </c>
      <c r="I278" s="285">
        <v>1261000</v>
      </c>
      <c r="J278" s="285">
        <v>1269000</v>
      </c>
      <c r="K278" s="285">
        <v>1277000</v>
      </c>
      <c r="L278" s="285">
        <v>1285000</v>
      </c>
      <c r="M278" s="285">
        <v>1293000</v>
      </c>
      <c r="N278" s="285">
        <v>1302000</v>
      </c>
      <c r="O278" s="1258">
        <f t="shared" si="23"/>
        <v>1252307.6923076923</v>
      </c>
    </row>
    <row r="279" spans="1:15">
      <c r="A279" t="s">
        <v>1053</v>
      </c>
      <c r="B279" s="285">
        <v>165000</v>
      </c>
      <c r="C279" s="285">
        <v>166000</v>
      </c>
      <c r="D279" s="285">
        <v>166000</v>
      </c>
      <c r="E279" s="285">
        <v>166000</v>
      </c>
      <c r="F279" s="285">
        <v>167000</v>
      </c>
      <c r="G279" s="285">
        <v>167000</v>
      </c>
      <c r="H279" s="285">
        <v>167000</v>
      </c>
      <c r="I279" s="285">
        <v>168000</v>
      </c>
      <c r="J279" s="285">
        <v>168000</v>
      </c>
      <c r="K279" s="285">
        <v>168000</v>
      </c>
      <c r="L279" s="285">
        <v>169000</v>
      </c>
      <c r="M279" s="285">
        <v>169000</v>
      </c>
      <c r="N279" s="285">
        <v>170000</v>
      </c>
      <c r="O279" s="1258">
        <f t="shared" si="23"/>
        <v>167384.61538461538</v>
      </c>
    </row>
    <row r="280" spans="1:15">
      <c r="A280" t="s">
        <v>1054</v>
      </c>
      <c r="B280" s="285">
        <v>-32000</v>
      </c>
      <c r="C280" s="285">
        <v>-32000</v>
      </c>
      <c r="D280" s="285">
        <v>-32000</v>
      </c>
      <c r="E280" s="285">
        <v>-32000</v>
      </c>
      <c r="F280" s="285">
        <v>-31000</v>
      </c>
      <c r="G280" s="285">
        <v>-31000</v>
      </c>
      <c r="H280" s="285">
        <v>-31000</v>
      </c>
      <c r="I280" s="285">
        <v>-31000</v>
      </c>
      <c r="J280" s="285">
        <v>-31000</v>
      </c>
      <c r="K280" s="285">
        <v>-31000</v>
      </c>
      <c r="L280" s="285">
        <v>-30000</v>
      </c>
      <c r="M280" s="285">
        <v>-30000</v>
      </c>
      <c r="N280" s="285">
        <v>-30000</v>
      </c>
      <c r="O280" s="1258">
        <f t="shared" si="23"/>
        <v>-31076.923076923078</v>
      </c>
    </row>
    <row r="281" spans="1:15">
      <c r="A281" t="s">
        <v>1055</v>
      </c>
      <c r="B281" s="285">
        <v>15000</v>
      </c>
      <c r="C281" s="285">
        <v>15000</v>
      </c>
      <c r="D281" s="285">
        <v>15000</v>
      </c>
      <c r="E281" s="285">
        <v>15000</v>
      </c>
      <c r="F281" s="285">
        <v>15000</v>
      </c>
      <c r="G281" s="285">
        <v>15000</v>
      </c>
      <c r="H281" s="285">
        <v>15000</v>
      </c>
      <c r="I281" s="285">
        <v>15000</v>
      </c>
      <c r="J281" s="285">
        <v>15000</v>
      </c>
      <c r="K281" s="285">
        <v>15000</v>
      </c>
      <c r="L281" s="285">
        <v>15000</v>
      </c>
      <c r="M281" s="285">
        <v>15000</v>
      </c>
      <c r="N281" s="285">
        <v>15000</v>
      </c>
      <c r="O281" s="1258">
        <f t="shared" ref="O281:O321" si="24">AVERAGE(B281:N281)</f>
        <v>15000</v>
      </c>
    </row>
    <row r="282" spans="1:15">
      <c r="A282" t="s">
        <v>1072</v>
      </c>
      <c r="B282" s="285">
        <v>689000</v>
      </c>
      <c r="C282" s="285">
        <v>694000</v>
      </c>
      <c r="D282" s="285">
        <v>699000</v>
      </c>
      <c r="E282" s="285">
        <v>704000</v>
      </c>
      <c r="F282" s="285">
        <v>708000</v>
      </c>
      <c r="G282" s="285">
        <v>713000</v>
      </c>
      <c r="H282" s="285">
        <v>718000</v>
      </c>
      <c r="I282" s="285">
        <v>723000</v>
      </c>
      <c r="J282" s="285">
        <v>728000</v>
      </c>
      <c r="K282" s="285">
        <v>733000</v>
      </c>
      <c r="L282" s="285">
        <v>738000</v>
      </c>
      <c r="M282" s="285">
        <v>743000</v>
      </c>
      <c r="N282" s="285">
        <v>748000</v>
      </c>
      <c r="O282" s="1258">
        <f t="shared" si="24"/>
        <v>718307.69230769225</v>
      </c>
    </row>
    <row r="283" spans="1:15">
      <c r="A283" t="s">
        <v>1056</v>
      </c>
      <c r="B283" s="285">
        <v>3739000</v>
      </c>
      <c r="C283" s="285">
        <v>3746000</v>
      </c>
      <c r="D283" s="285">
        <v>3752000</v>
      </c>
      <c r="E283" s="285">
        <v>3758000</v>
      </c>
      <c r="F283" s="285">
        <v>3764000</v>
      </c>
      <c r="G283" s="285">
        <v>3770000</v>
      </c>
      <c r="H283" s="285">
        <v>3776000</v>
      </c>
      <c r="I283" s="285">
        <v>3782000</v>
      </c>
      <c r="J283" s="285">
        <v>3789000</v>
      </c>
      <c r="K283" s="285">
        <v>3795000</v>
      </c>
      <c r="L283" s="285">
        <v>3801000</v>
      </c>
      <c r="M283" s="285">
        <v>3807000</v>
      </c>
      <c r="N283" s="285">
        <v>3813000</v>
      </c>
      <c r="O283" s="1258">
        <f t="shared" si="24"/>
        <v>3776307.6923076925</v>
      </c>
    </row>
    <row r="284" spans="1:15">
      <c r="A284" t="s">
        <v>1057</v>
      </c>
      <c r="B284" s="285">
        <v>87000</v>
      </c>
      <c r="C284" s="285">
        <v>87000</v>
      </c>
      <c r="D284" s="285">
        <v>87000</v>
      </c>
      <c r="E284" s="285">
        <v>87000</v>
      </c>
      <c r="F284" s="285">
        <v>88000</v>
      </c>
      <c r="G284" s="285">
        <v>88000</v>
      </c>
      <c r="H284" s="285">
        <v>88000</v>
      </c>
      <c r="I284" s="285">
        <v>88000</v>
      </c>
      <c r="J284" s="285">
        <v>89000</v>
      </c>
      <c r="K284" s="285">
        <v>89000</v>
      </c>
      <c r="L284" s="285">
        <v>89000</v>
      </c>
      <c r="M284" s="285">
        <v>89000</v>
      </c>
      <c r="N284" s="285">
        <v>90000</v>
      </c>
      <c r="O284" s="1258">
        <f t="shared" si="24"/>
        <v>88153.846153846156</v>
      </c>
    </row>
    <row r="285" spans="1:15">
      <c r="A285" t="s">
        <v>1058</v>
      </c>
      <c r="B285" s="285">
        <v>9000</v>
      </c>
      <c r="C285" s="285">
        <v>9000</v>
      </c>
      <c r="D285" s="285">
        <v>9000</v>
      </c>
      <c r="E285" s="285">
        <v>9000</v>
      </c>
      <c r="F285" s="285">
        <v>9000</v>
      </c>
      <c r="G285" s="285">
        <v>9000</v>
      </c>
      <c r="H285" s="285">
        <v>9000</v>
      </c>
      <c r="I285" s="285">
        <v>9000</v>
      </c>
      <c r="J285" s="285">
        <v>9000</v>
      </c>
      <c r="K285" s="285">
        <v>9000</v>
      </c>
      <c r="L285" s="285">
        <v>9000</v>
      </c>
      <c r="M285" s="285">
        <v>9000</v>
      </c>
      <c r="N285" s="285">
        <v>9000</v>
      </c>
      <c r="O285" s="1258">
        <f t="shared" si="24"/>
        <v>9000</v>
      </c>
    </row>
    <row r="286" spans="1:15">
      <c r="A286" t="s">
        <v>0</v>
      </c>
      <c r="B286" s="285">
        <v>943000</v>
      </c>
      <c r="C286" s="285">
        <v>947000</v>
      </c>
      <c r="D286" s="285">
        <v>952000</v>
      </c>
      <c r="E286" s="285">
        <v>957000</v>
      </c>
      <c r="F286" s="285">
        <v>961000</v>
      </c>
      <c r="G286" s="285">
        <v>966000</v>
      </c>
      <c r="H286" s="285">
        <v>971000</v>
      </c>
      <c r="I286" s="285">
        <v>976000</v>
      </c>
      <c r="J286" s="285">
        <v>980000</v>
      </c>
      <c r="K286" s="285">
        <v>985000</v>
      </c>
      <c r="L286" s="285">
        <v>990000</v>
      </c>
      <c r="M286" s="285">
        <v>994000</v>
      </c>
      <c r="N286" s="285">
        <v>999000</v>
      </c>
      <c r="O286" s="1258">
        <f t="shared" si="24"/>
        <v>970846.15384615387</v>
      </c>
    </row>
    <row r="287" spans="1:15">
      <c r="A287" t="s">
        <v>1</v>
      </c>
      <c r="B287" s="285">
        <v>862000</v>
      </c>
      <c r="C287" s="285">
        <v>867000</v>
      </c>
      <c r="D287" s="285">
        <v>872000</v>
      </c>
      <c r="E287" s="285">
        <v>877000</v>
      </c>
      <c r="F287" s="285">
        <v>882000</v>
      </c>
      <c r="G287" s="285">
        <v>887000</v>
      </c>
      <c r="H287" s="285">
        <v>892000</v>
      </c>
      <c r="I287" s="285">
        <v>897000</v>
      </c>
      <c r="J287" s="285">
        <v>902000</v>
      </c>
      <c r="K287" s="285">
        <v>907000</v>
      </c>
      <c r="L287" s="285">
        <v>912000</v>
      </c>
      <c r="M287" s="285">
        <v>918000</v>
      </c>
      <c r="N287" s="285">
        <v>923000</v>
      </c>
      <c r="O287" s="1258">
        <f t="shared" si="24"/>
        <v>892153.84615384613</v>
      </c>
    </row>
    <row r="288" spans="1:15">
      <c r="A288" t="s">
        <v>2</v>
      </c>
      <c r="B288" s="285">
        <v>1418000</v>
      </c>
      <c r="C288" s="285">
        <v>1423000</v>
      </c>
      <c r="D288" s="285">
        <v>1427000</v>
      </c>
      <c r="E288" s="285">
        <v>1432000</v>
      </c>
      <c r="F288" s="285">
        <v>1436000</v>
      </c>
      <c r="G288" s="285">
        <v>1441000</v>
      </c>
      <c r="H288" s="285">
        <v>1445000</v>
      </c>
      <c r="I288" s="285">
        <v>1450000</v>
      </c>
      <c r="J288" s="285">
        <v>1454000</v>
      </c>
      <c r="K288" s="285">
        <v>1459000</v>
      </c>
      <c r="L288" s="285">
        <v>1463000</v>
      </c>
      <c r="M288" s="285">
        <v>1468000</v>
      </c>
      <c r="N288" s="285">
        <v>1472000</v>
      </c>
      <c r="O288" s="1258">
        <f t="shared" si="24"/>
        <v>1445230.7692307692</v>
      </c>
    </row>
    <row r="289" spans="1:15">
      <c r="A289" t="s">
        <v>3</v>
      </c>
      <c r="B289" s="285">
        <v>4205000</v>
      </c>
      <c r="C289" s="285">
        <v>4223000</v>
      </c>
      <c r="D289" s="285">
        <v>4242000</v>
      </c>
      <c r="E289" s="285">
        <v>4261000</v>
      </c>
      <c r="F289" s="285">
        <v>4280000</v>
      </c>
      <c r="G289" s="285">
        <v>4299000</v>
      </c>
      <c r="H289" s="285">
        <v>4318000</v>
      </c>
      <c r="I289" s="285">
        <v>4336000</v>
      </c>
      <c r="J289" s="285">
        <v>4355000</v>
      </c>
      <c r="K289" s="285">
        <v>4374000</v>
      </c>
      <c r="L289" s="285">
        <v>4393000</v>
      </c>
      <c r="M289" s="285">
        <v>4412000</v>
      </c>
      <c r="N289" s="285">
        <v>4431000</v>
      </c>
      <c r="O289" s="1258">
        <f t="shared" si="24"/>
        <v>4317615.384615385</v>
      </c>
    </row>
    <row r="290" spans="1:15">
      <c r="A290" t="s">
        <v>1152</v>
      </c>
      <c r="B290" s="285">
        <v>3641000</v>
      </c>
      <c r="C290" s="285">
        <v>3658000</v>
      </c>
      <c r="D290" s="285">
        <v>3675000</v>
      </c>
      <c r="E290" s="285">
        <v>3691000</v>
      </c>
      <c r="F290" s="285">
        <v>3708000</v>
      </c>
      <c r="G290" s="285">
        <v>3725000</v>
      </c>
      <c r="H290" s="285">
        <v>3742000</v>
      </c>
      <c r="I290" s="285">
        <v>3759000</v>
      </c>
      <c r="J290" s="285">
        <v>3776000</v>
      </c>
      <c r="K290" s="285">
        <v>3793000</v>
      </c>
      <c r="L290" s="285">
        <v>3810000</v>
      </c>
      <c r="M290" s="285">
        <v>3826000</v>
      </c>
      <c r="N290" s="285">
        <v>3843000</v>
      </c>
      <c r="O290" s="1258">
        <f t="shared" si="24"/>
        <v>3742076.923076923</v>
      </c>
    </row>
    <row r="291" spans="1:15">
      <c r="A291" t="s">
        <v>4</v>
      </c>
      <c r="B291" s="285">
        <v>2461000</v>
      </c>
      <c r="C291" s="285">
        <v>2476000</v>
      </c>
      <c r="D291" s="285">
        <v>2490000</v>
      </c>
      <c r="E291" s="285">
        <v>2504000</v>
      </c>
      <c r="F291" s="285">
        <v>2519000</v>
      </c>
      <c r="G291" s="285">
        <v>2533000</v>
      </c>
      <c r="H291" s="285">
        <v>2548000</v>
      </c>
      <c r="I291" s="285">
        <v>2562000</v>
      </c>
      <c r="J291" s="285">
        <v>2577000</v>
      </c>
      <c r="K291" s="285">
        <v>2591000</v>
      </c>
      <c r="L291" s="285">
        <v>2606000</v>
      </c>
      <c r="M291" s="285">
        <v>2620000</v>
      </c>
      <c r="N291" s="285">
        <v>2634000</v>
      </c>
      <c r="O291" s="1258">
        <f t="shared" si="24"/>
        <v>2547769.230769231</v>
      </c>
    </row>
    <row r="292" spans="1:15">
      <c r="A292" t="s">
        <v>5</v>
      </c>
      <c r="B292" s="285">
        <v>58000</v>
      </c>
      <c r="C292" s="285">
        <v>59000</v>
      </c>
      <c r="D292" s="285">
        <v>59000</v>
      </c>
      <c r="E292" s="285">
        <v>59000</v>
      </c>
      <c r="F292" s="285">
        <v>59000</v>
      </c>
      <c r="G292" s="285">
        <v>60000</v>
      </c>
      <c r="H292" s="285">
        <v>60000</v>
      </c>
      <c r="I292" s="285">
        <v>60000</v>
      </c>
      <c r="J292" s="285">
        <v>61000</v>
      </c>
      <c r="K292" s="285">
        <v>61000</v>
      </c>
      <c r="L292" s="285">
        <v>61000</v>
      </c>
      <c r="M292" s="285">
        <v>61000</v>
      </c>
      <c r="N292" s="285">
        <v>62000</v>
      </c>
      <c r="O292" s="1258">
        <f t="shared" si="24"/>
        <v>60000</v>
      </c>
    </row>
    <row r="293" spans="1:15">
      <c r="A293" t="s">
        <v>6</v>
      </c>
      <c r="B293" s="285">
        <v>59000</v>
      </c>
      <c r="C293" s="285">
        <v>60000</v>
      </c>
      <c r="D293" s="285">
        <v>60000</v>
      </c>
      <c r="E293" s="285">
        <v>60000</v>
      </c>
      <c r="F293" s="285">
        <v>60000</v>
      </c>
      <c r="G293" s="285">
        <v>61000</v>
      </c>
      <c r="H293" s="285">
        <v>61000</v>
      </c>
      <c r="I293" s="285">
        <v>61000</v>
      </c>
      <c r="J293" s="285">
        <v>61000</v>
      </c>
      <c r="K293" s="285">
        <v>62000</v>
      </c>
      <c r="L293" s="285">
        <v>62000</v>
      </c>
      <c r="M293" s="285">
        <v>62000</v>
      </c>
      <c r="N293" s="285">
        <v>63000</v>
      </c>
      <c r="O293" s="1258">
        <f t="shared" si="24"/>
        <v>60923.076923076922</v>
      </c>
    </row>
    <row r="294" spans="1:15">
      <c r="A294" t="s">
        <v>1062</v>
      </c>
      <c r="B294" s="285">
        <v>33000</v>
      </c>
      <c r="C294" s="285">
        <v>33000</v>
      </c>
      <c r="D294" s="285">
        <v>33000</v>
      </c>
      <c r="E294" s="285">
        <v>33000</v>
      </c>
      <c r="F294" s="285">
        <v>33000</v>
      </c>
      <c r="G294" s="285">
        <v>33000</v>
      </c>
      <c r="H294" s="285">
        <v>33000</v>
      </c>
      <c r="I294" s="285">
        <v>33000</v>
      </c>
      <c r="J294" s="285">
        <v>33000</v>
      </c>
      <c r="K294" s="285">
        <v>33000</v>
      </c>
      <c r="L294" s="285">
        <v>33000</v>
      </c>
      <c r="M294" s="285">
        <v>33000</v>
      </c>
      <c r="N294" s="285">
        <v>33000</v>
      </c>
      <c r="O294" s="1258">
        <f t="shared" si="24"/>
        <v>33000</v>
      </c>
    </row>
    <row r="295" spans="1:15">
      <c r="A295" t="s">
        <v>7</v>
      </c>
      <c r="B295" s="285">
        <v>814000</v>
      </c>
      <c r="C295" s="285">
        <v>818000</v>
      </c>
      <c r="D295" s="285">
        <v>821000</v>
      </c>
      <c r="E295" s="285">
        <v>824000</v>
      </c>
      <c r="F295" s="285">
        <v>827000</v>
      </c>
      <c r="G295" s="285">
        <v>831000</v>
      </c>
      <c r="H295" s="285">
        <v>834000</v>
      </c>
      <c r="I295" s="285">
        <v>837000</v>
      </c>
      <c r="J295" s="285">
        <v>840000</v>
      </c>
      <c r="K295" s="285">
        <v>844000</v>
      </c>
      <c r="L295" s="285">
        <v>847000</v>
      </c>
      <c r="M295" s="285">
        <v>850000</v>
      </c>
      <c r="N295" s="285">
        <v>853000</v>
      </c>
      <c r="O295" s="1258">
        <f t="shared" si="24"/>
        <v>833846.15384615387</v>
      </c>
    </row>
    <row r="296" spans="1:15">
      <c r="A296" t="s">
        <v>8</v>
      </c>
      <c r="B296" s="285">
        <v>14000</v>
      </c>
      <c r="C296" s="285">
        <v>14000</v>
      </c>
      <c r="D296" s="285">
        <v>14000</v>
      </c>
      <c r="E296" s="285">
        <v>14000</v>
      </c>
      <c r="F296" s="285">
        <v>14000</v>
      </c>
      <c r="G296" s="285">
        <v>14000</v>
      </c>
      <c r="H296" s="285">
        <v>14000</v>
      </c>
      <c r="I296" s="285">
        <v>14000</v>
      </c>
      <c r="J296" s="285">
        <v>14000</v>
      </c>
      <c r="K296" s="285">
        <v>14000</v>
      </c>
      <c r="L296" s="285">
        <v>14000</v>
      </c>
      <c r="M296" s="285">
        <v>14000</v>
      </c>
      <c r="N296" s="285">
        <v>14000</v>
      </c>
      <c r="O296" s="1258">
        <f t="shared" si="24"/>
        <v>14000</v>
      </c>
    </row>
    <row r="297" spans="1:15">
      <c r="A297" t="s">
        <v>9</v>
      </c>
      <c r="B297" s="285">
        <v>403000</v>
      </c>
      <c r="C297" s="285">
        <v>405000</v>
      </c>
      <c r="D297" s="285">
        <v>407000</v>
      </c>
      <c r="E297" s="285">
        <v>409000</v>
      </c>
      <c r="F297" s="285">
        <v>411000</v>
      </c>
      <c r="G297" s="285">
        <v>413000</v>
      </c>
      <c r="H297" s="285">
        <v>415000</v>
      </c>
      <c r="I297" s="285">
        <v>417000</v>
      </c>
      <c r="J297" s="285">
        <v>419000</v>
      </c>
      <c r="K297" s="285">
        <v>420000</v>
      </c>
      <c r="L297" s="285">
        <v>422000</v>
      </c>
      <c r="M297" s="285">
        <v>424000</v>
      </c>
      <c r="N297" s="285">
        <v>426000</v>
      </c>
      <c r="O297" s="1258">
        <f t="shared" si="24"/>
        <v>414692.30769230769</v>
      </c>
    </row>
    <row r="298" spans="1:15">
      <c r="A298" t="s">
        <v>10</v>
      </c>
      <c r="B298" s="285">
        <v>13000</v>
      </c>
      <c r="C298" s="285">
        <v>13000</v>
      </c>
      <c r="D298" s="285">
        <v>13000</v>
      </c>
      <c r="E298" s="285">
        <v>13000</v>
      </c>
      <c r="F298" s="285">
        <v>14000</v>
      </c>
      <c r="G298" s="285">
        <v>14000</v>
      </c>
      <c r="H298" s="285">
        <v>14000</v>
      </c>
      <c r="I298" s="285">
        <v>14000</v>
      </c>
      <c r="J298" s="285">
        <v>14000</v>
      </c>
      <c r="K298" s="285">
        <v>14000</v>
      </c>
      <c r="L298" s="285">
        <v>14000</v>
      </c>
      <c r="M298" s="285">
        <v>14000</v>
      </c>
      <c r="N298" s="285">
        <v>14000</v>
      </c>
      <c r="O298" s="1258">
        <f t="shared" si="24"/>
        <v>13692.307692307691</v>
      </c>
    </row>
    <row r="299" spans="1:15">
      <c r="A299" t="s">
        <v>1326</v>
      </c>
      <c r="B299" s="285">
        <v>-17000</v>
      </c>
      <c r="C299" s="285">
        <v>-17000</v>
      </c>
      <c r="D299" s="285">
        <v>-17000</v>
      </c>
      <c r="E299" s="285">
        <v>-17000</v>
      </c>
      <c r="F299" s="285">
        <v>-17000</v>
      </c>
      <c r="G299" s="285">
        <v>-17000</v>
      </c>
      <c r="H299" s="285">
        <v>-17000</v>
      </c>
      <c r="I299" s="285">
        <v>-17000</v>
      </c>
      <c r="J299" s="285">
        <v>-17000</v>
      </c>
      <c r="K299" s="285">
        <v>-17000</v>
      </c>
      <c r="L299" s="285">
        <v>-17000</v>
      </c>
      <c r="M299" s="285">
        <v>-17000</v>
      </c>
      <c r="N299" s="285">
        <v>-17000</v>
      </c>
      <c r="O299" s="1258">
        <f t="shared" si="24"/>
        <v>-17000</v>
      </c>
    </row>
    <row r="300" spans="1:15">
      <c r="A300" t="s">
        <v>11</v>
      </c>
      <c r="B300" s="285">
        <v>82000</v>
      </c>
      <c r="C300" s="285">
        <v>82000</v>
      </c>
      <c r="D300" s="285">
        <v>83000</v>
      </c>
      <c r="E300" s="285">
        <v>83000</v>
      </c>
      <c r="F300" s="285">
        <v>84000</v>
      </c>
      <c r="G300" s="285">
        <v>84000</v>
      </c>
      <c r="H300" s="285">
        <v>84000</v>
      </c>
      <c r="I300" s="285">
        <v>85000</v>
      </c>
      <c r="J300" s="285">
        <v>85000</v>
      </c>
      <c r="K300" s="285">
        <v>86000</v>
      </c>
      <c r="L300" s="285">
        <v>86000</v>
      </c>
      <c r="M300" s="285">
        <v>86000</v>
      </c>
      <c r="N300" s="285">
        <v>87000</v>
      </c>
      <c r="O300" s="1258">
        <f t="shared" si="24"/>
        <v>84384.61538461539</v>
      </c>
    </row>
    <row r="301" spans="1:15">
      <c r="A301" t="s">
        <v>12</v>
      </c>
      <c r="B301" s="285">
        <v>76000</v>
      </c>
      <c r="C301" s="285">
        <v>76000</v>
      </c>
      <c r="D301" s="285">
        <v>76000</v>
      </c>
      <c r="E301" s="285">
        <v>76000</v>
      </c>
      <c r="F301" s="285">
        <v>76000</v>
      </c>
      <c r="G301" s="285">
        <v>77000</v>
      </c>
      <c r="H301" s="285">
        <v>77000</v>
      </c>
      <c r="I301" s="285">
        <v>77000</v>
      </c>
      <c r="J301" s="285">
        <v>77000</v>
      </c>
      <c r="K301" s="285">
        <v>77000</v>
      </c>
      <c r="L301" s="285">
        <v>77000</v>
      </c>
      <c r="M301" s="285">
        <v>78000</v>
      </c>
      <c r="N301" s="285">
        <v>78000</v>
      </c>
      <c r="O301" s="1258">
        <f t="shared" si="24"/>
        <v>76769.230769230766</v>
      </c>
    </row>
    <row r="302" spans="1:15">
      <c r="A302" t="s">
        <v>1118</v>
      </c>
      <c r="B302" s="285">
        <v>49000</v>
      </c>
      <c r="C302" s="285">
        <v>49000</v>
      </c>
      <c r="D302" s="285">
        <v>49000</v>
      </c>
      <c r="E302" s="285">
        <v>50000</v>
      </c>
      <c r="F302" s="285">
        <v>50000</v>
      </c>
      <c r="G302" s="285">
        <v>50000</v>
      </c>
      <c r="H302" s="285">
        <v>50000</v>
      </c>
      <c r="I302" s="285">
        <v>50000</v>
      </c>
      <c r="J302" s="285">
        <v>51000</v>
      </c>
      <c r="K302" s="285">
        <v>51000</v>
      </c>
      <c r="L302" s="285">
        <v>51000</v>
      </c>
      <c r="M302" s="285">
        <v>51000</v>
      </c>
      <c r="N302" s="285">
        <v>51000</v>
      </c>
      <c r="O302" s="1258">
        <f t="shared" si="24"/>
        <v>50153.846153846156</v>
      </c>
    </row>
    <row r="303" spans="1:15">
      <c r="A303" t="s">
        <v>13</v>
      </c>
      <c r="B303" s="285">
        <v>159000</v>
      </c>
      <c r="C303" s="285">
        <v>159000</v>
      </c>
      <c r="D303" s="285">
        <v>159000</v>
      </c>
      <c r="E303" s="285">
        <v>160000</v>
      </c>
      <c r="F303" s="285">
        <v>160000</v>
      </c>
      <c r="G303" s="285">
        <v>160000</v>
      </c>
      <c r="H303" s="285">
        <v>161000</v>
      </c>
      <c r="I303" s="285">
        <v>161000</v>
      </c>
      <c r="J303" s="285">
        <v>161000</v>
      </c>
      <c r="K303" s="285">
        <v>161000</v>
      </c>
      <c r="L303" s="285">
        <v>162000</v>
      </c>
      <c r="M303" s="285">
        <v>162000</v>
      </c>
      <c r="N303" s="285">
        <v>162000</v>
      </c>
      <c r="O303" s="1258">
        <f t="shared" si="24"/>
        <v>160538.46153846153</v>
      </c>
    </row>
    <row r="304" spans="1:15">
      <c r="A304" t="s">
        <v>14</v>
      </c>
      <c r="B304" s="285">
        <v>580000</v>
      </c>
      <c r="C304" s="285">
        <v>583000</v>
      </c>
      <c r="D304" s="285">
        <v>585000</v>
      </c>
      <c r="E304" s="285">
        <v>588000</v>
      </c>
      <c r="F304" s="285">
        <v>590000</v>
      </c>
      <c r="G304" s="285">
        <v>592000</v>
      </c>
      <c r="H304" s="285">
        <v>595000</v>
      </c>
      <c r="I304" s="285">
        <v>597000</v>
      </c>
      <c r="J304" s="285">
        <v>600000</v>
      </c>
      <c r="K304" s="285">
        <v>602000</v>
      </c>
      <c r="L304" s="285">
        <v>605000</v>
      </c>
      <c r="M304" s="285">
        <v>607000</v>
      </c>
      <c r="N304" s="285">
        <v>610000</v>
      </c>
      <c r="O304" s="1258">
        <f t="shared" si="24"/>
        <v>594923.07692307688</v>
      </c>
    </row>
    <row r="305" spans="1:15">
      <c r="A305" t="s">
        <v>1073</v>
      </c>
      <c r="B305" s="285">
        <v>1942000</v>
      </c>
      <c r="C305" s="285">
        <v>1951000</v>
      </c>
      <c r="D305" s="285">
        <v>1961000</v>
      </c>
      <c r="E305" s="285">
        <v>1970000</v>
      </c>
      <c r="F305" s="285">
        <v>1980000</v>
      </c>
      <c r="G305" s="285">
        <v>1989000</v>
      </c>
      <c r="H305" s="285">
        <v>1999000</v>
      </c>
      <c r="I305" s="285">
        <v>2008000</v>
      </c>
      <c r="J305" s="285">
        <v>2018000</v>
      </c>
      <c r="K305" s="285">
        <v>2027000</v>
      </c>
      <c r="L305" s="285">
        <v>2037000</v>
      </c>
      <c r="M305" s="285">
        <v>2046000</v>
      </c>
      <c r="N305" s="285">
        <v>2055000</v>
      </c>
      <c r="O305" s="1258">
        <f t="shared" si="24"/>
        <v>1998692.3076923077</v>
      </c>
    </row>
    <row r="306" spans="1:15">
      <c r="A306" t="s">
        <v>15</v>
      </c>
      <c r="B306" s="285">
        <v>776000</v>
      </c>
      <c r="C306" s="285">
        <v>778000</v>
      </c>
      <c r="D306" s="285">
        <v>780000</v>
      </c>
      <c r="E306" s="285">
        <v>782000</v>
      </c>
      <c r="F306" s="285">
        <v>784000</v>
      </c>
      <c r="G306" s="285">
        <v>786000</v>
      </c>
      <c r="H306" s="285">
        <v>788000</v>
      </c>
      <c r="I306" s="285">
        <v>790000</v>
      </c>
      <c r="J306" s="285">
        <v>792000</v>
      </c>
      <c r="K306" s="285">
        <v>794000</v>
      </c>
      <c r="L306" s="285">
        <v>796000</v>
      </c>
      <c r="M306" s="285">
        <v>798000</v>
      </c>
      <c r="N306" s="285">
        <v>800000</v>
      </c>
      <c r="O306" s="1258">
        <f t="shared" si="24"/>
        <v>788000</v>
      </c>
    </row>
    <row r="307" spans="1:15">
      <c r="A307" t="s">
        <v>1158</v>
      </c>
      <c r="B307" s="285">
        <v>5000</v>
      </c>
      <c r="C307" s="285">
        <v>5000</v>
      </c>
      <c r="D307" s="285">
        <v>5000</v>
      </c>
      <c r="E307" s="285">
        <v>5000</v>
      </c>
      <c r="F307" s="285">
        <v>5000</v>
      </c>
      <c r="G307" s="285">
        <v>5000</v>
      </c>
      <c r="H307" s="285">
        <v>5000</v>
      </c>
      <c r="I307" s="285">
        <v>5000</v>
      </c>
      <c r="J307" s="285">
        <v>5000</v>
      </c>
      <c r="K307" s="285">
        <v>5000</v>
      </c>
      <c r="L307" s="285">
        <v>5000</v>
      </c>
      <c r="M307" s="285">
        <v>5000</v>
      </c>
      <c r="N307" s="285">
        <v>5000</v>
      </c>
      <c r="O307" s="1258">
        <f t="shared" si="24"/>
        <v>5000</v>
      </c>
    </row>
    <row r="308" spans="1:15">
      <c r="A308" t="s">
        <v>16</v>
      </c>
      <c r="B308" s="285">
        <v>89000</v>
      </c>
      <c r="C308" s="285">
        <v>89000</v>
      </c>
      <c r="D308" s="285">
        <v>89000</v>
      </c>
      <c r="E308" s="285">
        <v>90000</v>
      </c>
      <c r="F308" s="285">
        <v>90000</v>
      </c>
      <c r="G308" s="285">
        <v>90000</v>
      </c>
      <c r="H308" s="285">
        <v>91000</v>
      </c>
      <c r="I308" s="285">
        <v>91000</v>
      </c>
      <c r="J308" s="285">
        <v>91000</v>
      </c>
      <c r="K308" s="285">
        <v>92000</v>
      </c>
      <c r="L308" s="285">
        <v>92000</v>
      </c>
      <c r="M308" s="285">
        <v>92000</v>
      </c>
      <c r="N308" s="285">
        <v>92000</v>
      </c>
      <c r="O308" s="1258">
        <f t="shared" si="24"/>
        <v>90615.38461538461</v>
      </c>
    </row>
    <row r="309" spans="1:15">
      <c r="A309" t="s">
        <v>17</v>
      </c>
      <c r="B309" s="285">
        <v>6000</v>
      </c>
      <c r="C309" s="285">
        <v>6000</v>
      </c>
      <c r="D309" s="285">
        <v>6000</v>
      </c>
      <c r="E309" s="285">
        <v>6000</v>
      </c>
      <c r="F309" s="285">
        <v>6000</v>
      </c>
      <c r="G309" s="285">
        <v>6000</v>
      </c>
      <c r="H309" s="285">
        <v>6000</v>
      </c>
      <c r="I309" s="285">
        <v>6000</v>
      </c>
      <c r="J309" s="285">
        <v>6000</v>
      </c>
      <c r="K309" s="285">
        <v>6000</v>
      </c>
      <c r="L309" s="285">
        <v>6000</v>
      </c>
      <c r="M309" s="285">
        <v>6000</v>
      </c>
      <c r="N309" s="285">
        <v>6000</v>
      </c>
      <c r="O309" s="1258">
        <f t="shared" si="24"/>
        <v>6000</v>
      </c>
    </row>
    <row r="310" spans="1:15">
      <c r="A310" t="s">
        <v>18</v>
      </c>
      <c r="B310" s="285">
        <v>33000</v>
      </c>
      <c r="C310" s="285">
        <v>33000</v>
      </c>
      <c r="D310" s="285">
        <v>34000</v>
      </c>
      <c r="E310" s="285">
        <v>34000</v>
      </c>
      <c r="F310" s="285">
        <v>34000</v>
      </c>
      <c r="G310" s="285">
        <v>34000</v>
      </c>
      <c r="H310" s="285">
        <v>34000</v>
      </c>
      <c r="I310" s="285">
        <v>34000</v>
      </c>
      <c r="J310" s="285">
        <v>35000</v>
      </c>
      <c r="K310" s="285">
        <v>35000</v>
      </c>
      <c r="L310" s="285">
        <v>35000</v>
      </c>
      <c r="M310" s="285">
        <v>35000</v>
      </c>
      <c r="N310" s="285">
        <v>35000</v>
      </c>
      <c r="O310" s="1258">
        <f t="shared" si="24"/>
        <v>34230.769230769234</v>
      </c>
    </row>
    <row r="311" spans="1:15">
      <c r="A311" t="s">
        <v>19</v>
      </c>
      <c r="B311" s="285">
        <v>74000</v>
      </c>
      <c r="C311" s="285">
        <v>74000</v>
      </c>
      <c r="D311" s="285">
        <v>74000</v>
      </c>
      <c r="E311" s="285">
        <v>74000</v>
      </c>
      <c r="F311" s="285">
        <v>74000</v>
      </c>
      <c r="G311" s="285">
        <v>74000</v>
      </c>
      <c r="H311" s="285">
        <v>74000</v>
      </c>
      <c r="I311" s="285">
        <v>74000</v>
      </c>
      <c r="J311" s="285">
        <v>75000</v>
      </c>
      <c r="K311" s="285">
        <v>75000</v>
      </c>
      <c r="L311" s="285">
        <v>75000</v>
      </c>
      <c r="M311" s="285">
        <v>75000</v>
      </c>
      <c r="N311" s="285">
        <v>75000</v>
      </c>
      <c r="O311" s="1258">
        <f t="shared" si="24"/>
        <v>74384.61538461539</v>
      </c>
    </row>
    <row r="312" spans="1:15">
      <c r="A312" t="s">
        <v>20</v>
      </c>
      <c r="B312" s="285">
        <v>66000</v>
      </c>
      <c r="C312" s="285">
        <v>66000</v>
      </c>
      <c r="D312" s="285">
        <v>66000</v>
      </c>
      <c r="E312" s="285">
        <v>66000</v>
      </c>
      <c r="F312" s="285">
        <v>66000</v>
      </c>
      <c r="G312" s="285">
        <v>66000</v>
      </c>
      <c r="H312" s="285">
        <v>66000</v>
      </c>
      <c r="I312" s="285">
        <v>66000</v>
      </c>
      <c r="J312" s="285">
        <v>66000</v>
      </c>
      <c r="K312" s="285">
        <v>66000</v>
      </c>
      <c r="L312" s="285">
        <v>66000</v>
      </c>
      <c r="M312" s="285">
        <v>66000</v>
      </c>
      <c r="N312" s="285">
        <v>66000</v>
      </c>
      <c r="O312" s="1258">
        <f t="shared" si="24"/>
        <v>66000</v>
      </c>
    </row>
    <row r="313" spans="1:15">
      <c r="A313" t="s">
        <v>1119</v>
      </c>
      <c r="B313" s="285">
        <v>17000</v>
      </c>
      <c r="C313" s="285">
        <v>17000</v>
      </c>
      <c r="D313" s="285">
        <v>17000</v>
      </c>
      <c r="E313" s="285">
        <v>17000</v>
      </c>
      <c r="F313" s="285">
        <v>17000</v>
      </c>
      <c r="G313" s="285">
        <v>17000</v>
      </c>
      <c r="H313" s="285">
        <v>18000</v>
      </c>
      <c r="I313" s="285">
        <v>18000</v>
      </c>
      <c r="J313" s="285">
        <v>18000</v>
      </c>
      <c r="K313" s="285">
        <v>18000</v>
      </c>
      <c r="L313" s="285">
        <v>18000</v>
      </c>
      <c r="M313" s="285">
        <v>18000</v>
      </c>
      <c r="N313" s="285">
        <v>18000</v>
      </c>
      <c r="O313" s="1258">
        <f t="shared" si="24"/>
        <v>17538.461538461539</v>
      </c>
    </row>
    <row r="314" spans="1:15">
      <c r="A314" t="s">
        <v>21</v>
      </c>
      <c r="B314" s="285">
        <v>55000</v>
      </c>
      <c r="C314" s="285">
        <v>55000</v>
      </c>
      <c r="D314" s="285">
        <v>55000</v>
      </c>
      <c r="E314" s="285">
        <v>55000</v>
      </c>
      <c r="F314" s="285">
        <v>55000</v>
      </c>
      <c r="G314" s="285">
        <v>56000</v>
      </c>
      <c r="H314" s="285">
        <v>56000</v>
      </c>
      <c r="I314" s="285">
        <v>56000</v>
      </c>
      <c r="J314" s="285">
        <v>56000</v>
      </c>
      <c r="K314" s="285">
        <v>56000</v>
      </c>
      <c r="L314" s="285">
        <v>56000</v>
      </c>
      <c r="M314" s="285">
        <v>56000</v>
      </c>
      <c r="N314" s="285">
        <v>56000</v>
      </c>
      <c r="O314" s="1258">
        <f t="shared" si="24"/>
        <v>55615.384615384617</v>
      </c>
    </row>
    <row r="315" spans="1:15">
      <c r="A315" t="s">
        <v>22</v>
      </c>
      <c r="B315" s="285">
        <v>132000</v>
      </c>
      <c r="C315" s="285">
        <v>132000</v>
      </c>
      <c r="D315" s="285">
        <v>133000</v>
      </c>
      <c r="E315" s="285">
        <v>133000</v>
      </c>
      <c r="F315" s="285">
        <v>133000</v>
      </c>
      <c r="G315" s="285">
        <v>134000</v>
      </c>
      <c r="H315" s="285">
        <v>134000</v>
      </c>
      <c r="I315" s="285">
        <v>135000</v>
      </c>
      <c r="J315" s="285">
        <v>135000</v>
      </c>
      <c r="K315" s="285">
        <v>136000</v>
      </c>
      <c r="L315" s="285">
        <v>136000</v>
      </c>
      <c r="M315" s="285">
        <v>137000</v>
      </c>
      <c r="N315" s="285">
        <v>137000</v>
      </c>
      <c r="O315" s="1258">
        <f t="shared" si="24"/>
        <v>134384.61538461538</v>
      </c>
    </row>
    <row r="316" spans="1:15">
      <c r="A316" t="s">
        <v>1074</v>
      </c>
      <c r="B316" s="285">
        <v>877000</v>
      </c>
      <c r="C316" s="285">
        <v>880000</v>
      </c>
      <c r="D316" s="285">
        <v>884000</v>
      </c>
      <c r="E316" s="285">
        <v>887000</v>
      </c>
      <c r="F316" s="285">
        <v>891000</v>
      </c>
      <c r="G316" s="285">
        <v>894000</v>
      </c>
      <c r="H316" s="285">
        <v>898000</v>
      </c>
      <c r="I316" s="285">
        <v>902000</v>
      </c>
      <c r="J316" s="285">
        <v>905000</v>
      </c>
      <c r="K316" s="285">
        <v>909000</v>
      </c>
      <c r="L316" s="285">
        <v>912000</v>
      </c>
      <c r="M316" s="285">
        <v>916000</v>
      </c>
      <c r="N316" s="285">
        <v>919000</v>
      </c>
      <c r="O316" s="1258">
        <f t="shared" si="24"/>
        <v>898000</v>
      </c>
    </row>
    <row r="317" spans="1:15">
      <c r="A317" t="s">
        <v>1120</v>
      </c>
      <c r="B317" s="285">
        <v>190000</v>
      </c>
      <c r="C317" s="285">
        <v>191000</v>
      </c>
      <c r="D317" s="285">
        <v>192000</v>
      </c>
      <c r="E317" s="285">
        <v>193000</v>
      </c>
      <c r="F317" s="285">
        <v>193000</v>
      </c>
      <c r="G317" s="285">
        <v>194000</v>
      </c>
      <c r="H317" s="285">
        <v>195000</v>
      </c>
      <c r="I317" s="285">
        <v>195000</v>
      </c>
      <c r="J317" s="285">
        <v>196000</v>
      </c>
      <c r="K317" s="285">
        <v>197000</v>
      </c>
      <c r="L317" s="285">
        <v>198000</v>
      </c>
      <c r="M317" s="285">
        <v>198000</v>
      </c>
      <c r="N317" s="285">
        <v>199000</v>
      </c>
      <c r="O317" s="1258">
        <f t="shared" si="24"/>
        <v>194692.30769230769</v>
      </c>
    </row>
    <row r="318" spans="1:15">
      <c r="A318" t="s">
        <v>1159</v>
      </c>
      <c r="B318" s="285">
        <v>1491000</v>
      </c>
      <c r="C318" s="285">
        <v>1495000</v>
      </c>
      <c r="D318" s="285">
        <v>1499000</v>
      </c>
      <c r="E318" s="285">
        <v>1503000</v>
      </c>
      <c r="F318" s="285">
        <v>1508000</v>
      </c>
      <c r="G318" s="285">
        <v>1512000</v>
      </c>
      <c r="H318" s="285">
        <v>1516000</v>
      </c>
      <c r="I318" s="285">
        <v>1521000</v>
      </c>
      <c r="J318" s="285">
        <v>1525000</v>
      </c>
      <c r="K318" s="285">
        <v>1529000</v>
      </c>
      <c r="L318" s="285">
        <v>1534000</v>
      </c>
      <c r="M318" s="285">
        <v>1538000</v>
      </c>
      <c r="N318" s="285">
        <v>1542000</v>
      </c>
      <c r="O318" s="1258">
        <f t="shared" si="24"/>
        <v>1516384.6153846155</v>
      </c>
    </row>
    <row r="319" spans="1:15">
      <c r="A319" t="s">
        <v>1075</v>
      </c>
      <c r="B319" s="285">
        <v>8346000</v>
      </c>
      <c r="C319" s="285">
        <v>8374000</v>
      </c>
      <c r="D319" s="285">
        <v>8402000</v>
      </c>
      <c r="E319" s="285">
        <v>8430000</v>
      </c>
      <c r="F319" s="285">
        <v>8458000</v>
      </c>
      <c r="G319" s="285">
        <v>8486000</v>
      </c>
      <c r="H319" s="285">
        <v>8514000</v>
      </c>
      <c r="I319" s="285">
        <v>8542000</v>
      </c>
      <c r="J319" s="285">
        <v>8570000</v>
      </c>
      <c r="K319" s="285">
        <v>8598000</v>
      </c>
      <c r="L319" s="285">
        <v>8626000</v>
      </c>
      <c r="M319" s="285">
        <v>8654000</v>
      </c>
      <c r="N319" s="285">
        <v>8682000</v>
      </c>
      <c r="O319" s="1258">
        <f t="shared" si="24"/>
        <v>8514000</v>
      </c>
    </row>
    <row r="320" spans="1:15">
      <c r="A320" t="s">
        <v>1121</v>
      </c>
      <c r="B320" s="285">
        <v>1994000</v>
      </c>
      <c r="C320" s="285">
        <v>1999000</v>
      </c>
      <c r="D320" s="285">
        <v>2004000</v>
      </c>
      <c r="E320" s="285">
        <v>2009000</v>
      </c>
      <c r="F320" s="285">
        <v>2014000</v>
      </c>
      <c r="G320" s="285">
        <v>2018000</v>
      </c>
      <c r="H320" s="285">
        <v>2023000</v>
      </c>
      <c r="I320" s="285">
        <v>2028000</v>
      </c>
      <c r="J320" s="285">
        <v>2033000</v>
      </c>
      <c r="K320" s="285">
        <v>2037000</v>
      </c>
      <c r="L320" s="285">
        <v>2042000</v>
      </c>
      <c r="M320" s="285">
        <v>2047000</v>
      </c>
      <c r="N320" s="285">
        <v>2052000</v>
      </c>
      <c r="O320" s="1258">
        <f t="shared" si="24"/>
        <v>2023076.923076923</v>
      </c>
    </row>
    <row r="321" spans="1:15">
      <c r="A321" t="s">
        <v>1122</v>
      </c>
      <c r="B321" s="285">
        <v>491000</v>
      </c>
      <c r="C321" s="285">
        <v>493000</v>
      </c>
      <c r="D321" s="285">
        <v>494000</v>
      </c>
      <c r="E321" s="285">
        <v>495000</v>
      </c>
      <c r="F321" s="285">
        <v>497000</v>
      </c>
      <c r="G321" s="285">
        <v>498000</v>
      </c>
      <c r="H321" s="285">
        <v>499000</v>
      </c>
      <c r="I321" s="285">
        <v>501000</v>
      </c>
      <c r="J321" s="285">
        <v>502000</v>
      </c>
      <c r="K321" s="285">
        <v>503000</v>
      </c>
      <c r="L321" s="285">
        <v>505000</v>
      </c>
      <c r="M321" s="285">
        <v>506000</v>
      </c>
      <c r="N321" s="285">
        <v>507000</v>
      </c>
      <c r="O321" s="1258">
        <f t="shared" si="24"/>
        <v>499307.69230769231</v>
      </c>
    </row>
    <row r="322" spans="1:15">
      <c r="A322" t="s">
        <v>1123</v>
      </c>
      <c r="B322" s="285">
        <v>1111000</v>
      </c>
      <c r="C322" s="285">
        <v>1115000</v>
      </c>
      <c r="D322" s="285">
        <v>1119000</v>
      </c>
      <c r="E322" s="285">
        <v>1123000</v>
      </c>
      <c r="F322" s="285">
        <v>1126000</v>
      </c>
      <c r="G322" s="285">
        <v>1130000</v>
      </c>
      <c r="H322" s="285">
        <v>1134000</v>
      </c>
      <c r="I322" s="285">
        <v>1138000</v>
      </c>
      <c r="J322" s="285">
        <v>1142000</v>
      </c>
      <c r="K322" s="285">
        <v>1146000</v>
      </c>
      <c r="L322" s="285">
        <v>1149000</v>
      </c>
      <c r="M322" s="285">
        <v>1153000</v>
      </c>
      <c r="N322" s="285">
        <v>1157000</v>
      </c>
      <c r="O322" s="1258">
        <f>AVERAGE(B322:N322)</f>
        <v>1134076.923076923</v>
      </c>
    </row>
    <row r="323" spans="1:15">
      <c r="A323" t="s">
        <v>23</v>
      </c>
      <c r="B323" s="285">
        <v>4000</v>
      </c>
      <c r="C323" s="285">
        <v>4000</v>
      </c>
      <c r="D323" s="285">
        <v>4000</v>
      </c>
      <c r="E323" s="285">
        <v>4000</v>
      </c>
      <c r="F323" s="285">
        <v>4000</v>
      </c>
      <c r="G323" s="285">
        <v>4000</v>
      </c>
      <c r="H323" s="285">
        <v>4000</v>
      </c>
      <c r="I323" s="285">
        <v>4000</v>
      </c>
      <c r="J323" s="285">
        <v>4000</v>
      </c>
      <c r="K323" s="285">
        <v>4000</v>
      </c>
      <c r="L323" s="285">
        <v>4000</v>
      </c>
      <c r="M323" s="285">
        <v>4000</v>
      </c>
      <c r="N323" s="285">
        <v>5000</v>
      </c>
      <c r="O323" s="1258">
        <f>AVERAGE(B323:N323)</f>
        <v>4076.9230769230771</v>
      </c>
    </row>
    <row r="324" spans="1:15">
      <c r="A324" s="968" t="s">
        <v>1142</v>
      </c>
      <c r="B324" s="1297">
        <f t="shared" ref="B324:O324" si="25">SUM(B249:B323)</f>
        <v>76665000</v>
      </c>
      <c r="C324" s="1297">
        <f t="shared" si="25"/>
        <v>76956000</v>
      </c>
      <c r="D324" s="1297">
        <f t="shared" si="25"/>
        <v>77246000</v>
      </c>
      <c r="E324" s="1297">
        <f t="shared" si="25"/>
        <v>76132000</v>
      </c>
      <c r="F324" s="1297">
        <f t="shared" si="25"/>
        <v>76419000</v>
      </c>
      <c r="G324" s="1297">
        <f t="shared" si="25"/>
        <v>76707000</v>
      </c>
      <c r="H324" s="1297">
        <f t="shared" si="25"/>
        <v>76997000</v>
      </c>
      <c r="I324" s="1297">
        <f t="shared" si="25"/>
        <v>77286000</v>
      </c>
      <c r="J324" s="1297">
        <f t="shared" si="25"/>
        <v>77593000</v>
      </c>
      <c r="K324" s="1297">
        <f t="shared" si="25"/>
        <v>77920000</v>
      </c>
      <c r="L324" s="1297">
        <f t="shared" si="25"/>
        <v>78245000</v>
      </c>
      <c r="M324" s="1297">
        <f t="shared" si="25"/>
        <v>78567000</v>
      </c>
      <c r="N324" s="1297">
        <f>SUM(N249:N323)</f>
        <v>78896000</v>
      </c>
      <c r="O324" s="1297">
        <f t="shared" si="25"/>
        <v>77356076.923076957</v>
      </c>
    </row>
    <row r="325" spans="1:15">
      <c r="B325" s="1296"/>
      <c r="C325" s="1296"/>
      <c r="D325" s="1296"/>
      <c r="E325" s="1296"/>
      <c r="F325" s="1296"/>
      <c r="G325" s="1296"/>
      <c r="H325" s="1296"/>
      <c r="I325" s="1296"/>
      <c r="J325" s="1296"/>
      <c r="K325" s="1296"/>
      <c r="L325" s="1296"/>
      <c r="M325" s="1296"/>
      <c r="N325" s="1296"/>
    </row>
    <row r="326" spans="1:15">
      <c r="B326" s="1296"/>
      <c r="C326" s="1296"/>
      <c r="D326" s="1296"/>
      <c r="E326" s="1296"/>
      <c r="F326" s="1296"/>
      <c r="G326" s="1296"/>
      <c r="H326" s="1296"/>
      <c r="I326" s="1296"/>
      <c r="J326" s="1296"/>
      <c r="K326" s="1296"/>
      <c r="L326" s="1296"/>
      <c r="M326" s="1296"/>
      <c r="N326" s="1296"/>
    </row>
    <row r="327" spans="1:15">
      <c r="A327" t="s">
        <v>1160</v>
      </c>
      <c r="B327" s="285">
        <v>3286000</v>
      </c>
      <c r="C327" s="285">
        <v>3293000</v>
      </c>
      <c r="D327" s="285">
        <v>3300000</v>
      </c>
      <c r="E327" s="285">
        <v>3307000</v>
      </c>
      <c r="F327" s="285">
        <v>3314000</v>
      </c>
      <c r="G327" s="285">
        <v>3321000</v>
      </c>
      <c r="H327" s="285">
        <v>3328000</v>
      </c>
      <c r="I327" s="285">
        <v>3336000</v>
      </c>
      <c r="J327" s="285">
        <v>3343000</v>
      </c>
      <c r="K327" s="285">
        <v>3350000</v>
      </c>
      <c r="L327" s="285">
        <v>3357000</v>
      </c>
      <c r="M327" s="285">
        <v>3364000</v>
      </c>
      <c r="N327" s="285">
        <v>3371000</v>
      </c>
      <c r="O327" s="1258">
        <f>AVERAGE(B327:N327)</f>
        <v>3328461.5384615385</v>
      </c>
    </row>
    <row r="328" spans="1:15">
      <c r="A328" t="s">
        <v>1161</v>
      </c>
      <c r="B328" s="285">
        <v>73000</v>
      </c>
      <c r="C328" s="285">
        <v>73000</v>
      </c>
      <c r="D328" s="285">
        <v>73000</v>
      </c>
      <c r="E328" s="285">
        <v>73000</v>
      </c>
      <c r="F328" s="285">
        <v>73000</v>
      </c>
      <c r="G328" s="285">
        <v>73000</v>
      </c>
      <c r="H328" s="285">
        <v>74000</v>
      </c>
      <c r="I328" s="285">
        <v>74000</v>
      </c>
      <c r="J328" s="285">
        <v>74000</v>
      </c>
      <c r="K328" s="285">
        <v>74000</v>
      </c>
      <c r="L328" s="285">
        <v>74000</v>
      </c>
      <c r="M328" s="285">
        <v>75000</v>
      </c>
      <c r="N328" s="285">
        <v>75000</v>
      </c>
      <c r="O328" s="1258">
        <f>AVERAGE(B328:N328)</f>
        <v>73692.307692307688</v>
      </c>
    </row>
    <row r="329" spans="1:15">
      <c r="A329" t="s">
        <v>1162</v>
      </c>
      <c r="B329" s="285">
        <v>221000</v>
      </c>
      <c r="C329" s="285">
        <v>221000</v>
      </c>
      <c r="D329" s="285">
        <v>222000</v>
      </c>
      <c r="E329" s="285">
        <v>222000</v>
      </c>
      <c r="F329" s="285">
        <v>222000</v>
      </c>
      <c r="G329" s="285">
        <v>223000</v>
      </c>
      <c r="H329" s="285">
        <v>223000</v>
      </c>
      <c r="I329" s="285">
        <v>223000</v>
      </c>
      <c r="J329" s="285">
        <v>224000</v>
      </c>
      <c r="K329" s="285">
        <v>224000</v>
      </c>
      <c r="L329" s="285">
        <v>224000</v>
      </c>
      <c r="M329" s="285">
        <v>225000</v>
      </c>
      <c r="N329" s="285">
        <v>225000</v>
      </c>
      <c r="O329" s="1258">
        <f>AVERAGE(B329:N329)</f>
        <v>223000</v>
      </c>
    </row>
    <row r="330" spans="1:15">
      <c r="A330" s="968" t="s">
        <v>1143</v>
      </c>
      <c r="B330" s="1297">
        <f t="shared" ref="B330:O330" si="26">SUM(B327:B329)</f>
        <v>3580000</v>
      </c>
      <c r="C330" s="1297">
        <f t="shared" si="26"/>
        <v>3587000</v>
      </c>
      <c r="D330" s="1297">
        <f t="shared" si="26"/>
        <v>3595000</v>
      </c>
      <c r="E330" s="1297">
        <f t="shared" si="26"/>
        <v>3602000</v>
      </c>
      <c r="F330" s="1297">
        <f t="shared" si="26"/>
        <v>3609000</v>
      </c>
      <c r="G330" s="1297">
        <f t="shared" si="26"/>
        <v>3617000</v>
      </c>
      <c r="H330" s="1297">
        <f t="shared" si="26"/>
        <v>3625000</v>
      </c>
      <c r="I330" s="1297">
        <f t="shared" si="26"/>
        <v>3633000</v>
      </c>
      <c r="J330" s="1297">
        <f t="shared" si="26"/>
        <v>3641000</v>
      </c>
      <c r="K330" s="1297">
        <f t="shared" si="26"/>
        <v>3648000</v>
      </c>
      <c r="L330" s="1297">
        <f t="shared" si="26"/>
        <v>3655000</v>
      </c>
      <c r="M330" s="1297">
        <f t="shared" si="26"/>
        <v>3664000</v>
      </c>
      <c r="N330" s="1297">
        <f>SUM(N327:N329)</f>
        <v>3671000</v>
      </c>
      <c r="O330" s="1297">
        <f t="shared" si="26"/>
        <v>3625153.846153846</v>
      </c>
    </row>
    <row r="332" spans="1:15">
      <c r="A332" s="105" t="s">
        <v>1133</v>
      </c>
      <c r="B332" s="252">
        <f t="shared" ref="B332:O332" si="27">B324+B222</f>
        <v>563984187</v>
      </c>
      <c r="C332" s="252">
        <f t="shared" si="27"/>
        <v>580044000</v>
      </c>
      <c r="D332" s="252">
        <f t="shared" si="27"/>
        <v>583784000</v>
      </c>
      <c r="E332" s="252">
        <f t="shared" si="27"/>
        <v>584969000</v>
      </c>
      <c r="F332" s="252">
        <f t="shared" si="27"/>
        <v>588643000</v>
      </c>
      <c r="G332" s="252">
        <f t="shared" si="27"/>
        <v>592531000</v>
      </c>
      <c r="H332" s="252">
        <f t="shared" si="27"/>
        <v>595659000</v>
      </c>
      <c r="I332" s="252">
        <f t="shared" si="27"/>
        <v>599531000</v>
      </c>
      <c r="J332" s="252">
        <f t="shared" si="27"/>
        <v>603286000</v>
      </c>
      <c r="K332" s="252">
        <f t="shared" si="27"/>
        <v>606168000</v>
      </c>
      <c r="L332" s="252">
        <f t="shared" si="27"/>
        <v>609774000</v>
      </c>
      <c r="M332" s="252">
        <f t="shared" si="27"/>
        <v>613839000</v>
      </c>
      <c r="N332" s="252">
        <f t="shared" si="27"/>
        <v>611724385</v>
      </c>
      <c r="O332" s="252">
        <f t="shared" si="27"/>
        <v>615867603.79076934</v>
      </c>
    </row>
    <row r="333" spans="1:15">
      <c r="A333" s="105" t="s">
        <v>1153</v>
      </c>
      <c r="B333" s="252">
        <f t="shared" ref="B333:O333" si="28">B330+B237</f>
        <v>78627000</v>
      </c>
      <c r="C333" s="252">
        <f t="shared" si="28"/>
        <v>78750000</v>
      </c>
      <c r="D333" s="252">
        <f t="shared" si="28"/>
        <v>78874000</v>
      </c>
      <c r="E333" s="252">
        <f t="shared" si="28"/>
        <v>78997000</v>
      </c>
      <c r="F333" s="252">
        <f t="shared" si="28"/>
        <v>79119000</v>
      </c>
      <c r="G333" s="252">
        <f t="shared" si="28"/>
        <v>79243000</v>
      </c>
      <c r="H333" s="252">
        <f t="shared" si="28"/>
        <v>79367000</v>
      </c>
      <c r="I333" s="252">
        <f t="shared" si="28"/>
        <v>79491000</v>
      </c>
      <c r="J333" s="252">
        <f t="shared" si="28"/>
        <v>79616000</v>
      </c>
      <c r="K333" s="252">
        <f t="shared" si="28"/>
        <v>79738000</v>
      </c>
      <c r="L333" s="252">
        <f t="shared" si="28"/>
        <v>79862000</v>
      </c>
      <c r="M333" s="252">
        <f t="shared" si="28"/>
        <v>79985000</v>
      </c>
      <c r="N333" s="252">
        <f t="shared" si="28"/>
        <v>80079000</v>
      </c>
      <c r="O333" s="252">
        <f t="shared" si="28"/>
        <v>79365230.769230768</v>
      </c>
    </row>
    <row r="334" spans="1:15">
      <c r="A334" s="105" t="s">
        <v>1134</v>
      </c>
      <c r="B334" s="252">
        <f t="shared" ref="B334:O334" si="29">B246</f>
        <v>53410000</v>
      </c>
      <c r="C334" s="252">
        <f t="shared" si="29"/>
        <v>53546000</v>
      </c>
      <c r="D334" s="252">
        <f t="shared" si="29"/>
        <v>53681000</v>
      </c>
      <c r="E334" s="252">
        <f t="shared" si="29"/>
        <v>53816000</v>
      </c>
      <c r="F334" s="252">
        <f t="shared" si="29"/>
        <v>53951000</v>
      </c>
      <c r="G334" s="252">
        <f t="shared" si="29"/>
        <v>54086000</v>
      </c>
      <c r="H334" s="252">
        <f t="shared" si="29"/>
        <v>54222000</v>
      </c>
      <c r="I334" s="252">
        <f t="shared" si="29"/>
        <v>54355000</v>
      </c>
      <c r="J334" s="252">
        <f t="shared" si="29"/>
        <v>54492000</v>
      </c>
      <c r="K334" s="252">
        <f t="shared" si="29"/>
        <v>54627000</v>
      </c>
      <c r="L334" s="252">
        <f t="shared" si="29"/>
        <v>54761000</v>
      </c>
      <c r="M334" s="252">
        <f t="shared" si="29"/>
        <v>54898000</v>
      </c>
      <c r="N334" s="252">
        <f t="shared" si="29"/>
        <v>55035000</v>
      </c>
      <c r="O334" s="252">
        <f t="shared" si="29"/>
        <v>54221538.461538456</v>
      </c>
    </row>
    <row r="335" spans="1:15">
      <c r="A335" s="105" t="s">
        <v>1170</v>
      </c>
      <c r="B335" s="252">
        <f t="shared" ref="B335:O335" si="30">B224</f>
        <v>654000</v>
      </c>
      <c r="C335" s="252">
        <f t="shared" si="30"/>
        <v>656000</v>
      </c>
      <c r="D335" s="252">
        <f t="shared" si="30"/>
        <v>658000</v>
      </c>
      <c r="E335" s="252">
        <f t="shared" si="30"/>
        <v>660000</v>
      </c>
      <c r="F335" s="252">
        <f t="shared" si="30"/>
        <v>662000</v>
      </c>
      <c r="G335" s="252">
        <f t="shared" si="30"/>
        <v>664000</v>
      </c>
      <c r="H335" s="252">
        <f t="shared" si="30"/>
        <v>666000</v>
      </c>
      <c r="I335" s="252">
        <f t="shared" si="30"/>
        <v>668000</v>
      </c>
      <c r="J335" s="252">
        <f t="shared" si="30"/>
        <v>670000</v>
      </c>
      <c r="K335" s="252">
        <f t="shared" si="30"/>
        <v>672000</v>
      </c>
      <c r="L335" s="252">
        <f t="shared" si="30"/>
        <v>674000</v>
      </c>
      <c r="M335" s="252">
        <f t="shared" si="30"/>
        <v>676000</v>
      </c>
      <c r="N335" s="252">
        <f t="shared" si="30"/>
        <v>679000</v>
      </c>
      <c r="O335" s="252">
        <f t="shared" si="30"/>
        <v>666076.92307692312</v>
      </c>
    </row>
    <row r="336" spans="1:15">
      <c r="A336" s="105" t="s">
        <v>1135</v>
      </c>
      <c r="B336" s="598">
        <f>SUM(B332:B335)</f>
        <v>696675187</v>
      </c>
      <c r="C336" s="598">
        <f t="shared" ref="C336:O336" si="31">SUM(C332:C335)</f>
        <v>712996000</v>
      </c>
      <c r="D336" s="598">
        <f t="shared" si="31"/>
        <v>716997000</v>
      </c>
      <c r="E336" s="598">
        <f t="shared" si="31"/>
        <v>718442000</v>
      </c>
      <c r="F336" s="598">
        <f t="shared" si="31"/>
        <v>722375000</v>
      </c>
      <c r="G336" s="598">
        <f t="shared" si="31"/>
        <v>726524000</v>
      </c>
      <c r="H336" s="598">
        <f t="shared" si="31"/>
        <v>729914000</v>
      </c>
      <c r="I336" s="598">
        <f t="shared" si="31"/>
        <v>734045000</v>
      </c>
      <c r="J336" s="598">
        <f t="shared" si="31"/>
        <v>738064000</v>
      </c>
      <c r="K336" s="598">
        <f t="shared" si="31"/>
        <v>741205000</v>
      </c>
      <c r="L336" s="598">
        <f t="shared" si="31"/>
        <v>745071000</v>
      </c>
      <c r="M336" s="598">
        <f t="shared" si="31"/>
        <v>749398000</v>
      </c>
      <c r="N336" s="598">
        <f>SUM(N332:N335)</f>
        <v>747517385</v>
      </c>
      <c r="O336" s="598">
        <f t="shared" si="31"/>
        <v>750120449.94461536</v>
      </c>
    </row>
    <row r="338" spans="2:14">
      <c r="B338" s="285"/>
    </row>
    <row r="339" spans="2:14">
      <c r="B339" s="285"/>
    </row>
    <row r="340" spans="2:14">
      <c r="B340" s="285"/>
    </row>
    <row r="341" spans="2:14">
      <c r="B341" s="108"/>
      <c r="N341" s="102" t="s">
        <v>1136</v>
      </c>
    </row>
    <row r="342" spans="2:14">
      <c r="B342" s="285"/>
    </row>
    <row r="343" spans="2:14">
      <c r="B343" s="68"/>
      <c r="C343" s="68"/>
      <c r="D343" s="68"/>
      <c r="E343" s="68"/>
      <c r="F343" s="68"/>
      <c r="G343" s="68"/>
      <c r="H343" s="68"/>
      <c r="I343" s="68"/>
      <c r="J343" s="68"/>
      <c r="K343" s="68"/>
      <c r="L343" s="68"/>
      <c r="M343" s="68"/>
      <c r="N343" s="68"/>
    </row>
    <row r="344" spans="2:14">
      <c r="N344" s="68"/>
    </row>
    <row r="346" spans="2:14">
      <c r="B346" s="68"/>
      <c r="C346" s="68"/>
      <c r="D346" s="68"/>
      <c r="E346" s="68"/>
      <c r="F346" s="68"/>
      <c r="G346" s="68"/>
      <c r="H346" s="68"/>
      <c r="I346" s="68"/>
      <c r="J346" s="68"/>
      <c r="K346" s="68"/>
      <c r="L346" s="68"/>
      <c r="M346" s="68"/>
      <c r="N346" s="68"/>
    </row>
  </sheetData>
  <sortState xmlns:xlrd2="http://schemas.microsoft.com/office/spreadsheetml/2017/richdata2" ref="A78:O153">
    <sortCondition ref="A78:A153"/>
  </sortState>
  <phoneticPr fontId="73" type="noConversion"/>
  <pageMargins left="1" right="1" top="0" bottom="0" header="0.17" footer="0.16"/>
  <pageSetup paperSize="5" scale="52" fitToHeight="0" orientation="landscape" r:id="rId1"/>
  <headerFooter alignWithMargins="0"/>
  <rowBreaks count="1" manualBreakCount="1">
    <brk id="173" max="16383" man="1"/>
  </row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Z120"/>
  <sheetViews>
    <sheetView zoomScale="75" zoomScaleNormal="75" zoomScaleSheetLayoutView="75" workbookViewId="0">
      <pane xSplit="1" ySplit="3" topLeftCell="B4" activePane="bottomRight" state="frozen"/>
      <selection activeCell="C309" sqref="C309"/>
      <selection pane="topRight" activeCell="C309" sqref="C309"/>
      <selection pane="bottomLeft" activeCell="C309" sqref="C309"/>
      <selection pane="bottomRight" activeCell="L21" sqref="L21"/>
    </sheetView>
  </sheetViews>
  <sheetFormatPr defaultRowHeight="12.75"/>
  <cols>
    <col min="1" max="1" width="40.5703125" customWidth="1"/>
    <col min="2" max="2" width="22.5703125" customWidth="1"/>
    <col min="3" max="14" width="17.28515625" bestFit="1" customWidth="1"/>
    <col min="15" max="15" width="19.7109375" customWidth="1"/>
    <col min="16" max="16" width="17.28515625" bestFit="1" customWidth="1"/>
    <col min="17" max="17" width="14" bestFit="1" customWidth="1"/>
    <col min="25" max="25" width="12.140625" customWidth="1"/>
    <col min="26" max="26" width="13.5703125" customWidth="1"/>
  </cols>
  <sheetData>
    <row r="1" spans="1:26">
      <c r="A1" s="105" t="s">
        <v>545</v>
      </c>
    </row>
    <row r="2" spans="1:26" ht="15.75">
      <c r="C2" s="3"/>
      <c r="D2" s="3"/>
      <c r="E2" s="3"/>
      <c r="F2" s="3"/>
      <c r="G2" s="3"/>
      <c r="H2" s="3"/>
      <c r="I2" s="3"/>
      <c r="J2" s="3"/>
      <c r="K2" s="3"/>
      <c r="L2" s="3"/>
      <c r="M2" s="3"/>
      <c r="N2" s="3"/>
      <c r="O2" s="3"/>
      <c r="P2" s="32" t="s">
        <v>974</v>
      </c>
    </row>
    <row r="3" spans="1:26" ht="15.75">
      <c r="A3" s="81" t="s">
        <v>841</v>
      </c>
      <c r="B3" t="s">
        <v>26</v>
      </c>
      <c r="C3" s="1463">
        <v>45657</v>
      </c>
      <c r="D3" s="1463">
        <v>45658</v>
      </c>
      <c r="E3" s="1463">
        <v>45689</v>
      </c>
      <c r="F3" s="1463">
        <v>45717</v>
      </c>
      <c r="G3" s="1463">
        <v>45748</v>
      </c>
      <c r="H3" s="1463">
        <v>45778</v>
      </c>
      <c r="I3" s="1463">
        <v>45809</v>
      </c>
      <c r="J3" s="1463">
        <v>45839</v>
      </c>
      <c r="K3" s="1463">
        <v>45870</v>
      </c>
      <c r="L3" s="1463">
        <v>45901</v>
      </c>
      <c r="M3" s="1463">
        <v>45931</v>
      </c>
      <c r="N3" s="1463">
        <v>45962</v>
      </c>
      <c r="O3" s="1463">
        <v>45992</v>
      </c>
      <c r="P3" s="1464" t="s">
        <v>79</v>
      </c>
    </row>
    <row r="4" spans="1:26">
      <c r="A4" s="588" t="s">
        <v>749</v>
      </c>
    </row>
    <row r="5" spans="1:26" ht="15">
      <c r="A5" t="s">
        <v>674</v>
      </c>
      <c r="B5" s="3" t="s">
        <v>31</v>
      </c>
      <c r="C5" s="830">
        <v>6023860000</v>
      </c>
      <c r="D5" s="830">
        <v>6023860000</v>
      </c>
      <c r="E5" s="830">
        <v>6023860000</v>
      </c>
      <c r="F5" s="830">
        <v>6023860000</v>
      </c>
      <c r="G5" s="830">
        <v>6023860000</v>
      </c>
      <c r="H5" s="830">
        <v>6023860000</v>
      </c>
      <c r="I5" s="830">
        <v>6023860000</v>
      </c>
      <c r="J5" s="830">
        <v>6023860000</v>
      </c>
      <c r="K5" s="830">
        <v>6023860000</v>
      </c>
      <c r="L5" s="830">
        <v>6523860000</v>
      </c>
      <c r="M5" s="830">
        <v>6523860000</v>
      </c>
      <c r="N5" s="830">
        <v>6523860000</v>
      </c>
      <c r="O5" s="830">
        <v>6506860000</v>
      </c>
      <c r="P5" s="830">
        <f>AVERAGE(C5:O5)</f>
        <v>6176398461.5384617</v>
      </c>
      <c r="Q5" s="59"/>
    </row>
    <row r="6" spans="1:26" ht="15">
      <c r="A6" t="s">
        <v>676</v>
      </c>
      <c r="B6" s="3" t="s">
        <v>32</v>
      </c>
      <c r="C6" s="830">
        <v>0</v>
      </c>
      <c r="D6" s="830">
        <v>0</v>
      </c>
      <c r="E6" s="830">
        <v>0</v>
      </c>
      <c r="F6" s="830">
        <v>0</v>
      </c>
      <c r="G6" s="830">
        <v>0</v>
      </c>
      <c r="H6" s="830">
        <v>0</v>
      </c>
      <c r="I6" s="830">
        <v>0</v>
      </c>
      <c r="J6" s="830">
        <v>0</v>
      </c>
      <c r="K6" s="830">
        <v>0</v>
      </c>
      <c r="L6" s="830">
        <v>0</v>
      </c>
      <c r="M6" s="830">
        <v>0</v>
      </c>
      <c r="N6" s="830">
        <v>0</v>
      </c>
      <c r="O6" s="830">
        <v>0</v>
      </c>
      <c r="P6" s="830">
        <f>AVERAGE(C6:O6)</f>
        <v>0</v>
      </c>
      <c r="Q6" s="59"/>
    </row>
    <row r="7" spans="1:26" ht="15">
      <c r="B7" s="3"/>
      <c r="C7" s="830"/>
      <c r="D7" s="830"/>
      <c r="E7" s="830"/>
      <c r="F7" s="830"/>
      <c r="G7" s="830"/>
      <c r="H7" s="830"/>
      <c r="I7" s="830"/>
      <c r="J7" s="830"/>
      <c r="K7" s="830"/>
      <c r="L7" s="830"/>
      <c r="M7" s="830"/>
      <c r="N7" s="830"/>
      <c r="O7" s="830"/>
      <c r="P7" s="830"/>
    </row>
    <row r="8" spans="1:26" ht="15">
      <c r="A8" t="s">
        <v>675</v>
      </c>
      <c r="B8" s="3" t="s">
        <v>27</v>
      </c>
      <c r="C8" s="830">
        <v>0</v>
      </c>
      <c r="D8" s="830">
        <v>0</v>
      </c>
      <c r="E8" s="830">
        <v>0</v>
      </c>
      <c r="F8" s="830">
        <v>0</v>
      </c>
      <c r="G8" s="830">
        <v>0</v>
      </c>
      <c r="H8" s="830">
        <v>0</v>
      </c>
      <c r="I8" s="830">
        <v>0</v>
      </c>
      <c r="J8" s="830">
        <v>0</v>
      </c>
      <c r="K8" s="830">
        <v>0</v>
      </c>
      <c r="L8" s="830">
        <v>0</v>
      </c>
      <c r="M8" s="830">
        <v>0</v>
      </c>
      <c r="N8" s="830">
        <v>0</v>
      </c>
      <c r="O8" s="830">
        <v>0</v>
      </c>
      <c r="P8" s="830">
        <f>AVERAGE(C8:O8)</f>
        <v>0</v>
      </c>
    </row>
    <row r="9" spans="1:26" ht="15">
      <c r="A9" t="s">
        <v>677</v>
      </c>
      <c r="B9" s="3" t="s">
        <v>33</v>
      </c>
      <c r="C9" s="832">
        <v>0</v>
      </c>
      <c r="D9" s="832">
        <v>0</v>
      </c>
      <c r="E9" s="832">
        <v>0</v>
      </c>
      <c r="F9" s="832">
        <v>0</v>
      </c>
      <c r="G9" s="832">
        <v>0</v>
      </c>
      <c r="H9" s="832">
        <v>0</v>
      </c>
      <c r="I9" s="832">
        <v>0</v>
      </c>
      <c r="J9" s="832">
        <v>0</v>
      </c>
      <c r="K9" s="832">
        <v>0</v>
      </c>
      <c r="L9" s="832">
        <v>0</v>
      </c>
      <c r="M9" s="832">
        <v>0</v>
      </c>
      <c r="N9" s="832">
        <v>0</v>
      </c>
      <c r="O9" s="832">
        <v>0</v>
      </c>
      <c r="P9" s="830">
        <f>AVERAGE(C9:O9)</f>
        <v>0</v>
      </c>
    </row>
    <row r="10" spans="1:26" ht="15">
      <c r="A10" s="80" t="s">
        <v>669</v>
      </c>
      <c r="B10" s="3"/>
      <c r="C10" s="1461"/>
      <c r="D10" s="1461"/>
      <c r="E10" s="1461"/>
      <c r="F10" s="1461"/>
      <c r="G10" s="1461"/>
      <c r="H10" s="1461"/>
      <c r="I10" s="1461"/>
      <c r="J10" s="1461"/>
      <c r="K10" s="1461"/>
      <c r="L10" s="1461"/>
      <c r="M10" s="1461"/>
      <c r="N10" s="1461"/>
      <c r="O10" s="1461"/>
      <c r="P10" s="1462">
        <f>SUM(P5:P9)</f>
        <v>6176398461.5384617</v>
      </c>
    </row>
    <row r="11" spans="1:26" ht="15">
      <c r="B11" s="3"/>
      <c r="C11" s="1461"/>
      <c r="D11" s="1461"/>
      <c r="E11" s="1461"/>
      <c r="F11" s="1461"/>
      <c r="G11" s="1461"/>
      <c r="H11" s="1461"/>
      <c r="I11" s="1461"/>
      <c r="J11" s="1461"/>
      <c r="K11" s="1461"/>
      <c r="L11" s="1461"/>
      <c r="M11" s="1461"/>
      <c r="N11" s="1461"/>
      <c r="O11" s="1461"/>
      <c r="P11" s="830"/>
    </row>
    <row r="12" spans="1:26" ht="15">
      <c r="A12" t="s">
        <v>678</v>
      </c>
      <c r="B12" s="3" t="s">
        <v>34</v>
      </c>
      <c r="C12" s="830">
        <v>-23752845</v>
      </c>
      <c r="D12" s="830">
        <v>-23661755.649999999</v>
      </c>
      <c r="E12" s="830">
        <v>-23570666.579999998</v>
      </c>
      <c r="F12" s="830">
        <v>-23479577.509999998</v>
      </c>
      <c r="G12" s="830">
        <v>-23388488.439999998</v>
      </c>
      <c r="H12" s="830">
        <v>-23297399.369999997</v>
      </c>
      <c r="I12" s="830">
        <v>-23206310.299999997</v>
      </c>
      <c r="J12" s="830">
        <v>-23115221.229999997</v>
      </c>
      <c r="K12" s="830">
        <v>-23024132.159999996</v>
      </c>
      <c r="L12" s="830">
        <v>-27301967.089999996</v>
      </c>
      <c r="M12" s="830">
        <v>-27198724.849999998</v>
      </c>
      <c r="N12" s="830">
        <v>-27095465.649999999</v>
      </c>
      <c r="O12" s="830">
        <v>-26992206.469999999</v>
      </c>
      <c r="P12" s="830">
        <f>AVERAGE(C12:O12)</f>
        <v>-24544981.561538458</v>
      </c>
      <c r="Z12" s="1349"/>
    </row>
    <row r="13" spans="1:26" ht="15">
      <c r="A13" t="s">
        <v>679</v>
      </c>
      <c r="B13" s="3" t="s">
        <v>35</v>
      </c>
      <c r="C13" s="830">
        <v>-23612245</v>
      </c>
      <c r="D13" s="830">
        <v>23431123.609999999</v>
      </c>
      <c r="E13" s="830">
        <v>23253252.469999999</v>
      </c>
      <c r="F13" s="830">
        <v>23075589.02</v>
      </c>
      <c r="G13" s="830">
        <v>22896305.57</v>
      </c>
      <c r="H13" s="830">
        <v>22717194.620000001</v>
      </c>
      <c r="I13" s="830">
        <v>22538111.68</v>
      </c>
      <c r="J13" s="830">
        <v>22359226.34</v>
      </c>
      <c r="K13" s="830">
        <v>22195451.25</v>
      </c>
      <c r="L13" s="830">
        <v>22912733.25</v>
      </c>
      <c r="M13" s="830">
        <v>23233328.460000001</v>
      </c>
      <c r="N13" s="830">
        <v>23052806.600000001</v>
      </c>
      <c r="O13" s="830">
        <v>23083173.030000001</v>
      </c>
      <c r="P13" s="830">
        <f>AVERAGE(C13:O13)</f>
        <v>19318157.761538461</v>
      </c>
    </row>
    <row r="14" spans="1:26" ht="15">
      <c r="A14" t="s">
        <v>680</v>
      </c>
      <c r="B14" s="3" t="s">
        <v>36</v>
      </c>
      <c r="C14" s="830">
        <v>-29680381</v>
      </c>
      <c r="D14" s="830">
        <v>29519460.23</v>
      </c>
      <c r="E14" s="830">
        <v>29358539.59</v>
      </c>
      <c r="F14" s="830">
        <v>29197618.949999999</v>
      </c>
      <c r="G14" s="830">
        <v>29036698.309999999</v>
      </c>
      <c r="H14" s="830">
        <v>28875777.669999998</v>
      </c>
      <c r="I14" s="830">
        <v>28714857.029999997</v>
      </c>
      <c r="J14" s="830">
        <v>28553936.389999997</v>
      </c>
      <c r="K14" s="830">
        <v>28393015.749999996</v>
      </c>
      <c r="L14" s="830">
        <v>28232095.109999996</v>
      </c>
      <c r="M14" s="830">
        <v>28071174.469999995</v>
      </c>
      <c r="N14" s="830">
        <v>27910253.829999994</v>
      </c>
      <c r="O14" s="830">
        <v>27749333.189999994</v>
      </c>
      <c r="P14" s="830">
        <f>AVERAGE(C14:O14)</f>
        <v>24148644.578461535</v>
      </c>
    </row>
    <row r="15" spans="1:26" ht="15">
      <c r="A15" t="s">
        <v>681</v>
      </c>
      <c r="B15" s="3" t="s">
        <v>28</v>
      </c>
      <c r="C15" s="830">
        <v>0</v>
      </c>
      <c r="D15" s="830">
        <v>0</v>
      </c>
      <c r="E15" s="830">
        <v>0</v>
      </c>
      <c r="F15" s="830">
        <v>0</v>
      </c>
      <c r="G15" s="830">
        <v>0</v>
      </c>
      <c r="H15" s="830">
        <v>0</v>
      </c>
      <c r="I15" s="830">
        <v>0</v>
      </c>
      <c r="J15" s="830">
        <v>0</v>
      </c>
      <c r="K15" s="830">
        <v>0</v>
      </c>
      <c r="L15" s="3"/>
      <c r="M15" s="830">
        <v>0</v>
      </c>
      <c r="N15" s="830">
        <v>0</v>
      </c>
      <c r="O15" s="830">
        <v>0</v>
      </c>
      <c r="P15" s="830">
        <f>AVERAGE(C15:O15)</f>
        <v>0</v>
      </c>
      <c r="Z15" s="1350"/>
    </row>
    <row r="16" spans="1:26" ht="15">
      <c r="A16" t="s">
        <v>682</v>
      </c>
      <c r="B16" s="3" t="s">
        <v>29</v>
      </c>
      <c r="C16" s="832">
        <v>0</v>
      </c>
      <c r="D16" s="832">
        <v>0</v>
      </c>
      <c r="E16" s="832">
        <v>0</v>
      </c>
      <c r="F16" s="832">
        <v>0</v>
      </c>
      <c r="G16" s="832">
        <v>0</v>
      </c>
      <c r="H16" s="832">
        <v>0</v>
      </c>
      <c r="I16" s="832">
        <v>0</v>
      </c>
      <c r="J16" s="832">
        <v>0</v>
      </c>
      <c r="K16" s="832">
        <v>0</v>
      </c>
      <c r="L16" s="832">
        <v>0</v>
      </c>
      <c r="M16" s="832">
        <v>0</v>
      </c>
      <c r="N16" s="832">
        <v>0</v>
      </c>
      <c r="O16" s="832">
        <v>0</v>
      </c>
      <c r="P16" s="830">
        <f>AVERAGE(C16:O16)</f>
        <v>0</v>
      </c>
    </row>
    <row r="17" spans="1:18" ht="15">
      <c r="A17" s="80" t="s">
        <v>670</v>
      </c>
      <c r="B17" s="3"/>
      <c r="C17" s="830"/>
      <c r="D17" s="830"/>
      <c r="E17" s="830"/>
      <c r="F17" s="830"/>
      <c r="G17" s="830"/>
      <c r="H17" s="830"/>
      <c r="I17" s="830"/>
      <c r="J17" s="830"/>
      <c r="K17" s="830"/>
      <c r="L17" s="830"/>
      <c r="M17" s="830"/>
      <c r="N17" s="830"/>
      <c r="O17" s="830"/>
      <c r="P17" s="1462">
        <f>SUM(P10:P16)</f>
        <v>6195320282.3169231</v>
      </c>
    </row>
    <row r="18" spans="1:18" ht="15">
      <c r="B18" s="3"/>
      <c r="C18" s="830"/>
      <c r="D18" s="830"/>
      <c r="E18" s="830"/>
      <c r="F18" s="830"/>
      <c r="G18" s="830"/>
      <c r="H18" s="830"/>
      <c r="I18" s="830"/>
      <c r="J18" s="830"/>
      <c r="K18" s="830"/>
      <c r="L18" s="830"/>
      <c r="M18" s="830"/>
      <c r="N18" s="830"/>
      <c r="O18" s="830"/>
      <c r="P18" s="830"/>
    </row>
    <row r="19" spans="1:18" ht="15">
      <c r="A19" s="588" t="s">
        <v>683</v>
      </c>
      <c r="B19" s="3"/>
      <c r="C19" s="830"/>
      <c r="D19" s="830"/>
      <c r="E19" s="830"/>
      <c r="F19" s="830"/>
      <c r="G19" s="830"/>
      <c r="H19" s="830"/>
      <c r="I19" s="830"/>
      <c r="J19" s="830"/>
      <c r="K19" s="830"/>
      <c r="L19" s="830"/>
      <c r="M19" s="830"/>
      <c r="N19" s="830"/>
      <c r="O19" s="830"/>
      <c r="P19" s="830"/>
    </row>
    <row r="20" spans="1:18" ht="15">
      <c r="A20" s="102" t="s">
        <v>1029</v>
      </c>
      <c r="B20" s="3"/>
      <c r="C20" s="86"/>
      <c r="D20" s="830">
        <v>25504611.170000002</v>
      </c>
      <c r="E20" s="830">
        <v>25504611.170000002</v>
      </c>
      <c r="F20" s="830">
        <v>25504611.170000002</v>
      </c>
      <c r="G20" s="830">
        <v>25504611.170000002</v>
      </c>
      <c r="H20" s="830">
        <v>25504611.170000002</v>
      </c>
      <c r="I20" s="830">
        <v>25504611.170000002</v>
      </c>
      <c r="J20" s="830">
        <v>25504611.170000002</v>
      </c>
      <c r="K20" s="830">
        <v>25504611.170000002</v>
      </c>
      <c r="L20" s="830">
        <v>26670861.170000002</v>
      </c>
      <c r="M20" s="830">
        <v>27837111.170000002</v>
      </c>
      <c r="N20" s="830">
        <v>27837111.170000002</v>
      </c>
      <c r="O20" s="830">
        <v>27102862.77</v>
      </c>
      <c r="P20" s="830">
        <f>SUM(C20:O20)</f>
        <v>313484835.64000005</v>
      </c>
    </row>
    <row r="21" spans="1:18" ht="15">
      <c r="A21" s="102" t="s">
        <v>706</v>
      </c>
      <c r="B21" s="3"/>
      <c r="C21" s="86"/>
      <c r="D21" s="830">
        <v>-40637</v>
      </c>
      <c r="E21" s="830">
        <v>-40637</v>
      </c>
      <c r="F21" s="830">
        <v>-40637</v>
      </c>
      <c r="G21" s="830">
        <v>-40637</v>
      </c>
      <c r="H21" s="830">
        <v>-40637</v>
      </c>
      <c r="I21" s="830">
        <v>-40637</v>
      </c>
      <c r="J21" s="830">
        <v>-40637</v>
      </c>
      <c r="K21" s="830">
        <v>-40637</v>
      </c>
      <c r="L21" s="830">
        <v>-40637</v>
      </c>
      <c r="M21" s="830">
        <v>-40637</v>
      </c>
      <c r="N21" s="830">
        <v>-40637</v>
      </c>
      <c r="O21" s="830">
        <v>-40637</v>
      </c>
      <c r="P21" s="830">
        <f t="shared" ref="P21:P28" si="0">SUM(C21:O21)</f>
        <v>-487644</v>
      </c>
      <c r="Q21" s="597"/>
    </row>
    <row r="22" spans="1:18" ht="15">
      <c r="A22" s="102" t="s">
        <v>707</v>
      </c>
      <c r="B22" s="3"/>
      <c r="C22" s="86"/>
      <c r="D22" s="830">
        <v>98084</v>
      </c>
      <c r="E22" s="830">
        <v>98084</v>
      </c>
      <c r="F22" s="830">
        <v>98084</v>
      </c>
      <c r="G22" s="830">
        <v>98084</v>
      </c>
      <c r="H22" s="830">
        <v>98084</v>
      </c>
      <c r="I22" s="830">
        <v>98084</v>
      </c>
      <c r="J22" s="830">
        <v>98084</v>
      </c>
      <c r="K22" s="830">
        <v>98084</v>
      </c>
      <c r="L22" s="830">
        <v>98084</v>
      </c>
      <c r="M22" s="830">
        <v>98084</v>
      </c>
      <c r="N22" s="830">
        <v>98084</v>
      </c>
      <c r="O22" s="830">
        <v>98084</v>
      </c>
      <c r="P22" s="830">
        <f t="shared" si="0"/>
        <v>1177008</v>
      </c>
      <c r="Q22" s="597"/>
    </row>
    <row r="23" spans="1:18" ht="15">
      <c r="A23" s="102" t="s">
        <v>1069</v>
      </c>
      <c r="B23" s="3"/>
      <c r="C23" s="86"/>
      <c r="D23" s="832">
        <v>-57447</v>
      </c>
      <c r="E23" s="832">
        <v>-57447</v>
      </c>
      <c r="F23" s="832">
        <v>-57447</v>
      </c>
      <c r="G23" s="832">
        <v>-57447</v>
      </c>
      <c r="H23" s="832">
        <v>-57447</v>
      </c>
      <c r="I23" s="832">
        <v>-57447</v>
      </c>
      <c r="J23" s="832">
        <v>-57447</v>
      </c>
      <c r="K23" s="832">
        <v>-57447</v>
      </c>
      <c r="L23" s="832">
        <v>-57447</v>
      </c>
      <c r="M23" s="832">
        <v>-57447</v>
      </c>
      <c r="N23" s="832">
        <v>-57447</v>
      </c>
      <c r="O23" s="832">
        <v>-57447</v>
      </c>
      <c r="P23" s="832">
        <f>SUM(C23:O23)</f>
        <v>-689364</v>
      </c>
      <c r="Q23" s="597"/>
    </row>
    <row r="24" spans="1:18" ht="15">
      <c r="A24" s="102" t="s">
        <v>875</v>
      </c>
      <c r="B24" s="3" t="s">
        <v>30</v>
      </c>
      <c r="C24" s="86"/>
      <c r="D24" s="830">
        <v>25463974.170000002</v>
      </c>
      <c r="E24" s="830">
        <v>25463974.170000002</v>
      </c>
      <c r="F24" s="830">
        <v>25463974.170000002</v>
      </c>
      <c r="G24" s="830">
        <v>25463974.170000002</v>
      </c>
      <c r="H24" s="830">
        <v>25463974.170000002</v>
      </c>
      <c r="I24" s="830">
        <v>25463974.170000002</v>
      </c>
      <c r="J24" s="830">
        <v>25463974.170000002</v>
      </c>
      <c r="K24" s="830">
        <v>25463974.170000002</v>
      </c>
      <c r="L24" s="830">
        <v>26630224.170000002</v>
      </c>
      <c r="M24" s="830">
        <v>27796474.170000002</v>
      </c>
      <c r="N24" s="830">
        <v>27796474.170000002</v>
      </c>
      <c r="O24" s="830">
        <v>27062225.77</v>
      </c>
      <c r="P24" s="830">
        <f>SUM(C24:O24)</f>
        <v>312997191.64000005</v>
      </c>
      <c r="Q24" s="68"/>
      <c r="R24" s="59"/>
    </row>
    <row r="25" spans="1:18" ht="15">
      <c r="A25" t="s">
        <v>684</v>
      </c>
      <c r="B25" s="3" t="s">
        <v>37</v>
      </c>
      <c r="C25" s="86"/>
      <c r="D25" s="830">
        <v>270260.21000000002</v>
      </c>
      <c r="E25" s="830">
        <v>270310.21000000002</v>
      </c>
      <c r="F25" s="830">
        <v>270372.52</v>
      </c>
      <c r="G25" s="830">
        <v>270372.52</v>
      </c>
      <c r="H25" s="830">
        <v>270380.02</v>
      </c>
      <c r="I25" s="830">
        <v>270389.46999999997</v>
      </c>
      <c r="J25" s="830">
        <v>270409.34000000003</v>
      </c>
      <c r="K25" s="830">
        <v>271098.51</v>
      </c>
      <c r="L25" s="830">
        <v>278644.82</v>
      </c>
      <c r="M25" s="830">
        <v>287372.84000000003</v>
      </c>
      <c r="N25" s="830">
        <v>285491.06</v>
      </c>
      <c r="O25" s="830">
        <v>288157.67</v>
      </c>
      <c r="P25" s="830">
        <f>SUM(C25:O25)</f>
        <v>3303259.1899999995</v>
      </c>
      <c r="Q25" s="59"/>
    </row>
    <row r="26" spans="1:18" ht="15">
      <c r="A26" t="s">
        <v>685</v>
      </c>
      <c r="B26" s="3" t="s">
        <v>38</v>
      </c>
      <c r="C26" s="86"/>
      <c r="D26" s="830">
        <v>160920.64000000001</v>
      </c>
      <c r="E26" s="830">
        <v>160920.64000000001</v>
      </c>
      <c r="F26" s="830">
        <v>160920.64000000001</v>
      </c>
      <c r="G26" s="830">
        <v>160920.64000000001</v>
      </c>
      <c r="H26" s="830">
        <v>160920.64000000001</v>
      </c>
      <c r="I26" s="830">
        <v>160920.64000000001</v>
      </c>
      <c r="J26" s="830">
        <v>160920.64000000001</v>
      </c>
      <c r="K26" s="830">
        <v>160920.64000000001</v>
      </c>
      <c r="L26" s="830">
        <v>160920.64000000001</v>
      </c>
      <c r="M26" s="830">
        <v>160920.64000000001</v>
      </c>
      <c r="N26" s="830">
        <v>160920.64000000001</v>
      </c>
      <c r="O26" s="830">
        <v>160920.64000000001</v>
      </c>
      <c r="P26" s="830">
        <f t="shared" si="0"/>
        <v>1931047.6800000006</v>
      </c>
      <c r="Q26" s="68"/>
    </row>
    <row r="27" spans="1:18" ht="15">
      <c r="A27" t="s">
        <v>687</v>
      </c>
      <c r="B27" s="3" t="s">
        <v>39</v>
      </c>
      <c r="C27" s="86"/>
      <c r="D27" s="830">
        <v>0</v>
      </c>
      <c r="E27" s="830">
        <v>0</v>
      </c>
      <c r="F27" s="830">
        <v>0</v>
      </c>
      <c r="G27" s="830">
        <v>0</v>
      </c>
      <c r="H27" s="830">
        <v>0</v>
      </c>
      <c r="I27" s="830">
        <v>0</v>
      </c>
      <c r="J27" s="830">
        <v>0</v>
      </c>
      <c r="K27" s="830">
        <v>0</v>
      </c>
      <c r="L27" s="830">
        <v>0</v>
      </c>
      <c r="M27" s="830">
        <v>0</v>
      </c>
      <c r="N27" s="830">
        <v>0</v>
      </c>
      <c r="O27" s="830">
        <v>0</v>
      </c>
      <c r="P27" s="830">
        <f t="shared" si="0"/>
        <v>0</v>
      </c>
    </row>
    <row r="28" spans="1:18" ht="15">
      <c r="A28" t="s">
        <v>688</v>
      </c>
      <c r="B28" s="3" t="s">
        <v>40</v>
      </c>
      <c r="C28" s="86"/>
      <c r="D28" s="832">
        <v>0</v>
      </c>
      <c r="E28" s="832">
        <v>0</v>
      </c>
      <c r="F28" s="832">
        <v>0</v>
      </c>
      <c r="G28" s="832">
        <v>0</v>
      </c>
      <c r="H28" s="832">
        <v>0</v>
      </c>
      <c r="I28" s="832">
        <v>0</v>
      </c>
      <c r="J28" s="832">
        <v>0</v>
      </c>
      <c r="K28" s="832">
        <v>0</v>
      </c>
      <c r="L28" s="832">
        <v>0</v>
      </c>
      <c r="M28" s="832">
        <v>0</v>
      </c>
      <c r="N28" s="832">
        <v>0</v>
      </c>
      <c r="O28" s="832">
        <v>0</v>
      </c>
      <c r="P28" s="830">
        <f t="shared" si="0"/>
        <v>0</v>
      </c>
    </row>
    <row r="29" spans="1:18" ht="15">
      <c r="A29" s="80" t="s">
        <v>671</v>
      </c>
      <c r="B29" s="3"/>
      <c r="C29" s="830"/>
      <c r="D29" s="830"/>
      <c r="E29" s="830"/>
      <c r="F29" s="830"/>
      <c r="G29" s="830"/>
      <c r="H29" s="830"/>
      <c r="I29" s="830"/>
      <c r="J29" s="830"/>
      <c r="K29" s="830"/>
      <c r="L29" s="830"/>
      <c r="M29" s="830"/>
      <c r="N29" s="830"/>
      <c r="O29" s="830"/>
      <c r="P29" s="1462">
        <f>SUM(P24:P28)</f>
        <v>318231498.51000005</v>
      </c>
    </row>
    <row r="30" spans="1:18" ht="15">
      <c r="B30" s="3"/>
      <c r="C30" s="830"/>
      <c r="D30" s="830"/>
      <c r="E30" s="830"/>
      <c r="F30" s="830"/>
      <c r="G30" s="830"/>
      <c r="H30" s="830"/>
      <c r="I30" s="830"/>
      <c r="J30" s="830"/>
      <c r="K30" s="830"/>
      <c r="L30" s="830"/>
      <c r="M30" s="830"/>
      <c r="N30" s="830"/>
      <c r="O30" s="830"/>
      <c r="P30" s="830"/>
    </row>
    <row r="31" spans="1:18" ht="15">
      <c r="A31" s="588" t="s">
        <v>689</v>
      </c>
      <c r="B31" s="3"/>
      <c r="C31" s="830"/>
      <c r="D31" s="830"/>
      <c r="E31" s="830"/>
      <c r="F31" s="830"/>
      <c r="G31" s="830"/>
      <c r="H31" s="830"/>
      <c r="I31" s="830"/>
      <c r="J31" s="830"/>
      <c r="K31" s="830"/>
      <c r="L31" s="830"/>
      <c r="M31" s="830"/>
      <c r="N31" s="830"/>
      <c r="O31" s="830"/>
      <c r="P31" s="830"/>
      <c r="Q31" s="59"/>
    </row>
    <row r="32" spans="1:18" ht="15">
      <c r="A32" t="s">
        <v>690</v>
      </c>
      <c r="B32" s="3" t="s">
        <v>41</v>
      </c>
      <c r="C32" s="830">
        <v>0</v>
      </c>
      <c r="D32" s="830">
        <v>0</v>
      </c>
      <c r="E32" s="830">
        <v>0</v>
      </c>
      <c r="F32" s="830">
        <v>0</v>
      </c>
      <c r="G32" s="830">
        <v>0</v>
      </c>
      <c r="H32" s="830">
        <v>0</v>
      </c>
      <c r="I32" s="830">
        <v>0</v>
      </c>
      <c r="J32" s="830">
        <v>0</v>
      </c>
      <c r="K32" s="830">
        <v>0</v>
      </c>
      <c r="L32" s="830">
        <v>0</v>
      </c>
      <c r="M32" s="830">
        <v>0</v>
      </c>
      <c r="N32" s="830">
        <v>0</v>
      </c>
      <c r="O32" s="830">
        <v>0</v>
      </c>
      <c r="P32" s="830">
        <f>AVERAGE(C32:O32)</f>
        <v>0</v>
      </c>
    </row>
    <row r="33" spans="1:17" ht="15">
      <c r="A33" t="s">
        <v>691</v>
      </c>
      <c r="B33" s="3" t="s">
        <v>42</v>
      </c>
      <c r="C33" s="830">
        <v>0</v>
      </c>
      <c r="D33" s="830">
        <v>0</v>
      </c>
      <c r="E33" s="830">
        <v>0</v>
      </c>
      <c r="F33" s="830">
        <v>0</v>
      </c>
      <c r="G33" s="830">
        <v>0</v>
      </c>
      <c r="H33" s="830">
        <v>0</v>
      </c>
      <c r="I33" s="830">
        <v>0</v>
      </c>
      <c r="J33" s="830">
        <v>0</v>
      </c>
      <c r="K33" s="830">
        <v>0</v>
      </c>
      <c r="L33" s="830">
        <v>0</v>
      </c>
      <c r="M33" s="830">
        <v>0</v>
      </c>
      <c r="N33" s="830">
        <v>0</v>
      </c>
      <c r="O33" s="830">
        <v>0</v>
      </c>
      <c r="P33" s="830">
        <f>AVERAGE(C33:O33)</f>
        <v>0</v>
      </c>
    </row>
    <row r="34" spans="1:17" ht="15">
      <c r="A34" t="s">
        <v>692</v>
      </c>
      <c r="B34" s="3" t="s">
        <v>43</v>
      </c>
      <c r="C34" s="830">
        <v>0</v>
      </c>
      <c r="D34" s="830">
        <v>0</v>
      </c>
      <c r="E34" s="830">
        <v>0</v>
      </c>
      <c r="F34" s="830">
        <v>0</v>
      </c>
      <c r="G34" s="830">
        <v>0</v>
      </c>
      <c r="H34" s="830">
        <v>0</v>
      </c>
      <c r="I34" s="830">
        <v>0</v>
      </c>
      <c r="J34" s="830">
        <v>0</v>
      </c>
      <c r="K34" s="830">
        <v>0</v>
      </c>
      <c r="L34" s="830">
        <v>0</v>
      </c>
      <c r="M34" s="830">
        <v>0</v>
      </c>
      <c r="N34" s="830">
        <v>0</v>
      </c>
      <c r="O34" s="830">
        <v>0</v>
      </c>
      <c r="P34" s="830">
        <f t="shared" ref="P34:P39" si="1">AVERAGE(C34:O34)</f>
        <v>0</v>
      </c>
    </row>
    <row r="35" spans="1:17" ht="15">
      <c r="A35" t="s">
        <v>51</v>
      </c>
      <c r="B35" s="3" t="s">
        <v>44</v>
      </c>
      <c r="C35" s="830">
        <v>0</v>
      </c>
      <c r="D35" s="830">
        <v>0</v>
      </c>
      <c r="E35" s="830">
        <v>0</v>
      </c>
      <c r="F35" s="830">
        <v>0</v>
      </c>
      <c r="G35" s="830">
        <v>0</v>
      </c>
      <c r="H35" s="830">
        <v>0</v>
      </c>
      <c r="I35" s="830">
        <v>0</v>
      </c>
      <c r="J35" s="830">
        <v>0</v>
      </c>
      <c r="K35" s="830">
        <v>0</v>
      </c>
      <c r="L35" s="830">
        <v>0</v>
      </c>
      <c r="M35" s="830">
        <v>0</v>
      </c>
      <c r="N35" s="830">
        <v>0</v>
      </c>
      <c r="O35" s="830">
        <v>0</v>
      </c>
      <c r="P35" s="830">
        <f t="shared" si="1"/>
        <v>0</v>
      </c>
    </row>
    <row r="36" spans="1:17" ht="15">
      <c r="A36" t="s">
        <v>693</v>
      </c>
      <c r="B36" s="3" t="s">
        <v>45</v>
      </c>
      <c r="C36" s="830">
        <v>0</v>
      </c>
      <c r="D36" s="830">
        <v>0</v>
      </c>
      <c r="E36" s="830">
        <v>0</v>
      </c>
      <c r="F36" s="830">
        <v>0</v>
      </c>
      <c r="G36" s="830">
        <v>0</v>
      </c>
      <c r="H36" s="830">
        <v>0</v>
      </c>
      <c r="I36" s="830">
        <v>0</v>
      </c>
      <c r="J36" s="830">
        <v>0</v>
      </c>
      <c r="K36" s="830">
        <v>0</v>
      </c>
      <c r="L36" s="830">
        <v>0</v>
      </c>
      <c r="M36" s="830">
        <v>0</v>
      </c>
      <c r="N36" s="830">
        <v>0</v>
      </c>
      <c r="O36" s="830">
        <v>0</v>
      </c>
      <c r="P36" s="830">
        <f t="shared" si="1"/>
        <v>0</v>
      </c>
    </row>
    <row r="37" spans="1:17" ht="15">
      <c r="A37" t="s">
        <v>694</v>
      </c>
      <c r="B37" s="3" t="s">
        <v>50</v>
      </c>
      <c r="C37" s="832">
        <v>0</v>
      </c>
      <c r="D37" s="832">
        <v>0</v>
      </c>
      <c r="E37" s="832">
        <v>0</v>
      </c>
      <c r="F37" s="832">
        <v>0</v>
      </c>
      <c r="G37" s="832">
        <v>0</v>
      </c>
      <c r="H37" s="832">
        <v>0</v>
      </c>
      <c r="I37" s="832">
        <v>0</v>
      </c>
      <c r="J37" s="832">
        <v>0</v>
      </c>
      <c r="K37" s="832">
        <v>0</v>
      </c>
      <c r="L37" s="832">
        <v>0</v>
      </c>
      <c r="M37" s="832">
        <v>0</v>
      </c>
      <c r="N37" s="832">
        <v>0</v>
      </c>
      <c r="O37" s="832">
        <v>0</v>
      </c>
      <c r="P37" s="832">
        <f t="shared" si="1"/>
        <v>0</v>
      </c>
    </row>
    <row r="38" spans="1:17" ht="15">
      <c r="A38" s="80" t="s">
        <v>695</v>
      </c>
      <c r="B38" s="3"/>
      <c r="C38" s="830"/>
      <c r="D38" s="830"/>
      <c r="E38" s="830"/>
      <c r="F38" s="830"/>
      <c r="G38" s="830"/>
      <c r="H38" s="830"/>
      <c r="I38" s="830"/>
      <c r="J38" s="830"/>
      <c r="K38" s="830"/>
      <c r="L38" s="830"/>
      <c r="M38" s="830"/>
      <c r="N38" s="830"/>
      <c r="O38" s="830"/>
      <c r="P38" s="830"/>
    </row>
    <row r="39" spans="1:17" ht="15">
      <c r="A39" t="s">
        <v>672</v>
      </c>
      <c r="B39" s="3" t="s">
        <v>46</v>
      </c>
      <c r="C39" s="1461">
        <v>0</v>
      </c>
      <c r="D39" s="1461">
        <v>0</v>
      </c>
      <c r="E39" s="1461">
        <v>0</v>
      </c>
      <c r="F39" s="1461">
        <v>0</v>
      </c>
      <c r="G39" s="1461">
        <v>0</v>
      </c>
      <c r="H39" s="1461">
        <v>0</v>
      </c>
      <c r="I39" s="1461">
        <v>0</v>
      </c>
      <c r="J39" s="1461">
        <v>0</v>
      </c>
      <c r="K39" s="1461">
        <v>0</v>
      </c>
      <c r="L39" s="1461">
        <v>0</v>
      </c>
      <c r="M39" s="1461">
        <v>0</v>
      </c>
      <c r="N39" s="1461">
        <v>0</v>
      </c>
      <c r="O39" s="1461">
        <v>0</v>
      </c>
      <c r="P39" s="830">
        <f t="shared" si="1"/>
        <v>0</v>
      </c>
    </row>
    <row r="40" spans="1:17" ht="15">
      <c r="B40" s="3"/>
      <c r="C40" s="830"/>
      <c r="D40" s="830"/>
      <c r="E40" s="830"/>
      <c r="F40" s="830"/>
      <c r="G40" s="830"/>
      <c r="H40" s="830"/>
      <c r="I40" s="830"/>
      <c r="J40" s="830"/>
      <c r="K40" s="830"/>
      <c r="L40" s="830"/>
      <c r="M40" s="830"/>
      <c r="N40" s="830"/>
      <c r="O40" s="830"/>
      <c r="P40" s="830"/>
    </row>
    <row r="41" spans="1:17" ht="15">
      <c r="A41" s="588" t="s">
        <v>736</v>
      </c>
      <c r="B41" s="3"/>
      <c r="C41" s="830"/>
      <c r="D41" s="830"/>
      <c r="E41" s="830"/>
      <c r="F41" s="830"/>
      <c r="G41" s="830"/>
      <c r="H41" s="830"/>
      <c r="I41" s="830"/>
      <c r="J41" s="830"/>
      <c r="K41" s="830"/>
      <c r="L41" s="830"/>
      <c r="M41" s="830"/>
      <c r="N41" s="830"/>
      <c r="O41" s="830"/>
      <c r="P41" s="830"/>
    </row>
    <row r="42" spans="1:17" ht="15">
      <c r="A42" t="s">
        <v>849</v>
      </c>
      <c r="B42" s="3" t="s">
        <v>47</v>
      </c>
      <c r="C42" s="830">
        <v>5563887112</v>
      </c>
      <c r="D42" s="830">
        <v>5628058685.3499994</v>
      </c>
      <c r="E42" s="830">
        <v>5686936986.2799997</v>
      </c>
      <c r="F42" s="830">
        <v>5725141860.4099998</v>
      </c>
      <c r="G42" s="830">
        <v>5906349102.4799995</v>
      </c>
      <c r="H42" s="830">
        <v>5910655056.29</v>
      </c>
      <c r="I42" s="830">
        <v>5932492419.2699995</v>
      </c>
      <c r="J42" s="830">
        <v>5958104731.5799999</v>
      </c>
      <c r="K42" s="830">
        <v>6101679717.1899996</v>
      </c>
      <c r="L42" s="830">
        <v>6023663836.6500006</v>
      </c>
      <c r="M42" s="830">
        <v>6048340554.8800001</v>
      </c>
      <c r="N42" s="830">
        <v>6114472268.3299999</v>
      </c>
      <c r="O42" s="830">
        <v>6205548647.0299997</v>
      </c>
      <c r="P42" s="830">
        <f>AVERAGE(C42:O42)</f>
        <v>5908102382.9030762</v>
      </c>
      <c r="Q42" s="59"/>
    </row>
    <row r="43" spans="1:17" ht="15">
      <c r="A43" t="s">
        <v>696</v>
      </c>
      <c r="B43" s="3" t="s">
        <v>41</v>
      </c>
      <c r="C43" s="830">
        <v>0</v>
      </c>
      <c r="D43" s="830">
        <v>0</v>
      </c>
      <c r="E43" s="830">
        <v>0</v>
      </c>
      <c r="F43" s="830">
        <v>0</v>
      </c>
      <c r="G43" s="830">
        <v>0</v>
      </c>
      <c r="H43" s="830">
        <v>0</v>
      </c>
      <c r="I43" s="830">
        <v>0</v>
      </c>
      <c r="J43" s="830">
        <v>0</v>
      </c>
      <c r="K43" s="830">
        <v>0</v>
      </c>
      <c r="L43" s="830">
        <v>0</v>
      </c>
      <c r="M43" s="830">
        <v>0</v>
      </c>
      <c r="N43" s="830">
        <v>0</v>
      </c>
      <c r="O43" s="830">
        <v>0</v>
      </c>
      <c r="P43" s="830">
        <f>AVERAGE(C43:O43)</f>
        <v>0</v>
      </c>
      <c r="Q43" s="59"/>
    </row>
    <row r="44" spans="1:17" ht="15">
      <c r="A44" t="s">
        <v>697</v>
      </c>
      <c r="B44" s="3" t="s">
        <v>48</v>
      </c>
      <c r="C44" s="830">
        <v>-13366875</v>
      </c>
      <c r="D44" s="830">
        <v>-13366875.26</v>
      </c>
      <c r="E44" s="830">
        <v>-13366875.26</v>
      </c>
      <c r="F44" s="830">
        <v>-13402464.42</v>
      </c>
      <c r="G44" s="830">
        <v>-13402464.42</v>
      </c>
      <c r="H44" s="830">
        <v>-13402464.42</v>
      </c>
      <c r="I44" s="830">
        <v>-12509919.51</v>
      </c>
      <c r="J44" s="830">
        <v>-12509919.51</v>
      </c>
      <c r="K44" s="830">
        <v>-12509919.51</v>
      </c>
      <c r="L44" s="830">
        <v>-12834118.210000001</v>
      </c>
      <c r="M44" s="830">
        <v>-12834118.210000001</v>
      </c>
      <c r="N44" s="830">
        <v>-12834118.210000001</v>
      </c>
      <c r="O44" s="830">
        <v>-7476162.5899999999</v>
      </c>
      <c r="P44" s="830">
        <f>AVERAGE(C44:O44)</f>
        <v>-12601253.425384618</v>
      </c>
    </row>
    <row r="45" spans="1:17" ht="15">
      <c r="A45" t="s">
        <v>698</v>
      </c>
      <c r="B45" s="3" t="s">
        <v>49</v>
      </c>
      <c r="C45" s="830">
        <v>-30245866</v>
      </c>
      <c r="D45" s="830">
        <v>-30235631.289999999</v>
      </c>
      <c r="E45" s="830">
        <v>-30225396.640000001</v>
      </c>
      <c r="F45" s="830">
        <v>-30215161.989999998</v>
      </c>
      <c r="G45" s="830">
        <v>-30204927.350000001</v>
      </c>
      <c r="H45" s="830">
        <v>-30194692.710000001</v>
      </c>
      <c r="I45" s="830">
        <v>-30184458.059999999</v>
      </c>
      <c r="J45" s="830">
        <v>-30174223.41</v>
      </c>
      <c r="K45" s="830">
        <v>-30163988.760000002</v>
      </c>
      <c r="L45" s="830">
        <v>-30153754.109999999</v>
      </c>
      <c r="M45" s="830">
        <v>-31579544.870000001</v>
      </c>
      <c r="N45" s="830">
        <v>-31571219.390000001</v>
      </c>
      <c r="O45" s="830">
        <v>6499751.6600000001</v>
      </c>
      <c r="P45" s="830">
        <f>AVERAGE(C45:O45)</f>
        <v>-27588393.301538464</v>
      </c>
    </row>
    <row r="46" spans="1:17" ht="15">
      <c r="A46" s="80" t="s">
        <v>673</v>
      </c>
      <c r="B46" s="3"/>
      <c r="C46" s="1462"/>
      <c r="D46" s="1462"/>
      <c r="E46" s="1462"/>
      <c r="F46" s="1462"/>
      <c r="G46" s="1462"/>
      <c r="H46" s="1462"/>
      <c r="I46" s="1462"/>
      <c r="J46" s="1462"/>
      <c r="K46" s="1462"/>
      <c r="L46" s="1462"/>
      <c r="M46" s="1462"/>
      <c r="N46" s="1462"/>
      <c r="O46" s="1462"/>
      <c r="P46" s="1462">
        <f>P42-P43-P44-P45</f>
        <v>5948292029.6299992</v>
      </c>
    </row>
    <row r="47" spans="1:17" ht="15">
      <c r="B47" s="3"/>
      <c r="C47" s="830"/>
      <c r="D47" s="830"/>
      <c r="E47" s="830"/>
      <c r="F47" s="830"/>
      <c r="G47" s="830"/>
      <c r="H47" s="830"/>
      <c r="I47" s="830"/>
      <c r="J47" s="830"/>
      <c r="K47" s="830"/>
      <c r="L47" s="830"/>
      <c r="M47" s="830"/>
      <c r="N47" s="830"/>
      <c r="O47" s="830"/>
      <c r="P47" s="830"/>
    </row>
    <row r="48" spans="1:17" ht="15">
      <c r="B48" s="3"/>
      <c r="C48" s="830"/>
      <c r="D48" s="830"/>
      <c r="E48" s="830"/>
      <c r="F48" s="830"/>
      <c r="G48" s="830"/>
      <c r="H48" s="830"/>
      <c r="I48" s="830"/>
      <c r="J48" s="830"/>
      <c r="K48" s="830"/>
      <c r="L48" s="830"/>
      <c r="M48" s="830"/>
      <c r="N48" s="830"/>
      <c r="O48" s="830"/>
      <c r="P48" s="830"/>
    </row>
    <row r="49" spans="1:17" ht="15">
      <c r="A49" t="s">
        <v>849</v>
      </c>
      <c r="B49" s="3"/>
      <c r="C49" s="830"/>
      <c r="D49" s="830"/>
      <c r="E49" s="830"/>
      <c r="F49" s="830"/>
      <c r="G49" s="830"/>
      <c r="H49" s="830"/>
      <c r="I49" s="830"/>
      <c r="J49" s="830"/>
      <c r="K49" s="830"/>
      <c r="L49" s="830"/>
      <c r="M49" s="830"/>
      <c r="N49" s="830"/>
      <c r="O49" s="830"/>
      <c r="P49" s="830"/>
    </row>
    <row r="50" spans="1:17" ht="15">
      <c r="A50" t="s">
        <v>699</v>
      </c>
      <c r="B50" s="3" t="s">
        <v>52</v>
      </c>
      <c r="C50" s="830">
        <v>859037.91</v>
      </c>
      <c r="D50" s="830">
        <v>859037.91</v>
      </c>
      <c r="E50" s="830">
        <v>859037.91</v>
      </c>
      <c r="F50" s="830">
        <v>859037.91</v>
      </c>
      <c r="G50" s="830">
        <v>859037.91</v>
      </c>
      <c r="H50" s="830">
        <v>859037.91</v>
      </c>
      <c r="I50" s="830">
        <v>859037.91</v>
      </c>
      <c r="J50" s="830">
        <v>859037.91</v>
      </c>
      <c r="K50" s="830">
        <v>859037.91</v>
      </c>
      <c r="L50" s="830">
        <v>859037.91</v>
      </c>
      <c r="M50" s="830">
        <v>859037.91</v>
      </c>
      <c r="N50" s="830">
        <v>859037.91</v>
      </c>
      <c r="O50" s="830">
        <v>859037.91</v>
      </c>
      <c r="P50" s="830">
        <f>AVERAGE(C50:O50)</f>
        <v>859037.91</v>
      </c>
      <c r="Q50" s="59"/>
    </row>
    <row r="51" spans="1:17" ht="15">
      <c r="A51" t="s">
        <v>700</v>
      </c>
      <c r="B51" s="3" t="s">
        <v>54</v>
      </c>
      <c r="C51" s="830">
        <v>478145250</v>
      </c>
      <c r="D51" s="830">
        <v>478145249.87</v>
      </c>
      <c r="E51" s="830">
        <v>478145249.87</v>
      </c>
      <c r="F51" s="830">
        <v>478145249.87</v>
      </c>
      <c r="G51" s="830">
        <v>478145249.87</v>
      </c>
      <c r="H51" s="830">
        <v>478145249.87</v>
      </c>
      <c r="I51" s="830">
        <v>478145249.87</v>
      </c>
      <c r="J51" s="830">
        <v>478145249.87</v>
      </c>
      <c r="K51" s="830">
        <v>478145249.87</v>
      </c>
      <c r="L51" s="830">
        <v>478145249.87</v>
      </c>
      <c r="M51" s="830">
        <v>478145249.87</v>
      </c>
      <c r="N51" s="830">
        <v>478145249.87</v>
      </c>
      <c r="O51" s="830">
        <v>478145249.87</v>
      </c>
      <c r="P51" s="830">
        <f>AVERAGE(C51:O51)</f>
        <v>478145249.88</v>
      </c>
      <c r="Q51" s="59"/>
    </row>
    <row r="52" spans="1:17" ht="15">
      <c r="A52" t="s">
        <v>701</v>
      </c>
      <c r="B52" s="3" t="s">
        <v>44</v>
      </c>
      <c r="C52" s="830">
        <v>3456896691</v>
      </c>
      <c r="D52" s="830">
        <v>3456896691.4699998</v>
      </c>
      <c r="E52" s="830">
        <v>3456896691.4699998</v>
      </c>
      <c r="F52" s="830">
        <v>3456896691.4699998</v>
      </c>
      <c r="G52" s="830">
        <v>3595893691.4699998</v>
      </c>
      <c r="H52" s="830">
        <v>3595893691.4699998</v>
      </c>
      <c r="I52" s="830">
        <v>3595893691.4699998</v>
      </c>
      <c r="J52" s="830">
        <v>3595893691.4699998</v>
      </c>
      <c r="K52" s="830">
        <v>3720893691.4699998</v>
      </c>
      <c r="L52" s="830">
        <v>3720893691.4699998</v>
      </c>
      <c r="M52" s="830">
        <v>3720893691.4699998</v>
      </c>
      <c r="N52" s="830">
        <v>3720893691.4699998</v>
      </c>
      <c r="O52" s="830">
        <v>3720893691.4699998</v>
      </c>
      <c r="P52" s="830">
        <f>AVERAGE(C52:O52)</f>
        <v>3601202306.8184619</v>
      </c>
      <c r="Q52" s="59"/>
    </row>
    <row r="53" spans="1:17" ht="15">
      <c r="A53" t="s">
        <v>469</v>
      </c>
      <c r="B53" s="3" t="s">
        <v>45</v>
      </c>
      <c r="C53" s="830"/>
      <c r="D53" s="830"/>
      <c r="E53" s="830"/>
      <c r="F53" s="830"/>
      <c r="G53" s="830"/>
      <c r="H53" s="830"/>
      <c r="I53" s="830"/>
      <c r="J53" s="830"/>
      <c r="K53" s="830"/>
      <c r="L53" s="830"/>
      <c r="M53" s="830"/>
      <c r="N53" s="830"/>
      <c r="O53" s="830"/>
      <c r="P53" s="830">
        <v>0</v>
      </c>
      <c r="Q53" s="59"/>
    </row>
    <row r="54" spans="1:17" ht="15">
      <c r="A54" t="s">
        <v>702</v>
      </c>
      <c r="B54" s="3" t="s">
        <v>50</v>
      </c>
      <c r="C54" s="830">
        <v>-7133879.4000000004</v>
      </c>
      <c r="D54" s="830">
        <v>-7133879.4000000004</v>
      </c>
      <c r="E54" s="830">
        <v>-7133879.4000000004</v>
      </c>
      <c r="F54" s="830">
        <v>-7133879.4000000004</v>
      </c>
      <c r="G54" s="830">
        <v>-7133879.4000000004</v>
      </c>
      <c r="H54" s="830">
        <v>-7133879.4000000004</v>
      </c>
      <c r="I54" s="830">
        <v>-7133879.4000000004</v>
      </c>
      <c r="J54" s="830">
        <v>-7133879.4000000004</v>
      </c>
      <c r="K54" s="830">
        <v>-7133879.4000000004</v>
      </c>
      <c r="L54" s="830">
        <v>-7133879.4000000004</v>
      </c>
      <c r="M54" s="830">
        <v>-7133879.4000000004</v>
      </c>
      <c r="N54" s="830">
        <v>-7133879.4000000004</v>
      </c>
      <c r="O54" s="830">
        <v>-7133879.4000000004</v>
      </c>
      <c r="P54" s="830">
        <f>AVERAGE(C54:O54)</f>
        <v>-7133879.4000000013</v>
      </c>
      <c r="Q54" s="59"/>
    </row>
    <row r="55" spans="1:17" ht="15">
      <c r="A55" t="s">
        <v>703</v>
      </c>
      <c r="B55" s="3" t="s">
        <v>53</v>
      </c>
      <c r="C55" s="830">
        <v>1678732753</v>
      </c>
      <c r="D55" s="830">
        <v>1742894092.05</v>
      </c>
      <c r="E55" s="830">
        <v>1801762158.3299999</v>
      </c>
      <c r="F55" s="830">
        <v>1839992386.97</v>
      </c>
      <c r="G55" s="830">
        <v>1882192394.4000001</v>
      </c>
      <c r="H55" s="830">
        <v>1886488113.5700002</v>
      </c>
      <c r="I55" s="830">
        <v>1907422696.99</v>
      </c>
      <c r="J55" s="830">
        <v>1933024774.6500001</v>
      </c>
      <c r="K55" s="830">
        <v>1951589525.6099999</v>
      </c>
      <c r="L55" s="830">
        <v>1873887609.1200001</v>
      </c>
      <c r="M55" s="830">
        <v>1899990118.1100001</v>
      </c>
      <c r="N55" s="830">
        <v>1966113506.0799999</v>
      </c>
      <c r="O55" s="830">
        <v>2013760958.1099999</v>
      </c>
      <c r="P55" s="830">
        <f>AVERAGE(C55:O55)</f>
        <v>1875219314.383846</v>
      </c>
      <c r="Q55" s="59"/>
    </row>
    <row r="56" spans="1:17" ht="15">
      <c r="A56" t="s">
        <v>704</v>
      </c>
      <c r="B56" s="3" t="s">
        <v>48</v>
      </c>
      <c r="C56" s="830">
        <v>-13366875</v>
      </c>
      <c r="D56" s="830">
        <v>-13366875.26</v>
      </c>
      <c r="E56" s="830">
        <v>-13366875.26</v>
      </c>
      <c r="F56" s="830">
        <v>-13402464.42</v>
      </c>
      <c r="G56" s="830">
        <v>-13402464.42</v>
      </c>
      <c r="H56" s="830">
        <v>-13402464.42</v>
      </c>
      <c r="I56" s="830">
        <v>-12509919.51</v>
      </c>
      <c r="J56" s="830">
        <v>-12509919.51</v>
      </c>
      <c r="K56" s="830">
        <v>-12509919.51</v>
      </c>
      <c r="L56" s="830">
        <v>-12834118.210000001</v>
      </c>
      <c r="M56" s="830">
        <v>-12834118.210000001</v>
      </c>
      <c r="N56" s="830">
        <v>-12834118.210000001</v>
      </c>
      <c r="O56" s="830">
        <v>-7476162.5899999999</v>
      </c>
      <c r="P56" s="830">
        <f>AVERAGE(C56:O56)</f>
        <v>-12601253.425384618</v>
      </c>
      <c r="Q56" s="59"/>
    </row>
    <row r="57" spans="1:17" ht="15">
      <c r="A57" t="s">
        <v>705</v>
      </c>
      <c r="B57" s="3" t="s">
        <v>49</v>
      </c>
      <c r="C57" s="830">
        <v>-30245866</v>
      </c>
      <c r="D57" s="830">
        <v>-30235631.289999999</v>
      </c>
      <c r="E57" s="830">
        <v>-30225396.640000001</v>
      </c>
      <c r="F57" s="830">
        <v>-30215161.989999998</v>
      </c>
      <c r="G57" s="830">
        <v>-30204927.350000001</v>
      </c>
      <c r="H57" s="830">
        <v>-30194692.710000001</v>
      </c>
      <c r="I57" s="830">
        <v>-30184458.059999999</v>
      </c>
      <c r="J57" s="830">
        <v>-30174223.41</v>
      </c>
      <c r="K57" s="830">
        <v>-30163988.760000002</v>
      </c>
      <c r="L57" s="830">
        <v>-30153754.109999999</v>
      </c>
      <c r="M57" s="830">
        <v>-31579544.870000001</v>
      </c>
      <c r="N57" s="830">
        <v>-31571219.390000001</v>
      </c>
      <c r="O57" s="830">
        <v>6499751.6600000001</v>
      </c>
      <c r="P57" s="830">
        <f>AVERAGE(C57:O57)</f>
        <v>-27588393.301538464</v>
      </c>
      <c r="Q57" s="59"/>
    </row>
    <row r="58" spans="1:17" ht="15">
      <c r="B58" s="3"/>
      <c r="C58" s="1462">
        <f>SUM(C50:C57)</f>
        <v>5563887111.5100002</v>
      </c>
      <c r="D58" s="1462">
        <f t="shared" ref="D58:O58" si="2">SUM(D50:D57)</f>
        <v>5628058685.3499994</v>
      </c>
      <c r="E58" s="1462">
        <f t="shared" si="2"/>
        <v>5686936986.2799997</v>
      </c>
      <c r="F58" s="1462">
        <f t="shared" si="2"/>
        <v>5725141860.4099998</v>
      </c>
      <c r="G58" s="1462">
        <f t="shared" si="2"/>
        <v>5906349102.4799995</v>
      </c>
      <c r="H58" s="1462">
        <f t="shared" si="2"/>
        <v>5910655056.29</v>
      </c>
      <c r="I58" s="1462">
        <f t="shared" si="2"/>
        <v>5932492419.2699995</v>
      </c>
      <c r="J58" s="1462">
        <f t="shared" si="2"/>
        <v>5958104731.5799999</v>
      </c>
      <c r="K58" s="1462">
        <f t="shared" si="2"/>
        <v>6101679717.1899996</v>
      </c>
      <c r="L58" s="1462">
        <f t="shared" si="2"/>
        <v>6023663836.6500006</v>
      </c>
      <c r="M58" s="1462">
        <f t="shared" si="2"/>
        <v>6048340554.8800001</v>
      </c>
      <c r="N58" s="1462">
        <f t="shared" si="2"/>
        <v>6114472268.3299999</v>
      </c>
      <c r="O58" s="1462">
        <f t="shared" si="2"/>
        <v>6205548647.0299997</v>
      </c>
      <c r="P58" s="1462">
        <f>SUM(P50:P57)</f>
        <v>5908102382.8653851</v>
      </c>
      <c r="Q58" s="59"/>
    </row>
    <row r="59" spans="1:17">
      <c r="C59" s="59"/>
      <c r="D59" s="59"/>
      <c r="E59" s="59"/>
      <c r="F59" s="59"/>
      <c r="G59" s="59"/>
      <c r="H59" s="59"/>
      <c r="I59" s="59"/>
      <c r="J59" s="59"/>
      <c r="K59" s="59"/>
      <c r="L59" s="59"/>
      <c r="M59" s="59"/>
      <c r="N59" s="59"/>
      <c r="O59" s="59"/>
      <c r="P59" s="59"/>
    </row>
    <row r="60" spans="1:17">
      <c r="C60" s="59"/>
      <c r="D60" s="59"/>
      <c r="E60" s="59"/>
      <c r="F60" s="59"/>
      <c r="G60" s="59"/>
      <c r="H60" s="59"/>
      <c r="I60" s="59"/>
      <c r="J60" s="59"/>
      <c r="K60" s="59"/>
      <c r="L60" s="59"/>
      <c r="M60" s="59"/>
      <c r="N60" s="59"/>
      <c r="O60" s="59"/>
      <c r="P60" s="59"/>
    </row>
    <row r="61" spans="1:17">
      <c r="C61" s="59"/>
      <c r="D61" s="59"/>
      <c r="E61" s="59"/>
      <c r="F61" s="59"/>
      <c r="G61" s="59"/>
      <c r="H61" s="59"/>
      <c r="I61" s="59"/>
      <c r="J61" s="59"/>
      <c r="K61" s="59"/>
      <c r="L61" s="59"/>
      <c r="M61" s="59"/>
      <c r="N61" s="59"/>
      <c r="O61" s="59"/>
      <c r="P61" s="59"/>
    </row>
    <row r="62" spans="1:17">
      <c r="C62" s="59"/>
      <c r="D62" s="59"/>
      <c r="E62" s="59"/>
      <c r="F62" s="59"/>
      <c r="G62" s="59"/>
      <c r="H62" s="59"/>
      <c r="I62" s="59"/>
      <c r="J62" s="59"/>
      <c r="K62" s="59"/>
      <c r="L62" s="59"/>
      <c r="M62" s="59"/>
      <c r="N62" s="59"/>
      <c r="O62" s="59"/>
      <c r="P62" s="59"/>
    </row>
    <row r="63" spans="1:17">
      <c r="C63" s="59"/>
      <c r="D63" s="59"/>
      <c r="E63" s="59"/>
      <c r="F63" s="59"/>
      <c r="G63" s="59"/>
      <c r="H63" s="59"/>
      <c r="I63" s="59"/>
      <c r="J63" s="59"/>
      <c r="K63" s="59"/>
      <c r="L63" s="59"/>
      <c r="M63" s="59"/>
      <c r="N63" s="59"/>
      <c r="O63" s="59"/>
      <c r="P63" s="59"/>
    </row>
    <row r="64" spans="1:17">
      <c r="C64" s="59"/>
      <c r="D64" s="59"/>
      <c r="E64" s="59"/>
      <c r="F64" s="59"/>
      <c r="G64" s="59"/>
      <c r="H64" s="59"/>
      <c r="I64" s="59"/>
      <c r="J64" s="59"/>
      <c r="K64" s="59"/>
      <c r="L64" s="59"/>
      <c r="M64" s="59"/>
      <c r="N64" s="59"/>
      <c r="O64" s="59"/>
      <c r="P64" s="59"/>
    </row>
    <row r="65" spans="3:16">
      <c r="C65" s="59"/>
      <c r="D65" s="59"/>
      <c r="E65" s="59"/>
      <c r="F65" s="59"/>
      <c r="G65" s="59"/>
      <c r="H65" s="59"/>
      <c r="I65" s="59"/>
      <c r="J65" s="59"/>
      <c r="K65" s="59"/>
      <c r="L65" s="59"/>
      <c r="M65" s="59"/>
      <c r="N65" s="59"/>
      <c r="O65" s="59"/>
      <c r="P65" s="59"/>
    </row>
    <row r="66" spans="3:16">
      <c r="C66" s="59"/>
      <c r="D66" s="59"/>
      <c r="E66" s="59"/>
      <c r="F66" s="59"/>
      <c r="G66" s="59"/>
      <c r="H66" s="59"/>
      <c r="I66" s="59"/>
      <c r="J66" s="59"/>
      <c r="K66" s="59"/>
      <c r="L66" s="59"/>
      <c r="M66" s="59"/>
      <c r="N66" s="59"/>
      <c r="O66" s="59"/>
      <c r="P66" s="59"/>
    </row>
    <row r="67" spans="3:16">
      <c r="C67" s="59"/>
      <c r="D67" s="59"/>
      <c r="E67" s="59"/>
      <c r="F67" s="59"/>
      <c r="G67" s="59"/>
      <c r="H67" s="59"/>
      <c r="I67" s="59"/>
      <c r="J67" s="59"/>
      <c r="K67" s="59"/>
      <c r="L67" s="59"/>
      <c r="M67" s="59"/>
      <c r="N67" s="59"/>
      <c r="O67" s="59"/>
      <c r="P67" s="59"/>
    </row>
    <row r="68" spans="3:16">
      <c r="G68" s="59"/>
      <c r="I68" s="59"/>
      <c r="J68" s="59"/>
      <c r="K68" s="59"/>
      <c r="L68" s="59"/>
    </row>
    <row r="69" spans="3:16">
      <c r="G69" s="59"/>
      <c r="I69" s="59"/>
      <c r="J69" s="59"/>
      <c r="K69" s="59"/>
      <c r="O69" s="59"/>
    </row>
    <row r="70" spans="3:16">
      <c r="G70" s="59"/>
      <c r="I70" s="59"/>
      <c r="J70" s="59"/>
      <c r="K70" s="59"/>
      <c r="N70" s="59"/>
    </row>
    <row r="71" spans="3:16">
      <c r="G71" s="59"/>
      <c r="I71" s="59"/>
      <c r="J71" s="59"/>
      <c r="K71" s="59"/>
      <c r="N71" s="59"/>
      <c r="O71" s="59"/>
    </row>
    <row r="72" spans="3:16">
      <c r="G72" s="59"/>
      <c r="I72" s="59"/>
      <c r="J72" s="59"/>
      <c r="K72" s="59"/>
      <c r="N72" s="59"/>
    </row>
    <row r="73" spans="3:16">
      <c r="G73" s="59"/>
      <c r="I73" s="59"/>
      <c r="J73" s="59"/>
      <c r="K73" s="59"/>
      <c r="O73" s="59"/>
    </row>
    <row r="74" spans="3:16">
      <c r="G74" s="59"/>
      <c r="I74" s="59"/>
      <c r="J74" s="59"/>
      <c r="K74" s="59"/>
      <c r="O74" s="59"/>
    </row>
    <row r="75" spans="3:16">
      <c r="G75" s="59"/>
      <c r="I75" s="59"/>
      <c r="J75" s="59"/>
      <c r="K75" s="59"/>
    </row>
    <row r="76" spans="3:16">
      <c r="G76" s="59"/>
      <c r="I76" s="59"/>
      <c r="J76" s="59"/>
      <c r="K76" s="59"/>
    </row>
    <row r="77" spans="3:16">
      <c r="C77" s="59"/>
      <c r="D77" s="59"/>
      <c r="E77" s="59"/>
      <c r="F77" s="59"/>
      <c r="G77" s="59"/>
      <c r="H77" s="59"/>
      <c r="I77" s="59"/>
      <c r="J77" s="59"/>
      <c r="K77" s="59"/>
      <c r="L77" s="59"/>
      <c r="M77" s="59"/>
      <c r="N77" s="59"/>
      <c r="O77" s="59"/>
      <c r="P77" s="59"/>
    </row>
    <row r="78" spans="3:16">
      <c r="J78" s="59"/>
      <c r="K78" s="59"/>
    </row>
    <row r="79" spans="3:16">
      <c r="J79" s="59"/>
      <c r="K79" s="59"/>
    </row>
    <row r="80" spans="3:16">
      <c r="G80" s="59"/>
      <c r="I80" s="59"/>
      <c r="J80" s="59"/>
      <c r="K80" s="59"/>
    </row>
    <row r="81" spans="1:16">
      <c r="A81" s="588"/>
      <c r="C81" s="59"/>
      <c r="D81" s="59"/>
      <c r="E81" s="59"/>
      <c r="F81" s="59"/>
      <c r="G81" s="59"/>
      <c r="H81" s="59"/>
      <c r="I81" s="59"/>
      <c r="J81" s="59"/>
      <c r="K81" s="59"/>
      <c r="L81" s="59"/>
      <c r="M81" s="59"/>
      <c r="N81" s="59"/>
      <c r="O81" s="59"/>
      <c r="P81" s="59"/>
    </row>
    <row r="82" spans="1:16">
      <c r="C82" s="59"/>
      <c r="D82" s="59"/>
      <c r="E82" s="59"/>
      <c r="F82" s="59"/>
      <c r="G82" s="59"/>
      <c r="H82" s="59"/>
      <c r="I82" s="59"/>
      <c r="J82" s="59"/>
      <c r="K82" s="59"/>
      <c r="L82" s="59"/>
      <c r="M82" s="59"/>
      <c r="N82" s="59"/>
      <c r="O82" s="59"/>
      <c r="P82" s="59"/>
    </row>
    <row r="83" spans="1:16">
      <c r="C83" s="59"/>
      <c r="D83" s="59"/>
      <c r="E83" s="59"/>
      <c r="F83" s="59"/>
      <c r="G83" s="59"/>
      <c r="H83" s="59"/>
      <c r="I83" s="59"/>
      <c r="J83" s="59"/>
      <c r="K83" s="59"/>
      <c r="L83" s="59"/>
      <c r="M83" s="59"/>
      <c r="N83" s="59"/>
      <c r="O83" s="59"/>
      <c r="P83" s="59"/>
    </row>
    <row r="84" spans="1:16">
      <c r="C84" s="59"/>
      <c r="D84" s="59"/>
      <c r="E84" s="59"/>
      <c r="F84" s="59"/>
      <c r="G84" s="59"/>
      <c r="H84" s="59"/>
      <c r="I84" s="59"/>
      <c r="J84" s="59"/>
      <c r="K84" s="59"/>
      <c r="L84" s="59"/>
      <c r="M84" s="59"/>
      <c r="N84" s="59"/>
      <c r="O84" s="59"/>
      <c r="P84" s="59"/>
    </row>
    <row r="85" spans="1:16">
      <c r="C85" s="59"/>
      <c r="D85" s="59"/>
      <c r="E85" s="59"/>
      <c r="F85" s="59"/>
      <c r="G85" s="59"/>
      <c r="H85" s="59"/>
      <c r="I85" s="59"/>
      <c r="J85" s="59"/>
      <c r="K85" s="59"/>
      <c r="L85" s="59"/>
      <c r="M85" s="59"/>
      <c r="N85" s="59"/>
      <c r="O85" s="59"/>
      <c r="P85" s="59"/>
    </row>
    <row r="86" spans="1:16">
      <c r="C86" s="59"/>
      <c r="D86" s="59"/>
      <c r="E86" s="59"/>
      <c r="F86" s="59"/>
      <c r="G86" s="59"/>
      <c r="H86" s="59"/>
      <c r="I86" s="59"/>
      <c r="J86" s="59"/>
      <c r="K86" s="59"/>
      <c r="L86" s="59"/>
      <c r="M86" s="59"/>
      <c r="N86" s="59"/>
      <c r="O86" s="59"/>
      <c r="P86" s="59"/>
    </row>
    <row r="87" spans="1:16">
      <c r="C87" s="59"/>
      <c r="D87" s="59"/>
      <c r="E87" s="59"/>
      <c r="F87" s="59"/>
      <c r="G87" s="59"/>
      <c r="H87" s="59"/>
      <c r="I87" s="59"/>
      <c r="J87" s="59"/>
      <c r="K87" s="59"/>
      <c r="L87" s="59"/>
      <c r="M87" s="59"/>
      <c r="N87" s="59"/>
      <c r="O87" s="59"/>
      <c r="P87" s="59"/>
    </row>
    <row r="88" spans="1:16">
      <c r="C88" s="59"/>
      <c r="D88" s="59"/>
      <c r="E88" s="59"/>
      <c r="F88" s="59"/>
      <c r="G88" s="59"/>
      <c r="H88" s="59"/>
      <c r="I88" s="59"/>
      <c r="J88" s="59"/>
      <c r="K88" s="59"/>
      <c r="L88" s="59"/>
      <c r="M88" s="59"/>
      <c r="N88" s="59"/>
      <c r="O88" s="59"/>
      <c r="P88" s="59"/>
    </row>
    <row r="89" spans="1:16">
      <c r="C89" s="59"/>
      <c r="D89" s="59"/>
      <c r="E89" s="59"/>
      <c r="F89" s="59"/>
      <c r="G89" s="59"/>
      <c r="H89" s="59"/>
      <c r="I89" s="59"/>
      <c r="J89" s="59"/>
      <c r="K89" s="59"/>
      <c r="L89" s="59"/>
      <c r="M89" s="59"/>
      <c r="N89" s="59"/>
      <c r="O89" s="59"/>
      <c r="P89" s="59"/>
    </row>
    <row r="90" spans="1:16">
      <c r="C90" s="59"/>
      <c r="D90" s="59"/>
      <c r="E90" s="59"/>
      <c r="F90" s="59"/>
      <c r="G90" s="59"/>
      <c r="H90" s="59"/>
      <c r="I90" s="59"/>
      <c r="J90" s="59"/>
      <c r="K90" s="59"/>
      <c r="L90" s="59"/>
      <c r="M90" s="59"/>
      <c r="N90" s="59"/>
      <c r="O90" s="59"/>
      <c r="P90" s="59"/>
    </row>
    <row r="91" spans="1:16">
      <c r="C91" s="59"/>
      <c r="D91" s="59"/>
      <c r="E91" s="59"/>
      <c r="F91" s="59"/>
      <c r="G91" s="59"/>
      <c r="H91" s="59"/>
      <c r="I91" s="59"/>
      <c r="J91" s="59"/>
      <c r="K91" s="59"/>
      <c r="L91" s="59"/>
      <c r="M91" s="59"/>
      <c r="N91" s="59"/>
      <c r="O91" s="59"/>
      <c r="P91" s="59"/>
    </row>
    <row r="92" spans="1:16">
      <c r="C92" s="59"/>
      <c r="D92" s="59"/>
      <c r="E92" s="59"/>
      <c r="F92" s="59"/>
      <c r="G92" s="59"/>
      <c r="H92" s="59"/>
      <c r="I92" s="59"/>
      <c r="J92" s="59"/>
      <c r="K92" s="59"/>
      <c r="L92" s="59"/>
      <c r="M92" s="59"/>
      <c r="N92" s="59"/>
      <c r="O92" s="59"/>
      <c r="P92" s="59"/>
    </row>
    <row r="93" spans="1:16">
      <c r="C93" s="59"/>
      <c r="D93" s="59"/>
      <c r="E93" s="59"/>
      <c r="F93" s="59"/>
      <c r="G93" s="59"/>
      <c r="H93" s="59"/>
      <c r="I93" s="59"/>
      <c r="J93" s="59"/>
      <c r="K93" s="59"/>
      <c r="L93" s="59"/>
      <c r="M93" s="59"/>
      <c r="N93" s="59"/>
      <c r="O93" s="59"/>
      <c r="P93" s="59"/>
    </row>
    <row r="94" spans="1:16">
      <c r="C94" s="59"/>
      <c r="D94" s="59"/>
      <c r="E94" s="59"/>
      <c r="F94" s="59"/>
      <c r="G94" s="59"/>
      <c r="H94" s="59"/>
      <c r="I94" s="59"/>
      <c r="J94" s="59"/>
      <c r="K94" s="59"/>
      <c r="L94" s="59"/>
      <c r="M94" s="59"/>
      <c r="N94" s="59"/>
      <c r="O94" s="59"/>
      <c r="P94" s="59"/>
    </row>
    <row r="95" spans="1:16">
      <c r="C95" s="59"/>
      <c r="D95" s="59"/>
      <c r="E95" s="59"/>
      <c r="F95" s="59"/>
      <c r="G95" s="59"/>
      <c r="H95" s="59"/>
      <c r="I95" s="59"/>
      <c r="J95" s="59"/>
      <c r="K95" s="59"/>
      <c r="L95" s="59"/>
      <c r="M95" s="59"/>
      <c r="N95" s="59"/>
      <c r="O95" s="59"/>
      <c r="P95" s="59"/>
    </row>
    <row r="96" spans="1:16">
      <c r="C96" s="59"/>
      <c r="D96" s="59"/>
      <c r="E96" s="59"/>
      <c r="F96" s="59"/>
      <c r="G96" s="59"/>
      <c r="H96" s="59"/>
      <c r="I96" s="59"/>
      <c r="J96" s="59"/>
      <c r="K96" s="59"/>
      <c r="L96" s="59"/>
      <c r="M96" s="59"/>
      <c r="N96" s="59"/>
      <c r="O96" s="59"/>
      <c r="P96" s="59"/>
    </row>
    <row r="97" spans="1:16">
      <c r="C97" s="59"/>
      <c r="D97" s="59"/>
      <c r="E97" s="59"/>
      <c r="F97" s="59"/>
      <c r="G97" s="59"/>
      <c r="H97" s="59"/>
      <c r="I97" s="59"/>
      <c r="J97" s="59"/>
      <c r="K97" s="59"/>
      <c r="L97" s="59"/>
      <c r="M97" s="59"/>
      <c r="N97" s="59"/>
      <c r="O97" s="59"/>
      <c r="P97" s="59"/>
    </row>
    <row r="98" spans="1:16">
      <c r="C98" s="59"/>
      <c r="D98" s="59"/>
      <c r="E98" s="59"/>
      <c r="F98" s="59"/>
      <c r="G98" s="59"/>
      <c r="H98" s="59"/>
      <c r="I98" s="59"/>
      <c r="J98" s="59"/>
      <c r="K98" s="59"/>
      <c r="L98" s="59"/>
      <c r="M98" s="59"/>
      <c r="N98" s="59"/>
      <c r="O98" s="59"/>
      <c r="P98" s="59"/>
    </row>
    <row r="99" spans="1:16">
      <c r="C99" s="59"/>
      <c r="D99" s="59"/>
      <c r="E99" s="59"/>
      <c r="F99" s="59"/>
      <c r="G99" s="59"/>
      <c r="H99" s="59"/>
      <c r="I99" s="59"/>
      <c r="J99" s="59"/>
      <c r="K99" s="59"/>
      <c r="L99" s="59"/>
      <c r="M99" s="59"/>
      <c r="N99" s="59"/>
      <c r="O99" s="59"/>
      <c r="P99" s="59"/>
    </row>
    <row r="103" spans="1:16" ht="15.75">
      <c r="C103" s="251"/>
      <c r="D103" s="461"/>
      <c r="E103" s="461"/>
      <c r="F103" s="461"/>
      <c r="G103" s="461"/>
      <c r="H103" s="461"/>
      <c r="I103" s="460"/>
      <c r="J103" s="460"/>
      <c r="K103" s="460"/>
      <c r="L103" s="460"/>
      <c r="M103" s="423"/>
    </row>
    <row r="104" spans="1:16" ht="15.75">
      <c r="C104" s="251"/>
      <c r="D104" s="2"/>
      <c r="E104" s="2"/>
      <c r="F104" s="2"/>
      <c r="G104" s="645"/>
      <c r="H104" s="458"/>
      <c r="I104" s="229"/>
      <c r="J104" s="228"/>
      <c r="K104" s="276"/>
      <c r="L104" s="47"/>
      <c r="M104" s="47"/>
    </row>
    <row r="105" spans="1:16" ht="15.75">
      <c r="A105" s="59"/>
      <c r="C105" s="284"/>
      <c r="D105" s="56"/>
      <c r="E105" s="595"/>
      <c r="F105" s="277"/>
      <c r="G105" s="645"/>
      <c r="H105" s="3"/>
      <c r="I105" s="214"/>
      <c r="J105" s="3"/>
      <c r="K105" s="3"/>
      <c r="L105" s="214"/>
      <c r="M105" s="47"/>
    </row>
    <row r="106" spans="1:16" ht="15.75">
      <c r="A106" s="59"/>
      <c r="C106" s="270"/>
      <c r="D106" s="505"/>
      <c r="E106" s="505"/>
      <c r="F106" s="505"/>
      <c r="G106" s="459"/>
      <c r="H106" s="505"/>
      <c r="I106" s="505"/>
      <c r="J106" s="505"/>
      <c r="K106" s="505"/>
      <c r="L106" s="505"/>
      <c r="M106" s="519"/>
    </row>
    <row r="107" spans="1:16" ht="15.75">
      <c r="A107" s="59"/>
      <c r="C107" s="270"/>
      <c r="D107" s="646"/>
      <c r="E107" s="505"/>
      <c r="F107" s="505"/>
      <c r="G107" s="459"/>
      <c r="H107" s="505"/>
      <c r="I107" s="505"/>
      <c r="J107" s="505"/>
      <c r="K107" s="505"/>
      <c r="L107" s="505"/>
      <c r="M107" s="519"/>
    </row>
    <row r="108" spans="1:16" ht="15.75">
      <c r="A108" s="59"/>
      <c r="C108" s="270"/>
      <c r="D108" s="647"/>
      <c r="E108" s="505"/>
      <c r="F108" s="505"/>
      <c r="G108" s="459"/>
      <c r="H108" s="505"/>
      <c r="I108" s="505"/>
      <c r="J108" s="505"/>
      <c r="K108" s="505"/>
      <c r="L108" s="505"/>
      <c r="M108" s="519"/>
    </row>
    <row r="109" spans="1:16" ht="15.75">
      <c r="A109" s="59"/>
      <c r="C109" s="270"/>
      <c r="D109" s="646"/>
      <c r="E109" s="505"/>
      <c r="F109" s="505"/>
      <c r="G109" s="459"/>
      <c r="H109" s="505"/>
      <c r="I109" s="505"/>
      <c r="J109" s="505"/>
      <c r="K109" s="505"/>
      <c r="L109" s="505"/>
      <c r="M109" s="519"/>
    </row>
    <row r="110" spans="1:16" ht="15.75">
      <c r="A110" s="59"/>
      <c r="C110" s="270"/>
      <c r="D110" s="646"/>
      <c r="E110" s="505"/>
      <c r="F110" s="505"/>
      <c r="G110" s="459"/>
      <c r="H110" s="505"/>
      <c r="I110" s="505"/>
      <c r="J110" s="505"/>
      <c r="K110" s="505"/>
      <c r="L110" s="505"/>
      <c r="M110" s="519"/>
    </row>
    <row r="111" spans="1:16" ht="15.75">
      <c r="A111" s="59"/>
      <c r="C111" s="270"/>
      <c r="D111" s="646"/>
      <c r="E111" s="505"/>
      <c r="F111" s="505"/>
      <c r="G111" s="459"/>
      <c r="H111" s="505"/>
      <c r="I111" s="505"/>
      <c r="J111" s="505"/>
      <c r="K111" s="505"/>
      <c r="L111" s="505"/>
      <c r="M111" s="519"/>
    </row>
    <row r="112" spans="1:16" ht="15.75">
      <c r="A112" s="59"/>
      <c r="C112" s="270"/>
      <c r="D112" s="505"/>
      <c r="E112" s="505"/>
      <c r="F112" s="505"/>
      <c r="G112" s="459"/>
      <c r="H112" s="505"/>
      <c r="I112" s="505"/>
      <c r="J112" s="505"/>
      <c r="K112" s="505"/>
      <c r="L112" s="505"/>
      <c r="M112" s="519"/>
    </row>
    <row r="113" spans="1:13" ht="15.75">
      <c r="A113" s="59"/>
      <c r="C113" s="270"/>
      <c r="D113" s="505"/>
      <c r="E113" s="505"/>
      <c r="F113" s="505"/>
      <c r="G113" s="459"/>
      <c r="H113" s="505"/>
      <c r="I113" s="505"/>
      <c r="J113" s="505"/>
      <c r="K113" s="505"/>
      <c r="L113" s="505"/>
      <c r="M113" s="519"/>
    </row>
    <row r="114" spans="1:13" ht="15.75">
      <c r="A114" s="59"/>
      <c r="C114" s="270"/>
      <c r="D114" s="647"/>
      <c r="E114" s="505"/>
      <c r="F114" s="505"/>
      <c r="G114" s="459"/>
      <c r="H114" s="505"/>
      <c r="I114" s="505"/>
      <c r="J114" s="505"/>
      <c r="K114" s="505"/>
      <c r="L114" s="505"/>
      <c r="M114" s="519"/>
    </row>
    <row r="115" spans="1:13" ht="15.75">
      <c r="A115" s="59"/>
      <c r="C115" s="270"/>
      <c r="D115" s="505"/>
      <c r="E115" s="505"/>
      <c r="F115" s="505"/>
      <c r="G115" s="459"/>
      <c r="H115" s="505"/>
      <c r="I115" s="505"/>
      <c r="J115" s="505"/>
      <c r="K115" s="505"/>
      <c r="L115" s="505"/>
      <c r="M115" s="519"/>
    </row>
    <row r="116" spans="1:13" ht="15.75">
      <c r="A116" s="59"/>
      <c r="C116" s="270"/>
      <c r="D116" s="505"/>
      <c r="E116" s="505"/>
      <c r="F116" s="505"/>
      <c r="G116" s="459"/>
      <c r="H116" s="505"/>
      <c r="I116" s="505"/>
      <c r="J116" s="505"/>
      <c r="K116" s="505"/>
      <c r="L116" s="505"/>
      <c r="M116" s="519"/>
    </row>
    <row r="117" spans="1:13" ht="15.75">
      <c r="A117" s="59"/>
      <c r="C117" s="270"/>
      <c r="D117" s="596"/>
      <c r="E117" s="596"/>
      <c r="F117" s="596"/>
      <c r="G117" s="459"/>
      <c r="H117" s="596"/>
      <c r="I117" s="596"/>
      <c r="J117" s="596"/>
      <c r="K117" s="596"/>
      <c r="L117" s="596"/>
      <c r="M117" s="519"/>
    </row>
    <row r="118" spans="1:13" ht="15.75">
      <c r="C118" s="270"/>
      <c r="D118" s="648"/>
      <c r="E118" s="518"/>
      <c r="F118" s="518"/>
      <c r="G118" s="518"/>
      <c r="H118" s="462"/>
      <c r="I118" s="459"/>
      <c r="J118" s="463"/>
      <c r="K118" s="519"/>
      <c r="L118" s="519"/>
      <c r="M118" s="519"/>
    </row>
    <row r="119" spans="1:13" ht="15.75">
      <c r="A119" s="518"/>
      <c r="C119" s="270"/>
      <c r="D119" s="518"/>
      <c r="E119" s="518"/>
      <c r="F119" s="518"/>
      <c r="G119" s="518"/>
      <c r="H119" s="518"/>
      <c r="I119" s="518"/>
      <c r="J119" s="518"/>
      <c r="K119" s="518"/>
      <c r="L119" s="518"/>
      <c r="M119" s="518"/>
    </row>
    <row r="120" spans="1:13">
      <c r="A120" s="518"/>
    </row>
  </sheetData>
  <phoneticPr fontId="73" type="noConversion"/>
  <pageMargins left="0.25" right="0.25" top="0.5" bottom="0.5" header="0.25" footer="0.25"/>
  <pageSetup paperSize="5" scale="5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30"/>
  <sheetViews>
    <sheetView zoomScaleNormal="100" workbookViewId="0">
      <selection activeCell="E16" sqref="E16"/>
    </sheetView>
  </sheetViews>
  <sheetFormatPr defaultColWidth="8.7109375" defaultRowHeight="12.75"/>
  <cols>
    <col min="1" max="1" width="5.28515625" style="1359" customWidth="1"/>
    <col min="2" max="2" width="33.85546875" style="1359" customWidth="1"/>
    <col min="3" max="3" width="11.28515625" style="1359" customWidth="1"/>
    <col min="4" max="4" width="16" style="1359" customWidth="1"/>
    <col min="5" max="5" width="16.42578125" style="1359" customWidth="1"/>
    <col min="6" max="6" width="19" style="1359" customWidth="1"/>
    <col min="7" max="11" width="15.7109375" style="1359" customWidth="1"/>
    <col min="12" max="12" width="16.7109375" style="1359" customWidth="1"/>
    <col min="13" max="16384" width="8.7109375" style="1359"/>
  </cols>
  <sheetData>
    <row r="1" spans="1:13" ht="18.75">
      <c r="A1" s="1358" t="s">
        <v>1243</v>
      </c>
      <c r="B1" s="1328"/>
    </row>
    <row r="2" spans="1:13" ht="15.75">
      <c r="A2" s="1360"/>
    </row>
    <row r="3" spans="1:13" ht="31.5" customHeight="1">
      <c r="A3" s="1571" t="s">
        <v>1277</v>
      </c>
      <c r="B3" s="1571"/>
      <c r="C3" s="1571"/>
      <c r="D3" s="1571"/>
      <c r="E3" s="1571"/>
      <c r="F3" s="1571"/>
      <c r="G3" s="1571"/>
      <c r="H3" s="1571"/>
      <c r="I3" s="1571"/>
      <c r="J3" s="1571"/>
      <c r="K3" s="1571"/>
      <c r="L3" s="1571"/>
    </row>
    <row r="4" spans="1:13">
      <c r="A4" s="1361"/>
      <c r="B4" s="1361"/>
      <c r="C4" s="1361"/>
      <c r="D4" s="1361"/>
      <c r="E4" s="1361"/>
      <c r="F4" s="1361"/>
      <c r="G4" s="1361"/>
      <c r="H4" s="1361"/>
      <c r="I4" s="1361"/>
      <c r="J4" s="1361"/>
      <c r="K4" s="1361"/>
    </row>
    <row r="5" spans="1:13" ht="14.65" customHeight="1">
      <c r="A5" s="1362" t="s">
        <v>1290</v>
      </c>
      <c r="B5" s="1361"/>
      <c r="C5" s="1361"/>
      <c r="D5" s="1361"/>
      <c r="E5" s="1361"/>
      <c r="F5" s="1361"/>
      <c r="G5" s="1361"/>
      <c r="H5" s="1361"/>
      <c r="I5" s="1361"/>
      <c r="J5" s="1361"/>
      <c r="K5" s="1361"/>
    </row>
    <row r="6" spans="1:13" ht="34.5" customHeight="1">
      <c r="A6" s="1571" t="s">
        <v>1291</v>
      </c>
      <c r="B6" s="1571"/>
      <c r="C6" s="1571"/>
      <c r="D6" s="1571"/>
      <c r="E6" s="1571"/>
      <c r="F6" s="1571"/>
      <c r="G6" s="1571"/>
      <c r="H6" s="1571"/>
      <c r="I6" s="1571"/>
      <c r="J6" s="1571"/>
      <c r="K6" s="1571"/>
      <c r="L6" s="1571"/>
    </row>
    <row r="7" spans="1:13">
      <c r="A7" s="1361"/>
      <c r="B7" s="1361"/>
      <c r="C7" s="1361"/>
      <c r="D7" s="1361"/>
      <c r="E7" s="1361"/>
      <c r="G7" s="1361"/>
      <c r="H7" s="1361"/>
      <c r="I7" s="1361"/>
      <c r="J7" s="1361"/>
      <c r="K7" s="1361"/>
      <c r="L7" s="1361"/>
    </row>
    <row r="8" spans="1:13">
      <c r="A8" s="1361"/>
      <c r="B8" s="1363" t="s">
        <v>262</v>
      </c>
      <c r="C8" s="1363" t="s">
        <v>263</v>
      </c>
      <c r="D8" s="1364" t="s">
        <v>355</v>
      </c>
      <c r="E8" s="1364" t="s">
        <v>264</v>
      </c>
      <c r="F8" s="1364" t="s">
        <v>265</v>
      </c>
      <c r="G8" s="1364" t="s">
        <v>261</v>
      </c>
      <c r="H8" s="1364" t="s">
        <v>354</v>
      </c>
      <c r="I8" s="1364" t="s">
        <v>566</v>
      </c>
      <c r="J8" s="1364" t="s">
        <v>567</v>
      </c>
      <c r="K8" s="1364" t="s">
        <v>959</v>
      </c>
      <c r="L8" s="1364" t="s">
        <v>960</v>
      </c>
      <c r="M8" s="1361"/>
    </row>
    <row r="9" spans="1:13" ht="63.75">
      <c r="A9" s="1365"/>
      <c r="B9" s="1366" t="s">
        <v>1244</v>
      </c>
      <c r="C9" s="1367" t="s">
        <v>1292</v>
      </c>
      <c r="D9" s="1368" t="s">
        <v>1293</v>
      </c>
      <c r="E9" s="1367" t="s">
        <v>1294</v>
      </c>
      <c r="F9" s="1367" t="s">
        <v>1245</v>
      </c>
      <c r="G9" s="1367" t="s">
        <v>1278</v>
      </c>
      <c r="H9" s="1367" t="s">
        <v>1279</v>
      </c>
      <c r="I9" s="1368" t="s">
        <v>1280</v>
      </c>
      <c r="J9" s="1334" t="s">
        <v>1353</v>
      </c>
      <c r="K9" s="1334" t="s">
        <v>1325</v>
      </c>
      <c r="L9" s="1334" t="s">
        <v>1354</v>
      </c>
    </row>
    <row r="10" spans="1:13">
      <c r="A10" s="1369"/>
      <c r="G10" s="1370"/>
      <c r="H10" s="1370"/>
      <c r="I10" s="1369"/>
      <c r="J10"/>
      <c r="K10"/>
      <c r="L10"/>
    </row>
    <row r="11" spans="1:13">
      <c r="A11" s="1369">
        <v>1</v>
      </c>
      <c r="B11" s="1359" t="s">
        <v>1240</v>
      </c>
      <c r="C11" s="1369">
        <v>282</v>
      </c>
      <c r="D11" s="1369">
        <v>254</v>
      </c>
      <c r="E11" s="1369">
        <v>411.1</v>
      </c>
      <c r="F11" s="1371" t="s">
        <v>1255</v>
      </c>
      <c r="G11" s="1372">
        <v>-1351358581.5130451</v>
      </c>
      <c r="H11" s="1372">
        <v>-808671362.47831202</v>
      </c>
      <c r="I11" s="327">
        <v>-379134960.89672893</v>
      </c>
      <c r="J11" s="327">
        <v>-358774344.06757933</v>
      </c>
      <c r="K11" s="1374">
        <f>-I11+J11</f>
        <v>20360616.829149604</v>
      </c>
      <c r="L11" s="68">
        <f>J11/(1-0.21)-J11</f>
        <v>-95370395.258470416</v>
      </c>
    </row>
    <row r="12" spans="1:13">
      <c r="A12" s="1369">
        <v>2</v>
      </c>
      <c r="B12" s="1359" t="s">
        <v>1241</v>
      </c>
      <c r="C12" s="1369">
        <v>282</v>
      </c>
      <c r="D12" s="1369">
        <v>254</v>
      </c>
      <c r="E12" s="1369">
        <v>411.1</v>
      </c>
      <c r="F12" s="1371" t="s">
        <v>1255</v>
      </c>
      <c r="G12" s="1372">
        <v>-83085672.230144978</v>
      </c>
      <c r="H12" s="1372">
        <v>-50044547.799883381</v>
      </c>
      <c r="I12" s="327">
        <v>-37535914.60148564</v>
      </c>
      <c r="J12" s="327">
        <v>-36517964.096941978</v>
      </c>
      <c r="K12" s="1374">
        <f>-I12+J12</f>
        <v>1017950.5045436621</v>
      </c>
      <c r="L12" s="68">
        <f>J12/(1-0.21)-J12</f>
        <v>-9707306.9118453339</v>
      </c>
    </row>
    <row r="13" spans="1:13">
      <c r="A13" s="1369">
        <v>3</v>
      </c>
      <c r="B13" s="1359" t="s">
        <v>1242</v>
      </c>
      <c r="C13" s="1369">
        <v>190</v>
      </c>
      <c r="D13" s="1369">
        <v>182.3</v>
      </c>
      <c r="E13" s="1369">
        <v>410.1</v>
      </c>
      <c r="F13" s="1375" t="s">
        <v>1281</v>
      </c>
      <c r="G13" s="1376">
        <v>31411462.702959999</v>
      </c>
      <c r="H13" s="1372">
        <v>18846877.621776</v>
      </c>
      <c r="I13" s="327">
        <v>0</v>
      </c>
      <c r="J13" s="327">
        <v>0</v>
      </c>
      <c r="K13" s="1374">
        <f t="shared" ref="K13:K14" si="0">-I13+J13</f>
        <v>0</v>
      </c>
      <c r="L13" s="68">
        <f>J13/(1-0.21)-J13</f>
        <v>0</v>
      </c>
    </row>
    <row r="14" spans="1:13">
      <c r="A14" s="1369">
        <v>4</v>
      </c>
      <c r="B14" s="1359" t="s">
        <v>1242</v>
      </c>
      <c r="C14" s="1369">
        <v>283</v>
      </c>
      <c r="D14" s="1369">
        <v>254</v>
      </c>
      <c r="E14" s="1369">
        <v>411.1</v>
      </c>
      <c r="F14" s="1375" t="s">
        <v>1281</v>
      </c>
      <c r="G14" s="1376">
        <v>-121037047.67049998</v>
      </c>
      <c r="H14" s="1372">
        <v>-72622228.602299988</v>
      </c>
      <c r="I14" s="327">
        <v>0</v>
      </c>
      <c r="J14" s="327">
        <v>0</v>
      </c>
      <c r="K14" s="1374">
        <f t="shared" si="0"/>
        <v>0</v>
      </c>
      <c r="L14" s="68">
        <f>J14/(1-0.21)-J14</f>
        <v>0</v>
      </c>
    </row>
    <row r="15" spans="1:13" ht="13.5" thickBot="1">
      <c r="A15" s="1369">
        <v>5</v>
      </c>
      <c r="B15" s="1377" t="s">
        <v>1258</v>
      </c>
      <c r="C15" s="1377"/>
      <c r="D15" s="1377"/>
      <c r="E15" s="1377"/>
      <c r="F15" s="1377"/>
      <c r="G15" s="1378">
        <f t="shared" ref="G15:L15" si="1">SUM(G11:G14)</f>
        <v>-1524069838.7107301</v>
      </c>
      <c r="H15" s="1378">
        <f t="shared" si="1"/>
        <v>-912491261.25871944</v>
      </c>
      <c r="I15" s="1378">
        <f t="shared" si="1"/>
        <v>-416670875.4982146</v>
      </c>
      <c r="J15" s="1378">
        <f t="shared" si="1"/>
        <v>-395292308.16452134</v>
      </c>
      <c r="K15" s="1378">
        <f t="shared" si="1"/>
        <v>21378567.333693266</v>
      </c>
      <c r="L15" s="1378">
        <f t="shared" si="1"/>
        <v>-105077702.17031574</v>
      </c>
    </row>
    <row r="16" spans="1:13" ht="13.5" thickTop="1">
      <c r="A16" s="1369"/>
      <c r="H16" s="1379"/>
      <c r="I16" s="1373"/>
      <c r="J16" s="1373"/>
      <c r="K16" s="1373"/>
    </row>
    <row r="17" spans="1:12">
      <c r="J17" s="1380"/>
    </row>
    <row r="18" spans="1:12">
      <c r="A18" s="1359" t="s">
        <v>404</v>
      </c>
      <c r="B18" s="1381"/>
      <c r="C18" s="1381"/>
      <c r="D18" s="1381"/>
      <c r="E18" s="1381"/>
      <c r="F18" s="1381"/>
      <c r="G18" s="1381"/>
      <c r="H18" s="1381"/>
      <c r="I18" s="1381"/>
    </row>
    <row r="19" spans="1:12" ht="138.75" customHeight="1">
      <c r="A19" s="1382" t="s">
        <v>1210</v>
      </c>
      <c r="B19" s="1571" t="s">
        <v>1295</v>
      </c>
      <c r="C19" s="1571"/>
      <c r="D19" s="1571"/>
      <c r="E19" s="1571"/>
      <c r="F19" s="1571"/>
      <c r="G19" s="1571"/>
      <c r="H19" s="1571"/>
      <c r="I19" s="1571"/>
      <c r="J19" s="1571"/>
      <c r="K19" s="1571"/>
      <c r="L19" s="1571"/>
    </row>
    <row r="20" spans="1:12" ht="27" customHeight="1">
      <c r="A20" s="1382" t="s">
        <v>1211</v>
      </c>
      <c r="B20" s="1571" t="s">
        <v>1256</v>
      </c>
      <c r="C20" s="1571"/>
      <c r="D20" s="1571"/>
      <c r="E20" s="1571"/>
      <c r="F20" s="1571"/>
      <c r="G20" s="1571"/>
      <c r="H20" s="1571"/>
      <c r="I20" s="1571"/>
      <c r="J20" s="1571"/>
      <c r="K20" s="1571"/>
      <c r="L20" s="1571"/>
    </row>
    <row r="21" spans="1:12" ht="12.75" customHeight="1">
      <c r="A21" s="1382" t="s">
        <v>1212</v>
      </c>
      <c r="B21" s="1571" t="s">
        <v>1257</v>
      </c>
      <c r="C21" s="1571"/>
      <c r="D21" s="1571"/>
      <c r="E21" s="1571"/>
      <c r="F21" s="1571"/>
      <c r="G21" s="1571"/>
      <c r="H21" s="1571"/>
      <c r="I21" s="1571"/>
      <c r="J21" s="1571"/>
      <c r="K21" s="1571"/>
      <c r="L21" s="1571"/>
    </row>
    <row r="22" spans="1:12" ht="38.450000000000003" customHeight="1">
      <c r="A22" s="1382" t="s">
        <v>1213</v>
      </c>
      <c r="B22" s="1571" t="s">
        <v>1296</v>
      </c>
      <c r="C22" s="1571"/>
      <c r="D22" s="1571"/>
      <c r="E22" s="1571"/>
      <c r="F22" s="1571"/>
      <c r="G22" s="1571"/>
      <c r="H22" s="1571"/>
      <c r="I22" s="1571"/>
      <c r="J22" s="1571"/>
      <c r="K22" s="1571"/>
      <c r="L22" s="1571"/>
    </row>
    <row r="23" spans="1:12" s="1383" customFormat="1">
      <c r="A23" s="1382" t="s">
        <v>1297</v>
      </c>
      <c r="B23" s="1383" t="s">
        <v>1298</v>
      </c>
      <c r="C23" s="1384"/>
      <c r="D23" s="1384"/>
    </row>
    <row r="24" spans="1:12" s="1383" customFormat="1">
      <c r="A24" s="1385"/>
      <c r="B24" s="1384"/>
      <c r="C24" s="1384"/>
      <c r="D24" s="1384"/>
    </row>
    <row r="25" spans="1:12" s="1383" customFormat="1">
      <c r="B25" s="1386"/>
      <c r="C25" s="1386"/>
      <c r="D25" s="1386"/>
    </row>
    <row r="26" spans="1:12" s="1383" customFormat="1">
      <c r="B26" s="1386"/>
      <c r="C26" s="1386"/>
      <c r="D26" s="1386"/>
    </row>
    <row r="27" spans="1:12" s="1383" customFormat="1">
      <c r="B27" s="1386"/>
      <c r="C27" s="1386"/>
      <c r="D27" s="1386"/>
    </row>
    <row r="28" spans="1:12" s="1383" customFormat="1">
      <c r="B28" s="1386"/>
      <c r="C28" s="1386"/>
      <c r="D28" s="1386"/>
    </row>
    <row r="29" spans="1:12" s="1383" customFormat="1">
      <c r="B29" s="1386"/>
      <c r="C29" s="1386"/>
      <c r="D29" s="1386"/>
    </row>
    <row r="30" spans="1:12" s="1383" customFormat="1">
      <c r="B30" s="1386"/>
      <c r="C30" s="1386"/>
    </row>
  </sheetData>
  <mergeCells count="6">
    <mergeCell ref="B22:L22"/>
    <mergeCell ref="A3:L3"/>
    <mergeCell ref="A6:L6"/>
    <mergeCell ref="B19:L19"/>
    <mergeCell ref="B20:L20"/>
    <mergeCell ref="B21:L21"/>
  </mergeCells>
  <pageMargins left="0.7" right="0.7" top="0.75" bottom="0.75" header="0.3" footer="0.3"/>
  <pageSetup scale="6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H320"/>
  <sheetViews>
    <sheetView tabSelected="1" zoomScale="75" zoomScaleNormal="75" zoomScaleSheetLayoutView="50" workbookViewId="0">
      <pane ySplit="6" topLeftCell="A267" activePane="bottomLeft" state="frozen"/>
      <selection pane="bottomLeft" activeCell="H32" sqref="H32:J32"/>
    </sheetView>
  </sheetViews>
  <sheetFormatPr defaultColWidth="11.5703125" defaultRowHeight="15"/>
  <cols>
    <col min="1" max="1" width="10" style="3" customWidth="1"/>
    <col min="2" max="2" width="5.28515625" style="3" customWidth="1"/>
    <col min="3" max="3" width="54.42578125" style="2" customWidth="1"/>
    <col min="4" max="4" width="27.28515625" style="3" customWidth="1"/>
    <col min="5" max="5" width="22.7109375" style="3" customWidth="1"/>
    <col min="6" max="6" width="34.5703125" style="3" customWidth="1"/>
    <col min="7" max="7" width="3" customWidth="1"/>
    <col min="8" max="8" width="26.140625" style="3" customWidth="1"/>
    <col min="9" max="9" width="2.42578125" style="3" customWidth="1"/>
    <col min="10" max="10" width="22.7109375" style="3" customWidth="1"/>
    <col min="11" max="11" width="24.7109375" style="281" customWidth="1"/>
    <col min="12" max="12" width="23.28515625" style="3" customWidth="1"/>
    <col min="13" max="13" width="8.28515625" style="3" customWidth="1"/>
    <col min="14" max="14" width="19.5703125" style="3" bestFit="1" customWidth="1"/>
    <col min="15" max="15" width="21" style="3" bestFit="1" customWidth="1"/>
    <col min="16" max="16" width="17.5703125" style="3" bestFit="1" customWidth="1"/>
    <col min="17" max="16384" width="11.5703125" style="3"/>
  </cols>
  <sheetData>
    <row r="1" spans="1:13" ht="23.25" customHeight="1">
      <c r="A1" s="52" t="s">
        <v>859</v>
      </c>
      <c r="C1" s="3"/>
      <c r="K1" s="3"/>
    </row>
    <row r="2" spans="1:13" ht="24" customHeight="1" thickBot="1">
      <c r="A2" s="50"/>
      <c r="C2" s="3"/>
      <c r="J2" s="613"/>
      <c r="K2" s="613"/>
      <c r="L2" s="613"/>
    </row>
    <row r="3" spans="1:13" ht="68.25" customHeight="1">
      <c r="A3" s="569" t="s">
        <v>446</v>
      </c>
      <c r="B3" s="570"/>
      <c r="C3" s="570"/>
      <c r="D3" s="570"/>
      <c r="E3" s="571"/>
      <c r="F3" s="572" t="s">
        <v>161</v>
      </c>
      <c r="H3" s="758" t="s">
        <v>473</v>
      </c>
      <c r="I3" s="577"/>
      <c r="J3" s="577" t="s">
        <v>970</v>
      </c>
      <c r="K3" s="577" t="s">
        <v>436</v>
      </c>
      <c r="L3" s="578" t="s">
        <v>437</v>
      </c>
      <c r="M3" s="32"/>
    </row>
    <row r="4" spans="1:13" s="1" customFormat="1" ht="42" customHeight="1" thickBot="1">
      <c r="A4" s="573" t="s">
        <v>1078</v>
      </c>
      <c r="B4" s="574"/>
      <c r="C4" s="574"/>
      <c r="D4" s="574"/>
      <c r="E4" s="575" t="s">
        <v>886</v>
      </c>
      <c r="F4" s="576"/>
      <c r="H4" s="579">
        <v>2025</v>
      </c>
      <c r="I4" s="759"/>
      <c r="J4" s="580"/>
      <c r="K4" s="580"/>
      <c r="L4" s="581"/>
    </row>
    <row r="5" spans="1:13" s="1" customFormat="1" ht="0.75" customHeight="1">
      <c r="A5" s="52" t="s">
        <v>659</v>
      </c>
      <c r="E5" s="32"/>
      <c r="F5" s="53"/>
      <c r="H5" s="53"/>
      <c r="J5" s="340"/>
      <c r="M5" s="619"/>
    </row>
    <row r="6" spans="1:13" ht="15.75" customHeight="1" thickBot="1">
      <c r="A6" s="11" t="s">
        <v>795</v>
      </c>
      <c r="B6" s="10"/>
      <c r="C6" s="16"/>
      <c r="D6" s="16"/>
      <c r="E6" s="254"/>
      <c r="F6" s="16"/>
      <c r="G6" s="16"/>
      <c r="H6" s="18"/>
      <c r="I6" s="16"/>
      <c r="J6" s="653"/>
      <c r="K6" s="16"/>
      <c r="L6" s="16"/>
      <c r="M6" s="281"/>
    </row>
    <row r="7" spans="1:13" ht="15.75" customHeight="1">
      <c r="A7" s="680"/>
      <c r="B7" s="681"/>
      <c r="C7" s="681"/>
      <c r="D7" s="681"/>
      <c r="E7" s="682"/>
      <c r="F7" s="736"/>
      <c r="G7" s="681"/>
      <c r="H7" s="683"/>
      <c r="I7" s="684"/>
      <c r="J7" s="685"/>
      <c r="K7" s="685"/>
      <c r="L7" s="686"/>
      <c r="M7" s="283"/>
    </row>
    <row r="8" spans="1:13" ht="15.75" customHeight="1">
      <c r="A8" s="687"/>
      <c r="B8" s="1" t="s">
        <v>801</v>
      </c>
      <c r="C8" s="3"/>
      <c r="E8" s="58"/>
      <c r="F8" s="737"/>
      <c r="H8" s="344"/>
      <c r="I8" s="283"/>
      <c r="J8" s="342"/>
      <c r="K8" s="342"/>
      <c r="L8" s="688"/>
      <c r="M8" s="283"/>
    </row>
    <row r="9" spans="1:13" ht="15.75" customHeight="1">
      <c r="A9" s="448">
        <v>1</v>
      </c>
      <c r="B9" s="2"/>
      <c r="C9" s="3" t="s">
        <v>754</v>
      </c>
      <c r="D9" s="689"/>
      <c r="E9" s="2"/>
      <c r="F9" s="737" t="s">
        <v>600</v>
      </c>
      <c r="H9" s="1053">
        <v>10592938</v>
      </c>
      <c r="I9" s="472"/>
      <c r="J9" s="1054">
        <f>H9</f>
        <v>10592938</v>
      </c>
      <c r="K9" s="1054">
        <v>0</v>
      </c>
      <c r="L9" s="1402">
        <f>K9</f>
        <v>0</v>
      </c>
      <c r="M9" s="283"/>
    </row>
    <row r="10" spans="1:13">
      <c r="A10" s="448">
        <f>+A9+1</f>
        <v>2</v>
      </c>
      <c r="B10" s="2"/>
      <c r="C10" s="3" t="s">
        <v>755</v>
      </c>
      <c r="E10" s="2"/>
      <c r="F10" s="738" t="s">
        <v>601</v>
      </c>
      <c r="H10" s="1053">
        <v>157303714</v>
      </c>
      <c r="I10" s="283"/>
      <c r="J10" s="1054">
        <f>H10</f>
        <v>157303714</v>
      </c>
      <c r="K10" s="1054">
        <v>0</v>
      </c>
      <c r="L10" s="1402">
        <f>K10</f>
        <v>0</v>
      </c>
      <c r="M10" s="283"/>
    </row>
    <row r="11" spans="1:13" ht="15.75" customHeight="1">
      <c r="A11" s="448">
        <f>+A10+1</f>
        <v>3</v>
      </c>
      <c r="B11" s="2"/>
      <c r="C11" s="3" t="s">
        <v>796</v>
      </c>
      <c r="E11" s="2"/>
      <c r="F11" s="738" t="s">
        <v>602</v>
      </c>
      <c r="H11" s="1053">
        <v>45240547</v>
      </c>
      <c r="I11" s="283"/>
      <c r="J11" s="1054">
        <f>H11</f>
        <v>45240547</v>
      </c>
      <c r="K11" s="1054">
        <v>0.01</v>
      </c>
      <c r="L11" s="1402">
        <f>K11</f>
        <v>0.01</v>
      </c>
      <c r="M11" s="283"/>
    </row>
    <row r="12" spans="1:13" ht="15.75" customHeight="1">
      <c r="A12" s="448">
        <f>+A11+1</f>
        <v>4</v>
      </c>
      <c r="B12" s="2"/>
      <c r="C12" s="9" t="s">
        <v>847</v>
      </c>
      <c r="D12" s="256"/>
      <c r="E12" s="258"/>
      <c r="F12" s="741" t="str">
        <f>"(Line "&amp;A10&amp;" - "&amp;A11&amp;")"</f>
        <v>(Line 2 - 3)</v>
      </c>
      <c r="G12" s="734"/>
      <c r="H12" s="762">
        <f>+H10-H11</f>
        <v>112063167</v>
      </c>
      <c r="I12" s="763"/>
      <c r="J12" s="762">
        <f>+J10-J11</f>
        <v>112063167</v>
      </c>
      <c r="K12" s="762">
        <f>+K10-K11</f>
        <v>-0.01</v>
      </c>
      <c r="L12" s="690">
        <f>+L10-L11</f>
        <v>-0.01</v>
      </c>
      <c r="M12" s="283"/>
    </row>
    <row r="13" spans="1:13" ht="32.25" customHeight="1" thickBot="1">
      <c r="A13" s="448">
        <v>5</v>
      </c>
      <c r="B13" s="6" t="s">
        <v>822</v>
      </c>
      <c r="C13" s="6"/>
      <c r="D13" s="14"/>
      <c r="E13" s="255"/>
      <c r="F13" s="760" t="str">
        <f>"(Line "&amp;A9&amp;" / "&amp;A12&amp;")"</f>
        <v>(Line 1 / 4)</v>
      </c>
      <c r="G13" s="761"/>
      <c r="H13" s="343">
        <f>+H9/H12</f>
        <v>9.4526491474223637E-2</v>
      </c>
      <c r="I13" s="765"/>
      <c r="J13" s="343">
        <f>+J9/J12</f>
        <v>9.4526491474223637E-2</v>
      </c>
      <c r="K13" s="343">
        <f>+K9/K12</f>
        <v>0</v>
      </c>
      <c r="L13" s="691">
        <f>+L9/L12</f>
        <v>0</v>
      </c>
      <c r="M13" s="283"/>
    </row>
    <row r="14" spans="1:13" ht="16.5" customHeight="1" thickTop="1">
      <c r="A14" s="448"/>
      <c r="B14" s="2"/>
      <c r="C14" s="1"/>
      <c r="E14" s="58"/>
      <c r="F14" s="738"/>
      <c r="H14" s="649"/>
      <c r="I14" s="283"/>
      <c r="J14" s="342"/>
      <c r="K14" s="342"/>
      <c r="L14" s="688"/>
      <c r="M14" s="283"/>
    </row>
    <row r="15" spans="1:13" ht="15.75" customHeight="1">
      <c r="A15" s="448"/>
      <c r="B15" s="1" t="s">
        <v>838</v>
      </c>
      <c r="C15" s="3"/>
      <c r="E15" s="2"/>
      <c r="F15" s="738"/>
      <c r="H15" s="592"/>
      <c r="I15" s="283"/>
      <c r="J15" s="342"/>
      <c r="K15" s="342"/>
      <c r="L15" s="688"/>
      <c r="M15" s="283"/>
    </row>
    <row r="16" spans="1:13" ht="15.75" customHeight="1">
      <c r="A16" s="448">
        <f>+A13+1</f>
        <v>6</v>
      </c>
      <c r="C16" s="13" t="s">
        <v>855</v>
      </c>
      <c r="D16" s="13"/>
      <c r="E16" s="36" t="str">
        <f>"(Note "&amp;B$298&amp;")"</f>
        <v>(Note B)</v>
      </c>
      <c r="F16" s="740" t="s">
        <v>664</v>
      </c>
      <c r="G16" s="81"/>
      <c r="H16" s="353">
        <f>'5 - Cost Support'!F28</f>
        <v>14319898952.384615</v>
      </c>
      <c r="I16" s="675"/>
      <c r="J16" s="730">
        <f>H16</f>
        <v>14319898952.384615</v>
      </c>
      <c r="K16" s="730">
        <f>J16</f>
        <v>14319898952.384615</v>
      </c>
      <c r="L16" s="731">
        <f>K16</f>
        <v>14319898952.384615</v>
      </c>
      <c r="M16" s="283"/>
    </row>
    <row r="17" spans="1:13" ht="15.75" customHeight="1">
      <c r="A17" s="448">
        <f>+A16+1</f>
        <v>7</v>
      </c>
      <c r="C17" s="3" t="s">
        <v>800</v>
      </c>
      <c r="D17" s="214"/>
      <c r="E17" s="2"/>
      <c r="F17" s="737" t="str">
        <f>"(Sum Line "&amp;A16&amp;")"</f>
        <v>(Sum Line 6)</v>
      </c>
      <c r="H17" s="344">
        <f>SUM(H16:H16)</f>
        <v>14319898952.384615</v>
      </c>
      <c r="I17" s="283"/>
      <c r="J17" s="344">
        <f>SUM(J16:J16)</f>
        <v>14319898952.384615</v>
      </c>
      <c r="K17" s="344">
        <f>SUM(K16:K16)</f>
        <v>14319898952.384615</v>
      </c>
      <c r="L17" s="694">
        <f>SUM(L16:L16)</f>
        <v>14319898952.384615</v>
      </c>
      <c r="M17" s="283"/>
    </row>
    <row r="18" spans="1:13" ht="15.75" customHeight="1">
      <c r="A18" s="448">
        <f>+A17+1</f>
        <v>8</v>
      </c>
      <c r="C18" s="3" t="s">
        <v>752</v>
      </c>
      <c r="E18" s="2"/>
      <c r="F18" s="738" t="s">
        <v>664</v>
      </c>
      <c r="H18" s="344">
        <f>+'5 - Cost Support'!F59</f>
        <v>5907654363.0215387</v>
      </c>
      <c r="I18" s="283"/>
      <c r="J18" s="354">
        <f>H18</f>
        <v>5907654363.0215387</v>
      </c>
      <c r="K18" s="354">
        <f>J18</f>
        <v>5907654363.0215387</v>
      </c>
      <c r="L18" s="692">
        <f>K18</f>
        <v>5907654363.0215387</v>
      </c>
      <c r="M18" s="283"/>
    </row>
    <row r="19" spans="1:13" ht="15.75" customHeight="1">
      <c r="A19" s="448">
        <f>+A18+1</f>
        <v>9</v>
      </c>
      <c r="C19" s="9" t="s">
        <v>799</v>
      </c>
      <c r="D19" s="9"/>
      <c r="E19" s="29"/>
      <c r="F19" s="741" t="str">
        <f>"(Line "&amp;A18&amp;")"</f>
        <v>(Line 8)</v>
      </c>
      <c r="G19" s="332"/>
      <c r="H19" s="732">
        <f>SUM(H18:H18)</f>
        <v>5907654363.0215387</v>
      </c>
      <c r="I19" s="733"/>
      <c r="J19" s="732">
        <f>SUM(J18:J18)</f>
        <v>5907654363.0215387</v>
      </c>
      <c r="K19" s="732">
        <f>SUM(K18:K18)</f>
        <v>5907654363.0215387</v>
      </c>
      <c r="L19" s="690">
        <f>SUM(L18:L18)</f>
        <v>5907654363.0215387</v>
      </c>
      <c r="M19" s="1136"/>
    </row>
    <row r="20" spans="1:13" ht="15.75" customHeight="1">
      <c r="A20" s="448">
        <f>+A19+1</f>
        <v>10</v>
      </c>
      <c r="C20" s="9" t="s">
        <v>832</v>
      </c>
      <c r="D20" s="9"/>
      <c r="E20" s="29"/>
      <c r="F20" s="737" t="str">
        <f>"(Line "&amp;A17&amp;" - "&amp;A19&amp;")"</f>
        <v>(Line 7 - 9)</v>
      </c>
      <c r="H20" s="344">
        <f>+H17-H19</f>
        <v>8412244589.3630762</v>
      </c>
      <c r="I20" s="283"/>
      <c r="J20" s="344">
        <f>+J17-J19</f>
        <v>8412244589.3630762</v>
      </c>
      <c r="K20" s="344">
        <f>+K17-K19</f>
        <v>8412244589.3630762</v>
      </c>
      <c r="L20" s="690">
        <f>+L17-L19</f>
        <v>8412244589.3630762</v>
      </c>
      <c r="M20" s="1136"/>
    </row>
    <row r="21" spans="1:13" ht="15.75" customHeight="1">
      <c r="A21" s="448"/>
      <c r="C21" s="3"/>
      <c r="E21" s="2"/>
      <c r="F21" s="738"/>
      <c r="H21" s="592"/>
      <c r="I21" s="283"/>
      <c r="J21" s="341"/>
      <c r="K21" s="341"/>
      <c r="L21" s="693"/>
      <c r="M21" s="1136"/>
    </row>
    <row r="22" spans="1:13" ht="15.75" customHeight="1">
      <c r="A22" s="448">
        <f>+A20+1</f>
        <v>11</v>
      </c>
      <c r="C22" s="3" t="s">
        <v>797</v>
      </c>
      <c r="D22" s="214"/>
      <c r="E22" s="2"/>
      <c r="F22" s="742" t="str">
        <f>"(Line "&amp;A43&amp;")"</f>
        <v>(Line 25)</v>
      </c>
      <c r="H22" s="344">
        <f>+H43</f>
        <v>2542248615.7699976</v>
      </c>
      <c r="I22" s="283"/>
      <c r="J22" s="344">
        <f>+J43-J78</f>
        <v>2338350138.0776901</v>
      </c>
      <c r="K22" s="815">
        <f>+K43-K78</f>
        <v>99258153.84615384</v>
      </c>
      <c r="L22" s="694">
        <f>+L43-L78</f>
        <v>95013153.84615384</v>
      </c>
      <c r="M22" s="1136"/>
    </row>
    <row r="23" spans="1:13" ht="16.5" customHeight="1" thickBot="1">
      <c r="A23" s="448">
        <f>+A22+1</f>
        <v>12</v>
      </c>
      <c r="B23" s="6" t="s">
        <v>740</v>
      </c>
      <c r="C23" s="6"/>
      <c r="D23" s="14"/>
      <c r="E23" s="30"/>
      <c r="F23" s="739" t="str">
        <f>"(Line "&amp;A22&amp;" / "&amp;A17&amp;")"</f>
        <v>(Line 11 / 7)</v>
      </c>
      <c r="G23" s="735"/>
      <c r="H23" s="343">
        <f>+H22/(H17)</f>
        <v>0.17753258065739708</v>
      </c>
      <c r="I23" s="765"/>
      <c r="J23" s="343">
        <f>+J22/(J17)</f>
        <v>0.16329375967337376</v>
      </c>
      <c r="K23" s="343">
        <f>+K22/(K17)</f>
        <v>6.9314842357616584E-3</v>
      </c>
      <c r="L23" s="691">
        <f>+L22/(L17)</f>
        <v>6.6350435964725729E-3</v>
      </c>
      <c r="M23" s="1136"/>
    </row>
    <row r="24" spans="1:13" ht="16.5" customHeight="1" thickTop="1">
      <c r="A24" s="448"/>
      <c r="C24" s="3"/>
      <c r="E24" s="2"/>
      <c r="F24" s="738"/>
      <c r="H24" s="592"/>
      <c r="I24" s="283"/>
      <c r="J24" s="341"/>
      <c r="K24" s="341"/>
      <c r="L24" s="693"/>
    </row>
    <row r="25" spans="1:13" ht="15.75" customHeight="1">
      <c r="A25" s="448">
        <f>+A23+1</f>
        <v>13</v>
      </c>
      <c r="B25" s="2"/>
      <c r="C25" s="3" t="s">
        <v>798</v>
      </c>
      <c r="E25" s="58"/>
      <c r="F25" s="742" t="str">
        <f>"(Line "&amp;A61&amp;"-44)"</f>
        <v>(Line 37-44)</v>
      </c>
      <c r="H25" s="344">
        <f>+H61-H78</f>
        <v>1721377933.886862</v>
      </c>
      <c r="I25" s="283"/>
      <c r="J25" s="344">
        <f>+J61-J78</f>
        <v>1660693395.4253237</v>
      </c>
      <c r="K25" s="344">
        <f>+K61-K78</f>
        <v>19892923.076923072</v>
      </c>
      <c r="L25" s="694">
        <f>+L61-L78</f>
        <v>40791615.384615384</v>
      </c>
    </row>
    <row r="26" spans="1:13" ht="16.5" customHeight="1" thickBot="1">
      <c r="A26" s="448">
        <f>+A25+1</f>
        <v>14</v>
      </c>
      <c r="B26" s="6" t="s">
        <v>833</v>
      </c>
      <c r="C26" s="6"/>
      <c r="D26" s="14"/>
      <c r="E26" s="30"/>
      <c r="F26" s="739" t="str">
        <f>"(Line "&amp;A25&amp;" / "&amp;A20&amp;")"</f>
        <v>(Line 13 / 10)</v>
      </c>
      <c r="G26" s="735"/>
      <c r="H26" s="343">
        <f>+H25/H20</f>
        <v>0.20462766097688967</v>
      </c>
      <c r="I26" s="765"/>
      <c r="J26" s="343">
        <f>+J25/J20</f>
        <v>0.19741382668844407</v>
      </c>
      <c r="K26" s="343">
        <f>+K25/K20</f>
        <v>2.3647580459175929E-3</v>
      </c>
      <c r="L26" s="691">
        <f>+L25/L20</f>
        <v>4.849076242528021E-3</v>
      </c>
    </row>
    <row r="27" spans="1:13" ht="16.5" customHeight="1" thickTop="1">
      <c r="A27" s="695"/>
      <c r="B27" s="2"/>
      <c r="C27" s="1"/>
      <c r="E27" s="58"/>
      <c r="F27" s="738"/>
      <c r="H27" s="356"/>
      <c r="I27" s="283"/>
      <c r="J27" s="764"/>
      <c r="K27" s="342"/>
      <c r="L27" s="688"/>
      <c r="M27" s="283"/>
    </row>
    <row r="28" spans="1:13" ht="15.75" customHeight="1">
      <c r="A28" s="696" t="s">
        <v>831</v>
      </c>
      <c r="B28" s="10"/>
      <c r="C28" s="16"/>
      <c r="D28" s="16"/>
      <c r="E28" s="254"/>
      <c r="F28" s="743"/>
      <c r="G28" s="16"/>
      <c r="H28" s="650"/>
      <c r="I28" s="697"/>
      <c r="J28" s="345"/>
      <c r="K28" s="345"/>
      <c r="L28" s="698"/>
      <c r="M28" s="283"/>
    </row>
    <row r="29" spans="1:13" ht="15.75" customHeight="1">
      <c r="A29" s="699"/>
      <c r="B29" s="17"/>
      <c r="C29" s="3"/>
      <c r="E29" s="32"/>
      <c r="F29" s="738"/>
      <c r="G29" s="3"/>
      <c r="H29" s="651"/>
      <c r="I29" s="283"/>
      <c r="J29" s="341"/>
      <c r="K29" s="341"/>
      <c r="L29" s="693"/>
      <c r="M29" s="283"/>
    </row>
    <row r="30" spans="1:13" ht="15.75" customHeight="1">
      <c r="A30" s="448"/>
      <c r="B30" s="1" t="str">
        <f>"Plant In Service  (Note "&amp;B311&amp;")"</f>
        <v>Plant In Service  (Note O)</v>
      </c>
      <c r="C30" s="3"/>
      <c r="E30" s="58"/>
      <c r="F30" s="737"/>
      <c r="H30" s="344"/>
      <c r="I30" s="283"/>
      <c r="J30" s="341"/>
      <c r="K30" s="341"/>
      <c r="L30" s="693"/>
      <c r="M30" s="283"/>
    </row>
    <row r="31" spans="1:13" ht="15.75" customHeight="1">
      <c r="A31" s="448">
        <f>+A26+1</f>
        <v>15</v>
      </c>
      <c r="B31" s="2"/>
      <c r="C31" s="3" t="s">
        <v>826</v>
      </c>
      <c r="E31" s="34" t="str">
        <f>"(Note "&amp;B$298&amp;")"</f>
        <v>(Note B)</v>
      </c>
      <c r="F31" s="737" t="s">
        <v>664</v>
      </c>
      <c r="H31" s="344">
        <f>'5 - Cost Support'!F9</f>
        <v>2348590615.3846149</v>
      </c>
      <c r="I31" s="283"/>
      <c r="J31" s="341">
        <f>'5 - Cost Support'!G9</f>
        <v>2154319307.6923075</v>
      </c>
      <c r="K31" s="341">
        <f>'5 - Cost Support'!H9</f>
        <v>99258153.84615384</v>
      </c>
      <c r="L31" s="693">
        <f>'5 - Cost Support'!I9</f>
        <v>95013153.84615384</v>
      </c>
      <c r="M31" s="283"/>
    </row>
    <row r="32" spans="1:13" ht="15.75" customHeight="1">
      <c r="A32" s="448">
        <f>+A31+1</f>
        <v>16</v>
      </c>
      <c r="B32" s="2"/>
      <c r="C32" s="13" t="s">
        <v>642</v>
      </c>
      <c r="D32" s="13"/>
      <c r="E32" s="28"/>
      <c r="F32" s="745" t="s">
        <v>662</v>
      </c>
      <c r="G32" s="81"/>
      <c r="H32" s="353">
        <f>SUM(J32:L32)</f>
        <v>47258489.352392845</v>
      </c>
      <c r="I32" s="675"/>
      <c r="J32" s="363">
        <f>'6 - Est and True up'!J178</f>
        <v>47258489.352392845</v>
      </c>
      <c r="K32" s="363">
        <v>0</v>
      </c>
      <c r="L32" s="700">
        <v>0</v>
      </c>
      <c r="M32" s="679"/>
    </row>
    <row r="33" spans="1:13" ht="15.75" customHeight="1">
      <c r="A33" s="448">
        <f>+A32+1</f>
        <v>17</v>
      </c>
      <c r="B33" s="2"/>
      <c r="C33" s="1" t="s">
        <v>641</v>
      </c>
      <c r="E33" s="34"/>
      <c r="F33" s="737" t="str">
        <f>"(Line "&amp;A31&amp;" + "&amp;A32&amp;")"</f>
        <v>(Line 15 + 16)</v>
      </c>
      <c r="H33" s="354">
        <f>+H31+H32</f>
        <v>2395849104.7370076</v>
      </c>
      <c r="I33" s="283"/>
      <c r="J33" s="354">
        <f>+J31+J32</f>
        <v>2201577797.0447001</v>
      </c>
      <c r="K33" s="354">
        <f>+K31+K32</f>
        <v>99258153.84615384</v>
      </c>
      <c r="L33" s="692">
        <f>+L31+L32</f>
        <v>95013153.84615384</v>
      </c>
      <c r="M33" s="283"/>
    </row>
    <row r="34" spans="1:13" ht="15.75" customHeight="1">
      <c r="A34" s="448"/>
      <c r="B34" s="2"/>
      <c r="C34" s="1"/>
      <c r="E34" s="34"/>
      <c r="F34" s="737"/>
      <c r="H34" s="354"/>
      <c r="I34" s="283"/>
      <c r="J34" s="341"/>
      <c r="K34" s="341"/>
      <c r="L34" s="693"/>
      <c r="M34" s="283"/>
    </row>
    <row r="35" spans="1:13" ht="15.75" customHeight="1">
      <c r="A35" s="448">
        <f>+A33+1</f>
        <v>18</v>
      </c>
      <c r="B35" s="2"/>
      <c r="C35" s="3" t="s">
        <v>254</v>
      </c>
      <c r="E35" s="34"/>
      <c r="F35" s="737" t="s">
        <v>664</v>
      </c>
      <c r="H35" s="344">
        <f>J35</f>
        <v>721129932.2888999</v>
      </c>
      <c r="I35" s="283"/>
      <c r="J35" s="341">
        <f>'5 - Cost Support'!H31</f>
        <v>721129932.2888999</v>
      </c>
      <c r="K35" s="341">
        <f>J35</f>
        <v>721129932.2888999</v>
      </c>
      <c r="L35" s="693">
        <f>K35</f>
        <v>721129932.2888999</v>
      </c>
      <c r="M35" s="283"/>
    </row>
    <row r="36" spans="1:13" ht="15.75" customHeight="1">
      <c r="A36" s="448">
        <f>A35+1</f>
        <v>19</v>
      </c>
      <c r="B36" s="2"/>
      <c r="C36" s="13" t="s">
        <v>207</v>
      </c>
      <c r="D36" s="13"/>
      <c r="E36" s="36"/>
      <c r="F36" s="742"/>
      <c r="G36" s="81"/>
      <c r="H36" s="1243">
        <v>0.11206349027925025</v>
      </c>
      <c r="I36" s="675"/>
      <c r="J36" s="1243">
        <v>0.11206349027925025</v>
      </c>
      <c r="K36" s="858"/>
      <c r="L36" s="859"/>
      <c r="M36" s="283"/>
    </row>
    <row r="37" spans="1:13" ht="15.75" customHeight="1">
      <c r="A37" s="448">
        <f>A36+1</f>
        <v>20</v>
      </c>
      <c r="B37" s="2"/>
      <c r="C37" s="3" t="s">
        <v>208</v>
      </c>
      <c r="E37" s="34"/>
      <c r="F37" s="737"/>
      <c r="H37" s="344">
        <f>H35*H36</f>
        <v>80812337.15713352</v>
      </c>
      <c r="I37" s="283"/>
      <c r="J37" s="344">
        <f>J35*J36</f>
        <v>80812337.15713352</v>
      </c>
      <c r="K37" s="344">
        <f>K35*K36</f>
        <v>0</v>
      </c>
      <c r="L37" s="694">
        <f>L35*L36</f>
        <v>0</v>
      </c>
      <c r="M37" s="283"/>
    </row>
    <row r="38" spans="1:13" ht="15.75" customHeight="1">
      <c r="A38" s="448">
        <f>A37+1</f>
        <v>21</v>
      </c>
      <c r="B38" s="2"/>
      <c r="C38" s="3" t="s">
        <v>825</v>
      </c>
      <c r="E38" s="2"/>
      <c r="F38" s="742" t="s">
        <v>664</v>
      </c>
      <c r="G38" s="81"/>
      <c r="H38" s="353">
        <f>+'5 - Cost Support'!F20+'5 - Cost Support'!F16</f>
        <v>693849659</v>
      </c>
      <c r="I38" s="675"/>
      <c r="J38" s="363">
        <f>$H$38</f>
        <v>693849659</v>
      </c>
      <c r="K38" s="363">
        <f>$H$38</f>
        <v>693849659</v>
      </c>
      <c r="L38" s="700">
        <f>$H$38</f>
        <v>693849659</v>
      </c>
      <c r="M38" s="283"/>
    </row>
    <row r="39" spans="1:13" ht="15.75" customHeight="1">
      <c r="A39" s="448">
        <f>+A38+1</f>
        <v>22</v>
      </c>
      <c r="B39" s="2"/>
      <c r="C39" s="9" t="s">
        <v>356</v>
      </c>
      <c r="D39" s="9"/>
      <c r="E39" s="29"/>
      <c r="F39" s="737" t="str">
        <f>"(Line"&amp;A38&amp;")"</f>
        <v>(Line21)</v>
      </c>
      <c r="H39" s="344">
        <f>+H38</f>
        <v>693849659</v>
      </c>
      <c r="I39" s="283"/>
      <c r="J39" s="344">
        <f>+J38</f>
        <v>693849659</v>
      </c>
      <c r="K39" s="344">
        <f>+K38</f>
        <v>693849659</v>
      </c>
      <c r="L39" s="694">
        <f>+L38</f>
        <v>693849659</v>
      </c>
      <c r="M39" s="283"/>
    </row>
    <row r="40" spans="1:13" ht="15.75" customHeight="1">
      <c r="A40" s="448">
        <f>+A39+1</f>
        <v>23</v>
      </c>
      <c r="B40" s="2"/>
      <c r="C40" s="7" t="s">
        <v>839</v>
      </c>
      <c r="E40" s="58"/>
      <c r="F40" s="742" t="str">
        <f>"(Line "&amp;A$13&amp;")"</f>
        <v>(Line 5)</v>
      </c>
      <c r="G40" s="81"/>
      <c r="H40" s="766">
        <f>+H13</f>
        <v>9.4526491474223637E-2</v>
      </c>
      <c r="I40" s="675"/>
      <c r="J40" s="506">
        <f>+$J$13</f>
        <v>9.4526491474223637E-2</v>
      </c>
      <c r="K40" s="506">
        <v>0</v>
      </c>
      <c r="L40" s="701">
        <v>0</v>
      </c>
      <c r="M40" s="283"/>
    </row>
    <row r="41" spans="1:13" ht="15.75" customHeight="1">
      <c r="A41" s="448">
        <f>+A40+1</f>
        <v>24</v>
      </c>
      <c r="C41" s="4" t="s">
        <v>360</v>
      </c>
      <c r="D41" s="9"/>
      <c r="E41" s="258"/>
      <c r="F41" s="737" t="str">
        <f>"(Line  + ("&amp;A39&amp;" * "&amp;A40&amp;"))"</f>
        <v>(Line  + (22 * 23))</v>
      </c>
      <c r="H41" s="354">
        <f>+H39*H40</f>
        <v>65587173.875856474</v>
      </c>
      <c r="I41" s="283"/>
      <c r="J41" s="354">
        <f>+J39*J40</f>
        <v>65587173.875856474</v>
      </c>
      <c r="K41" s="354">
        <f>+K39*K40</f>
        <v>0</v>
      </c>
      <c r="L41" s="702">
        <f>+L39*L40</f>
        <v>0</v>
      </c>
      <c r="M41" s="283"/>
    </row>
    <row r="42" spans="1:13" ht="15.75" customHeight="1">
      <c r="A42" s="448"/>
      <c r="C42" s="1"/>
      <c r="E42" s="2"/>
      <c r="F42" s="738"/>
      <c r="H42" s="344"/>
      <c r="I42" s="283"/>
      <c r="J42" s="341"/>
      <c r="K42" s="341"/>
      <c r="L42" s="693"/>
      <c r="M42" s="283"/>
    </row>
    <row r="43" spans="1:13" s="1" customFormat="1" ht="16.5" customHeight="1" thickBot="1">
      <c r="A43" s="448">
        <f>+A41+1</f>
        <v>25</v>
      </c>
      <c r="B43" s="6" t="s">
        <v>802</v>
      </c>
      <c r="C43" s="6"/>
      <c r="D43" s="6"/>
      <c r="E43" s="31"/>
      <c r="F43" s="746" t="str">
        <f>"(Line "&amp;A33&amp;" + "&amp;A37&amp;" + "&amp;A41&amp;")"</f>
        <v>(Line 17 + 20 + 24)</v>
      </c>
      <c r="G43" s="6"/>
      <c r="H43" s="347">
        <f>+H41+H33+H37</f>
        <v>2542248615.7699976</v>
      </c>
      <c r="I43" s="767"/>
      <c r="J43" s="347">
        <f>+J41+J33+J37</f>
        <v>2347977308.0776901</v>
      </c>
      <c r="K43" s="347">
        <f>+K41+K33+K37</f>
        <v>99258153.84615384</v>
      </c>
      <c r="L43" s="704">
        <f>+L41+L33+L37</f>
        <v>95013153.84615384</v>
      </c>
      <c r="M43" s="703"/>
    </row>
    <row r="44" spans="1:13" ht="16.5" customHeight="1" thickTop="1">
      <c r="A44" s="448"/>
      <c r="C44" s="3"/>
      <c r="E44" s="2"/>
      <c r="F44" s="738"/>
      <c r="H44" s="592"/>
      <c r="I44" s="283"/>
      <c r="J44" s="341"/>
      <c r="K44" s="341"/>
      <c r="L44" s="693"/>
      <c r="M44" s="283"/>
    </row>
    <row r="45" spans="1:13" ht="15.75" customHeight="1">
      <c r="A45" s="448"/>
      <c r="B45" s="1" t="s">
        <v>790</v>
      </c>
      <c r="C45" s="1"/>
      <c r="D45" s="214"/>
      <c r="E45" s="58"/>
      <c r="F45" s="737"/>
      <c r="H45" s="344"/>
      <c r="I45" s="283"/>
      <c r="J45" s="341"/>
      <c r="K45" s="341"/>
      <c r="L45" s="693"/>
      <c r="M45" s="283"/>
    </row>
    <row r="46" spans="1:13" ht="15.75" customHeight="1">
      <c r="A46" s="448"/>
      <c r="C46" s="3"/>
      <c r="E46" s="2"/>
      <c r="F46" s="737"/>
      <c r="H46" s="344"/>
      <c r="I46" s="283"/>
      <c r="J46" s="341"/>
      <c r="K46" s="341"/>
      <c r="L46" s="693"/>
      <c r="M46" s="283"/>
    </row>
    <row r="47" spans="1:13" ht="15.75" customHeight="1">
      <c r="A47" s="448">
        <f>+A43+1</f>
        <v>26</v>
      </c>
      <c r="B47" s="2"/>
      <c r="C47" s="13" t="s">
        <v>854</v>
      </c>
      <c r="D47" s="13"/>
      <c r="E47" s="36" t="str">
        <f>"(Note "&amp;B$298&amp;")"</f>
        <v>(Note B)</v>
      </c>
      <c r="F47" s="742" t="s">
        <v>664</v>
      </c>
      <c r="G47" s="81"/>
      <c r="H47" s="363">
        <f>'5 - Cost Support'!F38</f>
        <v>749454373.0215385</v>
      </c>
      <c r="I47" s="675"/>
      <c r="J47" s="363">
        <f>'5 - Cost Support'!G38</f>
        <v>615867603.79076934</v>
      </c>
      <c r="K47" s="363">
        <f>'5 - Cost Support'!H38</f>
        <v>79365230.769230768</v>
      </c>
      <c r="L47" s="700">
        <f>'5 - Cost Support'!I38</f>
        <v>54221538.461538456</v>
      </c>
      <c r="M47" s="283"/>
    </row>
    <row r="48" spans="1:13" ht="15.75" customHeight="1">
      <c r="A48" s="448">
        <f>A47+1</f>
        <v>27</v>
      </c>
      <c r="B48" s="2"/>
      <c r="C48" s="1" t="s">
        <v>280</v>
      </c>
      <c r="D48" s="34"/>
      <c r="F48" s="744" t="str">
        <f>"(Line "&amp;A47&amp;")"</f>
        <v>(Line 26)</v>
      </c>
      <c r="G48" s="3"/>
      <c r="H48" s="344">
        <f>+H47</f>
        <v>749454373.0215385</v>
      </c>
      <c r="I48" s="283"/>
      <c r="J48" s="344">
        <f>+J47</f>
        <v>615867603.79076934</v>
      </c>
      <c r="K48" s="344">
        <f>+K47</f>
        <v>79365230.769230768</v>
      </c>
      <c r="L48" s="694">
        <f>+L47</f>
        <v>54221538.461538456</v>
      </c>
      <c r="M48" s="283"/>
    </row>
    <row r="49" spans="1:13" ht="15.75" customHeight="1">
      <c r="A49" s="448"/>
      <c r="B49" s="2"/>
      <c r="C49" s="3"/>
      <c r="D49" s="34"/>
      <c r="F49" s="737"/>
      <c r="G49" s="3"/>
      <c r="H49" s="344"/>
      <c r="I49" s="283"/>
      <c r="J49" s="344"/>
      <c r="K49" s="344"/>
      <c r="L49" s="694"/>
      <c r="M49" s="283"/>
    </row>
    <row r="50" spans="1:13" ht="15.75" customHeight="1">
      <c r="A50" s="448">
        <f>A48+1</f>
        <v>28</v>
      </c>
      <c r="B50" s="2"/>
      <c r="C50" s="3" t="s">
        <v>255</v>
      </c>
      <c r="D50" s="34"/>
      <c r="E50" s="7"/>
      <c r="F50" s="737" t="s">
        <v>664</v>
      </c>
      <c r="G50" s="3"/>
      <c r="H50" s="341">
        <f>'5 - Cost Support'!$H$62</f>
        <v>294490604.13089997</v>
      </c>
      <c r="I50" s="283"/>
      <c r="J50" s="341">
        <f>'5 - Cost Support'!$H$62</f>
        <v>294490604.13089997</v>
      </c>
      <c r="K50" s="341"/>
      <c r="L50" s="693"/>
      <c r="M50" s="283"/>
    </row>
    <row r="51" spans="1:13" ht="15.75" customHeight="1">
      <c r="A51" s="448">
        <f>A50+1</f>
        <v>29</v>
      </c>
      <c r="B51" s="2"/>
      <c r="C51" s="13" t="s">
        <v>207</v>
      </c>
      <c r="D51" s="36"/>
      <c r="E51" s="12"/>
      <c r="F51" s="742"/>
      <c r="G51" s="13"/>
      <c r="H51" s="1396">
        <v>0.11695007563942232</v>
      </c>
      <c r="I51" s="675"/>
      <c r="J51" s="1396">
        <v>0.11695007563942232</v>
      </c>
      <c r="K51" s="363"/>
      <c r="L51" s="700"/>
      <c r="M51" s="283"/>
    </row>
    <row r="52" spans="1:13" ht="15.75" customHeight="1">
      <c r="A52" s="448">
        <f>A51+1</f>
        <v>30</v>
      </c>
      <c r="B52" s="2"/>
      <c r="C52" s="3" t="s">
        <v>208</v>
      </c>
      <c r="D52" s="34"/>
      <c r="E52" s="7"/>
      <c r="F52" s="737"/>
      <c r="G52" s="3"/>
      <c r="H52" s="341">
        <f>H50*H51</f>
        <v>34440698.428207926</v>
      </c>
      <c r="I52" s="283"/>
      <c r="J52" s="341">
        <f>J50*J51</f>
        <v>34440698.428207926</v>
      </c>
      <c r="K52" s="341"/>
      <c r="L52" s="693"/>
      <c r="M52" s="283"/>
    </row>
    <row r="53" spans="1:13" ht="15.75" customHeight="1">
      <c r="A53" s="448">
        <f>+A52+1</f>
        <v>31</v>
      </c>
      <c r="B53" s="2"/>
      <c r="C53" s="3" t="s">
        <v>911</v>
      </c>
      <c r="E53" s="2"/>
      <c r="F53" s="737" t="s">
        <v>664</v>
      </c>
      <c r="H53" s="344">
        <f>+'5 - Cost Support'!F51</f>
        <v>250412291</v>
      </c>
      <c r="I53" s="283"/>
      <c r="J53" s="341">
        <f>$H$53</f>
        <v>250412291</v>
      </c>
      <c r="K53" s="341">
        <f>$H$53</f>
        <v>250412291</v>
      </c>
      <c r="L53" s="693">
        <f>$H$53</f>
        <v>250412291</v>
      </c>
      <c r="M53" s="283"/>
    </row>
    <row r="54" spans="1:13" ht="15.75" customHeight="1">
      <c r="A54" s="448">
        <f>+A53+1</f>
        <v>32</v>
      </c>
      <c r="B54" s="2"/>
      <c r="C54" s="13" t="s">
        <v>277</v>
      </c>
      <c r="D54" s="13"/>
      <c r="E54" s="28"/>
      <c r="F54" s="742" t="s">
        <v>664</v>
      </c>
      <c r="G54" s="81"/>
      <c r="H54" s="353">
        <f>+'5 - Cost Support'!F47</f>
        <v>38908089</v>
      </c>
      <c r="I54" s="675"/>
      <c r="J54" s="363">
        <f>$H$54</f>
        <v>38908089</v>
      </c>
      <c r="K54" s="363">
        <f>$H$54</f>
        <v>38908089</v>
      </c>
      <c r="L54" s="700">
        <f>$H$54</f>
        <v>38908089</v>
      </c>
      <c r="M54" s="283"/>
    </row>
    <row r="55" spans="1:13" ht="15.75" customHeight="1">
      <c r="A55" s="448">
        <f>+A54+1</f>
        <v>33</v>
      </c>
      <c r="B55" s="2"/>
      <c r="C55" s="3" t="s">
        <v>799</v>
      </c>
      <c r="E55" s="58"/>
      <c r="F55" s="737" t="str">
        <f>"(Sum Lines "&amp;A53&amp;" to "&amp;A54&amp;")"</f>
        <v>(Sum Lines 31 to 32)</v>
      </c>
      <c r="H55" s="344">
        <f>SUM(H53:H54)</f>
        <v>289320380</v>
      </c>
      <c r="I55" s="283"/>
      <c r="J55" s="344">
        <f>SUM(J53:J54)</f>
        <v>289320380</v>
      </c>
      <c r="K55" s="344">
        <f>SUM(K53:K54)</f>
        <v>289320380</v>
      </c>
      <c r="L55" s="694">
        <f>SUM(L53:L54)</f>
        <v>289320380</v>
      </c>
      <c r="M55" s="283"/>
    </row>
    <row r="56" spans="1:13" ht="15.75" customHeight="1">
      <c r="A56" s="448">
        <f>+A55+1</f>
        <v>34</v>
      </c>
      <c r="B56" s="2"/>
      <c r="C56" s="3" t="str">
        <f>+C40</f>
        <v>Wage &amp; Salary Allocation Factor</v>
      </c>
      <c r="E56" s="58"/>
      <c r="F56" s="742" t="str">
        <f>"(Line "&amp;A$13&amp;")"</f>
        <v>(Line 5)</v>
      </c>
      <c r="G56" s="81"/>
      <c r="H56" s="506">
        <f>+H13</f>
        <v>9.4526491474223637E-2</v>
      </c>
      <c r="I56" s="675"/>
      <c r="J56" s="506">
        <f>+$J$13</f>
        <v>9.4526491474223637E-2</v>
      </c>
      <c r="K56" s="506">
        <v>0</v>
      </c>
      <c r="L56" s="706">
        <v>0</v>
      </c>
      <c r="M56" s="283"/>
    </row>
    <row r="57" spans="1:13" ht="15.75" customHeight="1">
      <c r="A57" s="448">
        <f>+A56+1</f>
        <v>35</v>
      </c>
      <c r="C57" s="4" t="s">
        <v>357</v>
      </c>
      <c r="D57" s="9"/>
      <c r="E57" s="29"/>
      <c r="F57" s="737" t="str">
        <f>"(Line "&amp;A55&amp;" * "&amp;A56&amp;")"</f>
        <v>(Line 33 * 34)</v>
      </c>
      <c r="H57" s="354">
        <f>+H56*H55</f>
        <v>27348440.433389142</v>
      </c>
      <c r="I57" s="283"/>
      <c r="J57" s="354">
        <f>+J56*J55</f>
        <v>27348440.433389142</v>
      </c>
      <c r="K57" s="346">
        <f>+K56*K55</f>
        <v>0</v>
      </c>
      <c r="L57" s="702">
        <f>+L56*L55</f>
        <v>0</v>
      </c>
      <c r="M57" s="283"/>
    </row>
    <row r="58" spans="1:13" ht="15.75" customHeight="1">
      <c r="A58" s="448"/>
      <c r="C58" s="3"/>
      <c r="E58" s="2"/>
      <c r="F58" s="738"/>
      <c r="H58" s="652"/>
      <c r="I58" s="283"/>
      <c r="J58" s="341"/>
      <c r="K58" s="341"/>
      <c r="L58" s="693"/>
      <c r="M58" s="283"/>
    </row>
    <row r="59" spans="1:13" ht="16.5" customHeight="1" thickBot="1">
      <c r="A59" s="448">
        <f>+A57+1</f>
        <v>36</v>
      </c>
      <c r="B59" s="6" t="s">
        <v>827</v>
      </c>
      <c r="C59" s="6"/>
      <c r="D59" s="6"/>
      <c r="E59" s="31"/>
      <c r="F59" s="746" t="str">
        <f>"(Line "&amp;A48&amp;" + "&amp;A57&amp;")"</f>
        <v>(Line 27 + 35)</v>
      </c>
      <c r="G59" s="768"/>
      <c r="H59" s="347">
        <f>+H57+H48+H52</f>
        <v>811243511.88313556</v>
      </c>
      <c r="I59" s="765"/>
      <c r="J59" s="347">
        <f>+J57+J48+J52</f>
        <v>677656742.6523664</v>
      </c>
      <c r="K59" s="347">
        <f>+K57+K48+K52</f>
        <v>79365230.769230768</v>
      </c>
      <c r="L59" s="704">
        <f>+L57+L48+L52</f>
        <v>54221538.461538456</v>
      </c>
      <c r="M59" s="283"/>
    </row>
    <row r="60" spans="1:13" ht="16.5" customHeight="1" thickTop="1">
      <c r="A60" s="448"/>
      <c r="C60" s="3"/>
      <c r="E60" s="2"/>
      <c r="F60" s="738"/>
      <c r="H60" s="344"/>
      <c r="I60" s="283"/>
      <c r="J60" s="344"/>
      <c r="K60" s="592"/>
      <c r="L60" s="707"/>
      <c r="M60" s="283"/>
    </row>
    <row r="61" spans="1:13" ht="16.5" customHeight="1" thickBot="1">
      <c r="A61" s="448">
        <f>+A59+1</f>
        <v>37</v>
      </c>
      <c r="B61" s="6" t="s">
        <v>829</v>
      </c>
      <c r="C61" s="6"/>
      <c r="D61" s="6"/>
      <c r="E61" s="31"/>
      <c r="F61" s="746" t="str">
        <f>"(Line "&amp;A43&amp;" - "&amp;A59&amp;")"</f>
        <v>(Line 25 - 36)</v>
      </c>
      <c r="G61" s="768"/>
      <c r="H61" s="347">
        <f>+H43-H59</f>
        <v>1731005103.886862</v>
      </c>
      <c r="I61" s="765"/>
      <c r="J61" s="347">
        <f>+J43-J59</f>
        <v>1670320565.4253237</v>
      </c>
      <c r="K61" s="347">
        <f>+K43-K59</f>
        <v>19892923.076923072</v>
      </c>
      <c r="L61" s="704">
        <f>+L43-L59</f>
        <v>40791615.384615384</v>
      </c>
      <c r="M61" s="283"/>
    </row>
    <row r="62" spans="1:13" ht="16.5" customHeight="1" thickTop="1">
      <c r="A62" s="448"/>
      <c r="C62" s="3"/>
      <c r="E62" s="2"/>
      <c r="F62" s="738"/>
      <c r="H62" s="344"/>
      <c r="I62" s="283"/>
      <c r="J62" s="342"/>
      <c r="K62" s="342"/>
      <c r="L62" s="688"/>
      <c r="M62" s="283"/>
    </row>
    <row r="63" spans="1:13" ht="16.5" customHeight="1">
      <c r="A63" s="696" t="s">
        <v>803</v>
      </c>
      <c r="B63" s="16"/>
      <c r="C63" s="16"/>
      <c r="D63" s="16"/>
      <c r="E63" s="254"/>
      <c r="F63" s="743"/>
      <c r="G63" s="295"/>
      <c r="H63" s="653"/>
      <c r="I63" s="697"/>
      <c r="J63" s="345"/>
      <c r="K63" s="345"/>
      <c r="L63" s="698"/>
      <c r="M63" s="283"/>
    </row>
    <row r="64" spans="1:13" ht="15.75" customHeight="1" thickBot="1">
      <c r="A64" s="708"/>
      <c r="B64" s="709"/>
      <c r="C64" s="709"/>
      <c r="D64" s="709"/>
      <c r="E64" s="2"/>
      <c r="F64" s="738"/>
      <c r="H64" s="592"/>
      <c r="I64" s="283"/>
      <c r="J64" s="342"/>
      <c r="K64" s="342"/>
      <c r="L64" s="688"/>
      <c r="M64" s="283"/>
    </row>
    <row r="65" spans="1:13" ht="15.75" customHeight="1">
      <c r="A65" s="851"/>
      <c r="B65" s="852" t="s">
        <v>945</v>
      </c>
      <c r="C65" s="681"/>
      <c r="D65" s="681"/>
      <c r="E65" s="853"/>
      <c r="F65" s="736"/>
      <c r="G65" s="854"/>
      <c r="H65" s="855"/>
      <c r="I65" s="684"/>
      <c r="J65" s="856"/>
      <c r="K65" s="856"/>
      <c r="L65" s="857"/>
      <c r="M65" s="283"/>
    </row>
    <row r="66" spans="1:13" ht="15.75" customHeight="1">
      <c r="A66" s="448">
        <f>+A61+1</f>
        <v>38</v>
      </c>
      <c r="B66" s="27"/>
      <c r="C66" s="3" t="s">
        <v>137</v>
      </c>
      <c r="E66" s="293"/>
      <c r="F66" s="745" t="s">
        <v>663</v>
      </c>
      <c r="G66" s="561"/>
      <c r="H66" s="353">
        <f>'1 - ADIT'!I16</f>
        <v>-201441786.02197742</v>
      </c>
      <c r="I66" s="675"/>
      <c r="J66" s="353">
        <f>H66</f>
        <v>-201441786.02197742</v>
      </c>
      <c r="K66" s="348"/>
      <c r="L66" s="705"/>
      <c r="M66" s="283"/>
    </row>
    <row r="67" spans="1:13" ht="15.75" customHeight="1">
      <c r="A67" s="448">
        <f>+A66+1</f>
        <v>39</v>
      </c>
      <c r="C67" s="20" t="s">
        <v>816</v>
      </c>
      <c r="D67" s="9"/>
      <c r="E67" s="507"/>
      <c r="F67" s="737" t="str">
        <f>"(Line "&amp;A66&amp;")"</f>
        <v>(Line 38)</v>
      </c>
      <c r="G67" s="3"/>
      <c r="H67" s="655">
        <f>+H66</f>
        <v>-201441786.02197742</v>
      </c>
      <c r="I67" s="283"/>
      <c r="J67" s="655">
        <f>+J66</f>
        <v>-201441786.02197742</v>
      </c>
      <c r="K67" s="341">
        <v>0</v>
      </c>
      <c r="L67" s="693">
        <v>0</v>
      </c>
      <c r="M67" s="283"/>
    </row>
    <row r="68" spans="1:13" ht="16.5" customHeight="1">
      <c r="A68" s="448"/>
      <c r="C68" s="27"/>
      <c r="E68" s="2"/>
      <c r="F68" s="738"/>
      <c r="H68" s="654"/>
      <c r="I68" s="283"/>
      <c r="J68" s="342"/>
      <c r="K68" s="342"/>
      <c r="L68" s="688"/>
      <c r="M68" s="283"/>
    </row>
    <row r="69" spans="1:13" ht="16.5" customHeight="1">
      <c r="A69" s="448">
        <f>+A67+1</f>
        <v>40</v>
      </c>
      <c r="B69" s="1" t="s">
        <v>765</v>
      </c>
      <c r="C69" s="27"/>
      <c r="D69" s="2" t="s">
        <v>714</v>
      </c>
      <c r="E69" s="3" t="str">
        <f>"(Notes "&amp;$B$297&amp;" &amp; "&amp;B305&amp;")"</f>
        <v>(Notes A &amp; I)</v>
      </c>
      <c r="F69" s="738" t="s">
        <v>663</v>
      </c>
      <c r="H69" s="1048">
        <f>+'1 - ADIT'!I129</f>
        <v>0</v>
      </c>
      <c r="I69" s="283"/>
      <c r="J69" s="341">
        <v>0</v>
      </c>
      <c r="K69" s="341">
        <v>0</v>
      </c>
      <c r="L69" s="693">
        <v>0</v>
      </c>
      <c r="M69" s="283"/>
    </row>
    <row r="70" spans="1:13" ht="16.5" customHeight="1">
      <c r="A70" s="448"/>
      <c r="C70" s="27"/>
      <c r="E70" s="2"/>
      <c r="F70" s="738"/>
      <c r="H70" s="654"/>
      <c r="I70" s="283"/>
      <c r="J70" s="342"/>
      <c r="K70" s="342"/>
      <c r="L70" s="688"/>
      <c r="M70" s="283"/>
    </row>
    <row r="71" spans="1:13" ht="15.75" customHeight="1">
      <c r="A71" s="448"/>
      <c r="B71" s="1" t="s">
        <v>713</v>
      </c>
      <c r="C71" s="27"/>
      <c r="E71" s="2"/>
      <c r="F71" s="737"/>
      <c r="G71" s="3"/>
      <c r="H71" s="655"/>
      <c r="I71" s="283"/>
      <c r="J71" s="341"/>
      <c r="K71" s="341"/>
      <c r="L71" s="693"/>
      <c r="M71" s="283"/>
    </row>
    <row r="72" spans="1:13" ht="15.75" customHeight="1">
      <c r="A72" s="448">
        <f>+A69+1</f>
        <v>41</v>
      </c>
      <c r="C72" s="27" t="s">
        <v>858</v>
      </c>
      <c r="E72" s="2" t="s">
        <v>714</v>
      </c>
      <c r="F72" s="738" t="s">
        <v>664</v>
      </c>
      <c r="H72" s="655">
        <f>-'5 - Cost Support'!L197</f>
        <v>-3056806.5297979955</v>
      </c>
      <c r="I72" s="283"/>
      <c r="J72" s="655">
        <f>-'5 - Cost Support'!L197</f>
        <v>-3056806.5297979955</v>
      </c>
      <c r="K72" s="341">
        <v>0</v>
      </c>
      <c r="L72" s="693">
        <v>0</v>
      </c>
    </row>
    <row r="73" spans="1:13">
      <c r="A73" s="448"/>
      <c r="B73" s="710"/>
      <c r="C73" s="3"/>
      <c r="E73" s="2"/>
      <c r="F73" s="747"/>
      <c r="H73" s="592"/>
      <c r="I73" s="283"/>
      <c r="J73" s="341"/>
      <c r="K73" s="341"/>
      <c r="L73" s="693"/>
      <c r="M73" s="283"/>
    </row>
    <row r="74" spans="1:13" ht="15.75">
      <c r="A74" s="448"/>
      <c r="B74" s="27" t="s">
        <v>791</v>
      </c>
      <c r="C74" s="7"/>
      <c r="E74" s="2"/>
      <c r="F74" s="748"/>
      <c r="H74" s="592"/>
      <c r="I74" s="283"/>
      <c r="J74" s="341"/>
      <c r="K74" s="341"/>
      <c r="L74" s="693"/>
      <c r="M74" s="283"/>
    </row>
    <row r="75" spans="1:13" ht="15.75" customHeight="1">
      <c r="A75" s="448">
        <f>+A72+1</f>
        <v>42</v>
      </c>
      <c r="B75" s="711"/>
      <c r="C75" s="12" t="s">
        <v>715</v>
      </c>
      <c r="D75" s="36"/>
      <c r="E75" s="846" t="s">
        <v>113</v>
      </c>
      <c r="F75" s="745" t="s">
        <v>664</v>
      </c>
      <c r="G75" s="561"/>
      <c r="H75" s="657">
        <f>+'5 - Cost Support'!L207</f>
        <v>5549800.898588174</v>
      </c>
      <c r="I75" s="675"/>
      <c r="J75" s="657">
        <f>+'5 - Cost Support'!L207</f>
        <v>5549800.898588174</v>
      </c>
      <c r="K75" s="363"/>
      <c r="L75" s="700"/>
      <c r="M75" s="283"/>
    </row>
    <row r="76" spans="1:13" ht="15.75" customHeight="1">
      <c r="A76" s="448">
        <f>+A75+1</f>
        <v>43</v>
      </c>
      <c r="B76" s="710"/>
      <c r="C76" s="1" t="s">
        <v>764</v>
      </c>
      <c r="E76" s="2"/>
      <c r="F76" s="737" t="str">
        <f>"(Line "&amp;A75&amp;")"</f>
        <v>(Line 42)</v>
      </c>
      <c r="H76" s="655">
        <f>+H75</f>
        <v>5549800.898588174</v>
      </c>
      <c r="I76" s="283"/>
      <c r="J76" s="655">
        <f>+J75</f>
        <v>5549800.898588174</v>
      </c>
      <c r="K76" s="341">
        <v>0</v>
      </c>
      <c r="L76" s="693">
        <v>0</v>
      </c>
      <c r="M76" s="283"/>
    </row>
    <row r="77" spans="1:13" ht="16.5" customHeight="1">
      <c r="A77" s="448"/>
      <c r="B77" s="710"/>
      <c r="C77" s="1"/>
      <c r="E77" s="2"/>
      <c r="F77" s="737"/>
      <c r="H77" s="655"/>
      <c r="I77" s="283"/>
      <c r="J77" s="341"/>
      <c r="K77" s="341"/>
      <c r="L77" s="693"/>
      <c r="M77" s="283"/>
    </row>
    <row r="78" spans="1:13" ht="15.75">
      <c r="A78" s="448">
        <f>+A76+1</f>
        <v>44</v>
      </c>
      <c r="B78" s="1" t="s">
        <v>283</v>
      </c>
      <c r="C78" s="3"/>
      <c r="D78" s="508"/>
      <c r="E78" s="34" t="str">
        <f>"(Note "&amp;B$299&amp;")"</f>
        <v>(Note C)</v>
      </c>
      <c r="F78" s="737" t="str">
        <f>+F72</f>
        <v>Attachment 5</v>
      </c>
      <c r="H78" s="354">
        <f>+'5 - Cost Support'!I79</f>
        <v>9627170</v>
      </c>
      <c r="J78" s="354">
        <f>+H78</f>
        <v>9627170</v>
      </c>
      <c r="K78" s="341">
        <v>0</v>
      </c>
      <c r="L78" s="693">
        <v>0</v>
      </c>
      <c r="M78" s="283"/>
    </row>
    <row r="79" spans="1:13" ht="15.75">
      <c r="A79" s="448"/>
      <c r="B79" s="1"/>
      <c r="C79" s="3"/>
      <c r="D79" s="508"/>
      <c r="E79" s="34"/>
      <c r="F79" s="737"/>
      <c r="H79" s="354"/>
      <c r="J79" s="354"/>
      <c r="K79" s="341"/>
      <c r="L79" s="693"/>
      <c r="M79" s="283"/>
    </row>
    <row r="80" spans="1:13" ht="15.75">
      <c r="A80" s="448">
        <f>+A78+1</f>
        <v>45</v>
      </c>
      <c r="B80" s="1" t="s">
        <v>108</v>
      </c>
      <c r="C80" s="3"/>
      <c r="D80" s="508"/>
      <c r="E80" s="34"/>
      <c r="F80" s="737"/>
      <c r="H80" s="813">
        <v>0</v>
      </c>
      <c r="I80" s="814"/>
      <c r="J80" s="815">
        <v>0</v>
      </c>
      <c r="K80" s="341"/>
      <c r="L80" s="693"/>
      <c r="M80" s="283"/>
    </row>
    <row r="81" spans="1:13" ht="15.75">
      <c r="A81" s="448">
        <f>+A80+1</f>
        <v>46</v>
      </c>
      <c r="B81" s="1" t="s">
        <v>96</v>
      </c>
      <c r="C81" s="3"/>
      <c r="D81" s="508"/>
      <c r="E81" s="34"/>
      <c r="F81" s="737"/>
      <c r="G81" s="562"/>
      <c r="H81" s="848">
        <v>0</v>
      </c>
      <c r="I81" s="849"/>
      <c r="J81" s="849">
        <v>0</v>
      </c>
      <c r="K81" s="850"/>
      <c r="L81" s="816"/>
      <c r="M81" s="283"/>
    </row>
    <row r="82" spans="1:13" ht="15.75" customHeight="1">
      <c r="A82" s="448"/>
      <c r="B82" s="710"/>
      <c r="C82" s="1"/>
      <c r="E82" s="2"/>
      <c r="F82" s="737"/>
      <c r="H82" s="655"/>
      <c r="I82" s="283"/>
      <c r="J82" s="341"/>
      <c r="K82" s="341"/>
      <c r="L82" s="693"/>
      <c r="M82" s="283"/>
    </row>
    <row r="83" spans="1:13" ht="15.75" customHeight="1">
      <c r="A83" s="448"/>
      <c r="B83" s="27" t="s">
        <v>789</v>
      </c>
      <c r="C83" s="3"/>
      <c r="E83" s="39"/>
      <c r="F83" s="749"/>
      <c r="H83" s="656"/>
      <c r="I83" s="283"/>
      <c r="J83" s="341"/>
      <c r="K83" s="341"/>
      <c r="L83" s="693"/>
      <c r="M83" s="283"/>
    </row>
    <row r="84" spans="1:13" ht="15.75" customHeight="1">
      <c r="A84" s="448">
        <f>+A81+1</f>
        <v>47</v>
      </c>
      <c r="C84" s="3" t="s">
        <v>806</v>
      </c>
      <c r="E84" s="34" t="str">
        <f>"(Note "&amp;B$297&amp;")"</f>
        <v>(Note A)</v>
      </c>
      <c r="F84" s="744" t="s">
        <v>664</v>
      </c>
      <c r="G84" s="847"/>
      <c r="H84" s="747">
        <f>'5 - Cost Support'!Q213</f>
        <v>85244.293846153858</v>
      </c>
      <c r="I84" s="283"/>
      <c r="J84" s="341">
        <f>H84</f>
        <v>85244.293846153858</v>
      </c>
      <c r="K84" s="341">
        <f>J84</f>
        <v>85244.293846153858</v>
      </c>
      <c r="L84" s="693">
        <f>K84</f>
        <v>85244.293846153858</v>
      </c>
      <c r="M84" s="283"/>
    </row>
    <row r="85" spans="1:13" ht="15.75" customHeight="1">
      <c r="A85" s="448">
        <f>+A84+1</f>
        <v>48</v>
      </c>
      <c r="B85" s="710"/>
      <c r="C85" s="12" t="s">
        <v>839</v>
      </c>
      <c r="D85" s="12"/>
      <c r="E85" s="28"/>
      <c r="F85" s="742" t="str">
        <f>"(Line "&amp;A$13&amp;")"</f>
        <v>(Line 5)</v>
      </c>
      <c r="G85" s="755"/>
      <c r="H85" s="659">
        <f>+H13</f>
        <v>9.4526491474223637E-2</v>
      </c>
      <c r="I85" s="675"/>
      <c r="J85" s="506">
        <f>+$J$13</f>
        <v>9.4526491474223637E-2</v>
      </c>
      <c r="K85" s="506"/>
      <c r="L85" s="706"/>
      <c r="M85" s="283"/>
    </row>
    <row r="86" spans="1:13" ht="15.75" customHeight="1">
      <c r="A86" s="448">
        <f>+A85+1</f>
        <v>49</v>
      </c>
      <c r="B86" s="710"/>
      <c r="C86" s="7" t="s">
        <v>853</v>
      </c>
      <c r="E86" s="2"/>
      <c r="F86" s="737" t="str">
        <f>"(Line "&amp;A84&amp;" * "&amp;A85&amp;")"</f>
        <v>(Line 47 * 48)</v>
      </c>
      <c r="H86" s="654">
        <f>+H84*H85</f>
        <v>8057.8440154746768</v>
      </c>
      <c r="I86" s="283"/>
      <c r="J86" s="654">
        <f>+J84*J85</f>
        <v>8057.8440154746768</v>
      </c>
      <c r="K86" s="1020">
        <f>+K84*K85</f>
        <v>0</v>
      </c>
      <c r="L86" s="1021">
        <f>+L84*L85</f>
        <v>0</v>
      </c>
      <c r="M86" s="283"/>
    </row>
    <row r="87" spans="1:13" ht="15.75" customHeight="1">
      <c r="A87" s="448">
        <f>+A86+1</f>
        <v>50</v>
      </c>
      <c r="B87" s="710"/>
      <c r="C87" s="7" t="s">
        <v>780</v>
      </c>
      <c r="E87" s="34"/>
      <c r="F87" s="745" t="s">
        <v>664</v>
      </c>
      <c r="G87" s="561"/>
      <c r="H87" s="657">
        <f>'5 - Cost Support'!Q214</f>
        <v>1605217.7091179253</v>
      </c>
      <c r="I87" s="675"/>
      <c r="J87" s="657">
        <f>'5 - Cost Support'!Q214</f>
        <v>1605217.7091179253</v>
      </c>
      <c r="K87" s="1022">
        <v>0</v>
      </c>
      <c r="L87" s="1023">
        <v>0</v>
      </c>
      <c r="M87" s="283"/>
    </row>
    <row r="88" spans="1:13" ht="18" customHeight="1">
      <c r="A88" s="448">
        <f>+A87+1</f>
        <v>51</v>
      </c>
      <c r="B88" s="710"/>
      <c r="C88" s="4" t="s">
        <v>788</v>
      </c>
      <c r="D88" s="4"/>
      <c r="E88" s="257"/>
      <c r="F88" s="737" t="str">
        <f>"(Line "&amp;A86&amp;" + "&amp;A87&amp;")"</f>
        <v>(Line 49 + 50)</v>
      </c>
      <c r="H88" s="354">
        <f>SUM(H86:H87)</f>
        <v>1613275.5531333999</v>
      </c>
      <c r="I88" s="283"/>
      <c r="J88" s="354">
        <f>SUM(J86:J87)</f>
        <v>1613275.5531333999</v>
      </c>
      <c r="K88" s="1024">
        <f>SUM(K86:K87)</f>
        <v>0</v>
      </c>
      <c r="L88" s="1025">
        <f>SUM(L86:L87)</f>
        <v>0</v>
      </c>
      <c r="M88" s="283"/>
    </row>
    <row r="89" spans="1:13" ht="15.75" customHeight="1">
      <c r="A89" s="448"/>
      <c r="B89" s="710"/>
      <c r="C89" s="7"/>
      <c r="E89" s="2"/>
      <c r="F89" s="749"/>
      <c r="H89" s="592"/>
      <c r="I89" s="283"/>
      <c r="J89" s="342"/>
      <c r="K89" s="1026"/>
      <c r="L89" s="1027"/>
      <c r="M89" s="283"/>
    </row>
    <row r="90" spans="1:13" ht="15.75" customHeight="1">
      <c r="A90" s="448"/>
      <c r="B90" s="27" t="s">
        <v>792</v>
      </c>
      <c r="C90" s="3"/>
      <c r="E90" s="2"/>
      <c r="F90" s="749"/>
      <c r="H90" s="592"/>
      <c r="I90" s="283"/>
      <c r="J90" s="341"/>
      <c r="K90" s="815"/>
      <c r="L90" s="1028"/>
      <c r="M90" s="283"/>
    </row>
    <row r="91" spans="1:13" ht="15.75" customHeight="1">
      <c r="A91" s="448">
        <f>+A88+1</f>
        <v>52</v>
      </c>
      <c r="B91" s="710"/>
      <c r="C91" s="7" t="s">
        <v>850</v>
      </c>
      <c r="D91" s="7"/>
      <c r="E91" s="2"/>
      <c r="F91" s="737" t="str">
        <f>"(Line "&amp;A$135&amp;")"</f>
        <v>(Line 82)</v>
      </c>
      <c r="H91" s="654">
        <f>+H135</f>
        <v>45479010.093519643</v>
      </c>
      <c r="I91" s="283"/>
      <c r="J91" s="654">
        <f>+J135</f>
        <v>41179617.877844125</v>
      </c>
      <c r="K91" s="815">
        <v>0</v>
      </c>
      <c r="L91" s="1028">
        <v>0</v>
      </c>
      <c r="M91" s="283"/>
    </row>
    <row r="92" spans="1:13" ht="15.75" customHeight="1">
      <c r="A92" s="448">
        <f>+A91+1</f>
        <v>53</v>
      </c>
      <c r="B92" s="710"/>
      <c r="C92" s="7" t="s">
        <v>109</v>
      </c>
      <c r="D92" s="7"/>
      <c r="E92" s="34" t="s">
        <v>518</v>
      </c>
      <c r="F92" s="745"/>
      <c r="G92" s="561"/>
      <c r="H92" s="843">
        <v>0</v>
      </c>
      <c r="I92" s="844">
        <v>0</v>
      </c>
      <c r="J92" s="845">
        <f>$H$92</f>
        <v>0</v>
      </c>
      <c r="K92" s="1022">
        <f>$H$92</f>
        <v>0</v>
      </c>
      <c r="L92" s="1028">
        <f>$H$92</f>
        <v>0</v>
      </c>
      <c r="M92" s="283"/>
    </row>
    <row r="93" spans="1:13" s="1" customFormat="1" ht="16.5" customHeight="1">
      <c r="A93" s="448">
        <f>+A92+1</f>
        <v>54</v>
      </c>
      <c r="B93" s="712"/>
      <c r="C93" s="20" t="s">
        <v>779</v>
      </c>
      <c r="D93" s="20"/>
      <c r="E93" s="257"/>
      <c r="F93" s="737" t="str">
        <f>"(Line "&amp;A91&amp;" * "&amp;A92&amp;")"</f>
        <v>(Line 52 * 53)</v>
      </c>
      <c r="H93" s="1029">
        <f>+H91*H92</f>
        <v>0</v>
      </c>
      <c r="I93" s="1035"/>
      <c r="J93" s="1029">
        <f>+J91*J92</f>
        <v>0</v>
      </c>
      <c r="K93" s="1029">
        <f>+K91*K92</f>
        <v>0</v>
      </c>
      <c r="L93" s="1030">
        <f>+L91*L92</f>
        <v>0</v>
      </c>
      <c r="M93" s="703"/>
    </row>
    <row r="94" spans="1:13" s="1" customFormat="1" ht="15.75" customHeight="1">
      <c r="A94" s="448"/>
      <c r="B94" s="712"/>
      <c r="C94" s="27"/>
      <c r="D94" s="27"/>
      <c r="E94" s="32"/>
      <c r="F94" s="737"/>
      <c r="H94" s="655"/>
      <c r="I94" s="703"/>
      <c r="J94" s="349"/>
      <c r="K94" s="1031"/>
      <c r="L94" s="1032"/>
      <c r="M94" s="703"/>
    </row>
    <row r="95" spans="1:13" s="1" customFormat="1" ht="15.75" customHeight="1">
      <c r="A95" s="713"/>
      <c r="B95" s="27" t="s">
        <v>140</v>
      </c>
      <c r="D95" s="27"/>
      <c r="F95" s="737"/>
      <c r="H95" s="655"/>
      <c r="I95" s="703"/>
      <c r="J95" s="349"/>
      <c r="K95" s="1031"/>
      <c r="L95" s="1032"/>
      <c r="M95" s="703"/>
    </row>
    <row r="96" spans="1:13" ht="15.75" customHeight="1">
      <c r="A96" s="448">
        <f>+A93+1</f>
        <v>55</v>
      </c>
      <c r="C96" s="3" t="s">
        <v>144</v>
      </c>
      <c r="E96" s="34" t="str">
        <f>"(Note "&amp;B$310&amp;")"</f>
        <v>(Note N)</v>
      </c>
      <c r="F96" s="738" t="s">
        <v>664</v>
      </c>
      <c r="H96" s="344">
        <f>J96+K96+L96</f>
        <v>0</v>
      </c>
      <c r="I96" s="283"/>
      <c r="J96" s="342">
        <f>'5 - Cost Support'!J223</f>
        <v>0</v>
      </c>
      <c r="K96" s="1026">
        <v>0</v>
      </c>
      <c r="L96" s="1027">
        <v>0</v>
      </c>
      <c r="M96" s="283"/>
    </row>
    <row r="97" spans="1:13" ht="15.75" customHeight="1">
      <c r="A97" s="448">
        <f>+A96+1</f>
        <v>56</v>
      </c>
      <c r="C97" s="13" t="s">
        <v>643</v>
      </c>
      <c r="D97" s="13"/>
      <c r="E97" s="36" t="str">
        <f>+E96</f>
        <v>(Note N)</v>
      </c>
      <c r="F97" s="740" t="s">
        <v>664</v>
      </c>
      <c r="G97" s="561"/>
      <c r="H97" s="363">
        <f>J97+K97+L97</f>
        <v>0</v>
      </c>
      <c r="I97" s="675"/>
      <c r="J97" s="363">
        <f>'5 - Cost Support'!J228</f>
        <v>0</v>
      </c>
      <c r="K97" s="1022">
        <v>0</v>
      </c>
      <c r="L97" s="1023">
        <v>0</v>
      </c>
      <c r="M97" s="283"/>
    </row>
    <row r="98" spans="1:13" ht="15.75" customHeight="1">
      <c r="A98" s="448">
        <f>+A97+1</f>
        <v>57</v>
      </c>
      <c r="C98" s="3" t="s">
        <v>152</v>
      </c>
      <c r="E98" s="2"/>
      <c r="F98" s="737" t="str">
        <f>"(Line "&amp;A96&amp;" - "&amp;A97&amp;")"</f>
        <v>(Line 55 - 56)</v>
      </c>
      <c r="H98" s="354">
        <f>+H96-H97</f>
        <v>0</v>
      </c>
      <c r="I98" s="283"/>
      <c r="J98" s="354">
        <f>+J96-J97</f>
        <v>0</v>
      </c>
      <c r="K98" s="1024">
        <f>+K96-K97</f>
        <v>0</v>
      </c>
      <c r="L98" s="1033">
        <f>+L96-L97</f>
        <v>0</v>
      </c>
      <c r="M98" s="283"/>
    </row>
    <row r="99" spans="1:13" ht="15.75" customHeight="1">
      <c r="A99" s="448"/>
      <c r="C99" s="3"/>
      <c r="E99" s="2"/>
      <c r="F99" s="738"/>
      <c r="H99" s="592"/>
      <c r="I99" s="283"/>
      <c r="J99" s="342"/>
      <c r="K99" s="1026"/>
      <c r="L99" s="1027"/>
      <c r="M99" s="283"/>
    </row>
    <row r="100" spans="1:13" ht="16.5" customHeight="1" thickBot="1">
      <c r="A100" s="448">
        <f>+A98+1</f>
        <v>58</v>
      </c>
      <c r="B100" s="6" t="s">
        <v>840</v>
      </c>
      <c r="C100" s="6"/>
      <c r="D100" s="6"/>
      <c r="E100" s="31"/>
      <c r="F100" s="750" t="str">
        <f>"(Line "&amp;A67&amp;" + "&amp;A69&amp;" + "&amp;A72&amp;" + "&amp;A76&amp;" + "&amp;A78&amp;" + "&amp;A80&amp;" + "&amp;A81&amp;" + "&amp;A88&amp;" + "&amp;A93&amp;" - "&amp;A98&amp;" )"</f>
        <v>(Line 39 + 40 + 41 + 43 + 44 + 45 + 46 + 51 + 54 - 57 )</v>
      </c>
      <c r="G100" s="756"/>
      <c r="H100" s="347">
        <f>SUM(H67,H72,H76,H78,H88,H93+H80+H81)-H98+H69</f>
        <v>-187708346.10005385</v>
      </c>
      <c r="I100" s="765"/>
      <c r="J100" s="347">
        <f>SUM(J67,J72,J76,J78,J88,J93+J80+J81)-J98+J69</f>
        <v>-187708346.10005385</v>
      </c>
      <c r="K100" s="1034">
        <f>SUM(K67,K72,K76,K78,K88,K93+K80+K81)-K98+K69</f>
        <v>0</v>
      </c>
      <c r="L100" s="1034">
        <f>SUM(L67,L72,L76,L78,L88,L93+L80+L81)-L98+L69</f>
        <v>0</v>
      </c>
      <c r="M100" s="283"/>
    </row>
    <row r="101" spans="1:13" ht="16.5" customHeight="1" thickTop="1">
      <c r="A101" s="448"/>
      <c r="C101" s="3"/>
      <c r="E101" s="2"/>
      <c r="F101" s="738"/>
      <c r="H101" s="592"/>
      <c r="I101" s="283"/>
      <c r="J101" s="342"/>
      <c r="K101" s="342"/>
      <c r="L101" s="688"/>
      <c r="M101" s="283"/>
    </row>
    <row r="102" spans="1:13" ht="16.5" customHeight="1" thickBot="1">
      <c r="A102" s="448">
        <f>+A100+1</f>
        <v>59</v>
      </c>
      <c r="B102" s="6" t="s">
        <v>834</v>
      </c>
      <c r="C102" s="6"/>
      <c r="D102" s="6"/>
      <c r="E102" s="31"/>
      <c r="F102" s="739" t="str">
        <f>"(Line "&amp;A61&amp;" + "&amp;A100&amp;")"</f>
        <v>(Line 37 + 58)</v>
      </c>
      <c r="G102" s="351"/>
      <c r="H102" s="347">
        <f>+H61+H100</f>
        <v>1543296757.7868083</v>
      </c>
      <c r="I102" s="765"/>
      <c r="J102" s="347">
        <f>+J61+J100</f>
        <v>1482612219.3252699</v>
      </c>
      <c r="K102" s="347">
        <f>+K61+K100</f>
        <v>19892923.076923072</v>
      </c>
      <c r="L102" s="704">
        <f>+L61+L100</f>
        <v>40791615.384615384</v>
      </c>
      <c r="M102" s="283"/>
    </row>
    <row r="103" spans="1:13" ht="16.5" customHeight="1" thickTop="1" thickBot="1">
      <c r="A103" s="817"/>
      <c r="B103" s="777"/>
      <c r="C103" s="777"/>
      <c r="D103" s="777"/>
      <c r="E103" s="775"/>
      <c r="F103" s="818"/>
      <c r="G103" s="639"/>
      <c r="H103" s="819"/>
      <c r="I103" s="820"/>
      <c r="J103" s="821">
        <f>J102/$H$102</f>
        <v>0.96067863283237631</v>
      </c>
      <c r="K103" s="821">
        <f>K102/$H$102</f>
        <v>1.2889888465424411E-2</v>
      </c>
      <c r="L103" s="822">
        <f>L102/$H$102</f>
        <v>2.6431478702199383E-2</v>
      </c>
      <c r="M103" s="283"/>
    </row>
    <row r="104" spans="1:13" ht="15.75" customHeight="1" thickBot="1">
      <c r="A104" s="696" t="s">
        <v>892</v>
      </c>
      <c r="B104" s="10"/>
      <c r="C104" s="714"/>
      <c r="D104" s="16"/>
      <c r="E104" s="254"/>
      <c r="F104" s="743"/>
      <c r="G104" s="16"/>
      <c r="H104" s="650"/>
      <c r="I104" s="697"/>
      <c r="J104" s="345"/>
      <c r="K104" s="345"/>
      <c r="L104" s="698"/>
      <c r="M104" s="283"/>
    </row>
    <row r="105" spans="1:13" ht="15.75" customHeight="1">
      <c r="A105" s="1141"/>
      <c r="B105" s="681"/>
      <c r="C105" s="681"/>
      <c r="D105" s="681"/>
      <c r="E105" s="682"/>
      <c r="F105" s="736"/>
      <c r="G105" s="681"/>
      <c r="H105" s="683"/>
      <c r="I105" s="684"/>
      <c r="J105" s="685"/>
      <c r="K105" s="685"/>
      <c r="L105" s="686"/>
      <c r="M105" s="283"/>
    </row>
    <row r="106" spans="1:13" ht="15.75" customHeight="1">
      <c r="A106" s="448"/>
      <c r="B106" s="1" t="s">
        <v>821</v>
      </c>
      <c r="C106" s="3"/>
      <c r="D106" s="214"/>
      <c r="E106" s="58"/>
      <c r="F106" s="738"/>
      <c r="H106" s="344"/>
      <c r="I106" s="283"/>
      <c r="J106" s="342"/>
      <c r="K106" s="342"/>
      <c r="L106" s="688"/>
      <c r="M106" s="283"/>
    </row>
    <row r="107" spans="1:13" ht="15.75" customHeight="1">
      <c r="A107" s="448">
        <f>+A102+1</f>
        <v>60</v>
      </c>
      <c r="B107" s="2"/>
      <c r="C107" s="3" t="s">
        <v>821</v>
      </c>
      <c r="E107" s="2"/>
      <c r="F107" s="737" t="s">
        <v>603</v>
      </c>
      <c r="H107" s="1053">
        <v>226702410</v>
      </c>
      <c r="I107" s="715"/>
      <c r="J107" s="1054">
        <f>H107-K107-L107</f>
        <v>218509978</v>
      </c>
      <c r="K107" s="1054">
        <v>6375225</v>
      </c>
      <c r="L107" s="1054">
        <v>1817207</v>
      </c>
      <c r="M107" s="283"/>
    </row>
    <row r="108" spans="1:13" ht="15.75" customHeight="1">
      <c r="A108" s="448">
        <f>+A107+1</f>
        <v>61</v>
      </c>
      <c r="B108" s="2"/>
      <c r="C108" s="3" t="s">
        <v>745</v>
      </c>
      <c r="E108" s="2"/>
      <c r="F108" s="737" t="s">
        <v>746</v>
      </c>
      <c r="H108" s="1053">
        <f>+J108+K108+L108</f>
        <v>0</v>
      </c>
      <c r="I108" s="715"/>
      <c r="J108" s="1054">
        <v>0</v>
      </c>
      <c r="K108" s="341"/>
      <c r="L108" s="693"/>
      <c r="M108" s="283"/>
    </row>
    <row r="109" spans="1:13" ht="15.75" customHeight="1">
      <c r="A109" s="448">
        <f>+A108+1</f>
        <v>62</v>
      </c>
      <c r="B109" s="2"/>
      <c r="C109" s="3" t="s">
        <v>299</v>
      </c>
      <c r="E109" s="2"/>
      <c r="F109" s="737" t="s">
        <v>300</v>
      </c>
      <c r="H109" s="344">
        <f>J109+K109+L109</f>
        <v>8470764.6832018774</v>
      </c>
      <c r="I109" s="715"/>
      <c r="J109" s="341">
        <f>+'Sch 1'!E18</f>
        <v>8470764.6832018774</v>
      </c>
      <c r="K109" s="341"/>
      <c r="L109" s="693"/>
      <c r="M109" s="283"/>
    </row>
    <row r="110" spans="1:13" ht="15.75" customHeight="1">
      <c r="A110" s="448">
        <f>+A109+1</f>
        <v>63</v>
      </c>
      <c r="B110" s="2"/>
      <c r="C110" s="3" t="s">
        <v>893</v>
      </c>
      <c r="E110" s="710" t="s">
        <v>852</v>
      </c>
      <c r="F110" s="742" t="s">
        <v>664</v>
      </c>
      <c r="G110" s="561"/>
      <c r="H110" s="353">
        <f>'5 - Cost Support'!K246</f>
        <v>194586366.76999998</v>
      </c>
      <c r="I110" s="757"/>
      <c r="J110" s="363">
        <f>'5 - Cost Support'!K242</f>
        <v>189518081.76999998</v>
      </c>
      <c r="K110" s="363">
        <f>'5 - Cost Support'!K243</f>
        <v>5068285</v>
      </c>
      <c r="L110" s="721">
        <f>'5 - Cost Support'!K244</f>
        <v>0</v>
      </c>
      <c r="M110" s="283"/>
    </row>
    <row r="111" spans="1:13" ht="15.75" customHeight="1">
      <c r="A111" s="448">
        <f>+A110+1</f>
        <v>64</v>
      </c>
      <c r="C111" s="4" t="s">
        <v>821</v>
      </c>
      <c r="D111" s="9"/>
      <c r="E111" s="29"/>
      <c r="F111" s="737" t="str">
        <f>"(Line "&amp;A107&amp;" - "&amp;A110&amp;")"</f>
        <v>(Line 60 - 63)</v>
      </c>
      <c r="H111" s="354">
        <f>+H107+H108-H110-H109</f>
        <v>23645278.54679814</v>
      </c>
      <c r="I111" s="715"/>
      <c r="J111" s="354">
        <f>+J107+J108-J110-J109</f>
        <v>20521131.54679814</v>
      </c>
      <c r="K111" s="354">
        <f>+K107+K108-K110-K109</f>
        <v>1306940</v>
      </c>
      <c r="L111" s="702">
        <f>+L107+L108-L110-L109</f>
        <v>1817207</v>
      </c>
      <c r="M111" s="283"/>
    </row>
    <row r="112" spans="1:13" ht="15.75" customHeight="1">
      <c r="A112" s="448"/>
      <c r="B112" s="2"/>
      <c r="C112" s="1"/>
      <c r="E112" s="58"/>
      <c r="F112" s="738"/>
      <c r="H112" s="649"/>
      <c r="I112" s="715"/>
      <c r="J112" s="341"/>
      <c r="K112" s="341"/>
      <c r="L112" s="693"/>
      <c r="M112" s="283"/>
    </row>
    <row r="113" spans="1:13" ht="15.75" customHeight="1">
      <c r="A113" s="448"/>
      <c r="B113" s="1" t="s">
        <v>358</v>
      </c>
      <c r="C113" s="3"/>
      <c r="E113" s="58"/>
      <c r="F113" s="738"/>
      <c r="H113" s="649"/>
      <c r="I113" s="715"/>
      <c r="J113" s="341"/>
      <c r="K113" s="341"/>
      <c r="L113" s="693"/>
      <c r="M113" s="283"/>
    </row>
    <row r="114" spans="1:13" ht="15.75" customHeight="1">
      <c r="A114" s="448">
        <f>+A111+1</f>
        <v>65</v>
      </c>
      <c r="B114" s="2"/>
      <c r="C114" s="3" t="s">
        <v>824</v>
      </c>
      <c r="E114" s="2"/>
      <c r="F114" s="737" t="s">
        <v>604</v>
      </c>
      <c r="H114" s="1053">
        <v>195671737</v>
      </c>
      <c r="I114" s="715"/>
      <c r="J114" s="341"/>
      <c r="K114" s="341"/>
      <c r="L114" s="693"/>
      <c r="M114" s="283"/>
    </row>
    <row r="115" spans="1:13" ht="15.75" customHeight="1">
      <c r="A115" s="448">
        <f>+A114+1</f>
        <v>66</v>
      </c>
      <c r="B115" s="2"/>
      <c r="C115" s="3" t="s">
        <v>462</v>
      </c>
      <c r="E115" s="2"/>
      <c r="F115" s="737" t="s">
        <v>664</v>
      </c>
      <c r="H115" s="344">
        <f>'5 - Cost Support'!I86</f>
        <v>102343</v>
      </c>
      <c r="I115" s="715"/>
      <c r="J115" s="341"/>
      <c r="K115" s="341"/>
      <c r="L115" s="693"/>
      <c r="M115" s="86"/>
    </row>
    <row r="116" spans="1:13" ht="15.75" customHeight="1">
      <c r="A116" s="448">
        <f>+A115+1</f>
        <v>67</v>
      </c>
      <c r="B116" s="2"/>
      <c r="C116" s="3" t="s">
        <v>898</v>
      </c>
      <c r="D116" s="214"/>
      <c r="E116" s="2"/>
      <c r="F116" s="738" t="s">
        <v>605</v>
      </c>
      <c r="H116" s="1053">
        <v>7191327</v>
      </c>
      <c r="I116" s="715"/>
      <c r="J116" s="341"/>
      <c r="K116" s="341"/>
      <c r="L116" s="693"/>
      <c r="M116" s="283"/>
    </row>
    <row r="117" spans="1:13" ht="15.75" customHeight="1">
      <c r="A117" s="448">
        <f t="shared" ref="A117:A122" si="0">+A116+1</f>
        <v>68</v>
      </c>
      <c r="B117" s="2"/>
      <c r="C117" s="3" t="s">
        <v>899</v>
      </c>
      <c r="D117" s="214"/>
      <c r="E117" s="34" t="str">
        <f>"(Note "&amp;B$301&amp;")"</f>
        <v>(Note E)</v>
      </c>
      <c r="F117" s="738" t="s">
        <v>606</v>
      </c>
      <c r="H117" s="1053">
        <v>22409860</v>
      </c>
      <c r="I117" s="715"/>
      <c r="J117" s="341"/>
      <c r="K117" s="341"/>
      <c r="L117" s="693"/>
      <c r="M117" s="283"/>
    </row>
    <row r="118" spans="1:13" ht="15.75" customHeight="1">
      <c r="A118" s="448">
        <f t="shared" si="0"/>
        <v>69</v>
      </c>
      <c r="B118" s="2"/>
      <c r="C118" s="3" t="s">
        <v>900</v>
      </c>
      <c r="D118" s="214"/>
      <c r="E118" s="2"/>
      <c r="F118" s="738" t="s">
        <v>607</v>
      </c>
      <c r="H118" s="1053">
        <v>179274</v>
      </c>
      <c r="I118" s="715"/>
      <c r="J118" s="341"/>
      <c r="K118" s="341"/>
      <c r="L118" s="693"/>
      <c r="M118" s="283"/>
    </row>
    <row r="119" spans="1:13">
      <c r="A119" s="448">
        <f t="shared" si="0"/>
        <v>70</v>
      </c>
      <c r="B119" s="2"/>
      <c r="C119" s="3" t="s">
        <v>881</v>
      </c>
      <c r="E119" s="34" t="str">
        <f>"(Note "&amp;B$300&amp;")"</f>
        <v>(Note D)</v>
      </c>
      <c r="F119" s="742" t="s">
        <v>836</v>
      </c>
      <c r="G119" s="561"/>
      <c r="H119" s="1076">
        <v>0</v>
      </c>
      <c r="I119" s="757"/>
      <c r="J119" s="363"/>
      <c r="K119" s="341"/>
      <c r="L119" s="693"/>
      <c r="M119" s="283"/>
    </row>
    <row r="120" spans="1:13" ht="15.75" customHeight="1">
      <c r="A120" s="448">
        <f t="shared" si="0"/>
        <v>71</v>
      </c>
      <c r="B120" s="2"/>
      <c r="C120" s="4" t="s">
        <v>359</v>
      </c>
      <c r="D120" s="9"/>
      <c r="E120" s="258"/>
      <c r="F120" s="737" t="str">
        <f>"(Line "&amp;A114&amp;") -  Sum ("&amp;A115&amp;" to "&amp;A119&amp;")"</f>
        <v>(Line 65) -  Sum (66 to 70)</v>
      </c>
      <c r="H120" s="344">
        <f>H114-H116-H117-H118-H119-H115</f>
        <v>165788933</v>
      </c>
      <c r="I120" s="715"/>
      <c r="J120" s="344">
        <f>$H$120</f>
        <v>165788933</v>
      </c>
      <c r="K120" s="762">
        <f>$H$120</f>
        <v>165788933</v>
      </c>
      <c r="L120" s="690">
        <f>$H$120</f>
        <v>165788933</v>
      </c>
      <c r="M120" s="283"/>
    </row>
    <row r="121" spans="1:13" ht="15.75" customHeight="1">
      <c r="A121" s="448">
        <f t="shared" si="0"/>
        <v>72</v>
      </c>
      <c r="B121" s="2"/>
      <c r="C121" s="3" t="s">
        <v>839</v>
      </c>
      <c r="D121" s="12"/>
      <c r="E121" s="28"/>
      <c r="F121" s="740" t="str">
        <f>"(Line "&amp;A$13&amp;")"</f>
        <v>(Line 5)</v>
      </c>
      <c r="G121" s="561"/>
      <c r="H121" s="659">
        <f>+H13</f>
        <v>9.4526491474223637E-2</v>
      </c>
      <c r="I121" s="757"/>
      <c r="J121" s="506">
        <f>+$J$13</f>
        <v>9.4526491474223637E-2</v>
      </c>
      <c r="K121" s="506"/>
      <c r="L121" s="706"/>
      <c r="M121" s="283"/>
    </row>
    <row r="122" spans="1:13" ht="15.75" customHeight="1">
      <c r="A122" s="448">
        <f t="shared" si="0"/>
        <v>73</v>
      </c>
      <c r="B122" s="2"/>
      <c r="C122" s="4" t="s">
        <v>361</v>
      </c>
      <c r="E122" s="508"/>
      <c r="F122" s="737" t="str">
        <f>"(Line "&amp;A120&amp;" * "&amp;A121&amp;")"</f>
        <v>(Line 71 * 72)</v>
      </c>
      <c r="H122" s="354">
        <f>+H121*H120</f>
        <v>15671446.161745133</v>
      </c>
      <c r="I122" s="283"/>
      <c r="J122" s="354">
        <f>+J121*J120</f>
        <v>15671446.161745133</v>
      </c>
      <c r="K122" s="1036">
        <f>+K121*K120</f>
        <v>0</v>
      </c>
      <c r="L122" s="1037">
        <f>+L121*L120</f>
        <v>0</v>
      </c>
      <c r="M122" s="283"/>
    </row>
    <row r="123" spans="1:13" ht="15.75" customHeight="1">
      <c r="A123" s="448"/>
      <c r="B123" s="2"/>
      <c r="C123" s="1"/>
      <c r="E123" s="58"/>
      <c r="F123" s="738"/>
      <c r="H123" s="344"/>
      <c r="I123" s="283"/>
      <c r="J123" s="341"/>
      <c r="K123" s="341"/>
      <c r="L123" s="693"/>
      <c r="M123" s="283"/>
    </row>
    <row r="124" spans="1:13" ht="15.75" customHeight="1">
      <c r="A124" s="448"/>
      <c r="B124" s="1" t="s">
        <v>781</v>
      </c>
      <c r="C124" s="3"/>
      <c r="E124" s="58"/>
      <c r="F124" s="738"/>
      <c r="H124" s="344"/>
      <c r="I124" s="283"/>
      <c r="J124" s="341"/>
      <c r="K124" s="342"/>
      <c r="L124" s="688"/>
      <c r="M124" s="283"/>
    </row>
    <row r="125" spans="1:13" ht="15.75" customHeight="1">
      <c r="A125" s="448">
        <f>+A122+1</f>
        <v>74</v>
      </c>
      <c r="B125" s="710"/>
      <c r="C125" s="7" t="s">
        <v>901</v>
      </c>
      <c r="D125" s="34"/>
      <c r="E125" s="34" t="str">
        <f>"(Note "&amp;B$303&amp;")"</f>
        <v>(Note G)</v>
      </c>
      <c r="F125" s="744" t="s">
        <v>664</v>
      </c>
      <c r="H125" s="654">
        <f>+'5 - Cost Support'!H109</f>
        <v>4690740.961646419</v>
      </c>
      <c r="I125" s="283"/>
      <c r="J125" s="341">
        <f>+'5 - Cost Support'!I109</f>
        <v>3515495.7459708964</v>
      </c>
      <c r="K125" s="341">
        <f>+'5 - Cost Support'!J109</f>
        <v>603810.55846690107</v>
      </c>
      <c r="L125" s="693">
        <f>+'5 - Cost Support'!K109</f>
        <v>571434.6572086222</v>
      </c>
      <c r="M125" s="283"/>
    </row>
    <row r="126" spans="1:13" ht="15.75" customHeight="1">
      <c r="A126" s="448">
        <f>+A125+1</f>
        <v>75</v>
      </c>
      <c r="B126" s="710"/>
      <c r="C126" s="12" t="s">
        <v>902</v>
      </c>
      <c r="D126" s="35"/>
      <c r="E126" s="36" t="str">
        <f>"(Note "&amp;B$307&amp;")"</f>
        <v>(Note K)</v>
      </c>
      <c r="F126" s="745" t="s">
        <v>664</v>
      </c>
      <c r="G126" s="561"/>
      <c r="H126" s="657">
        <f>+'5 - Cost Support'!K114</f>
        <v>0</v>
      </c>
      <c r="I126" s="675"/>
      <c r="J126" s="363">
        <f>H126</f>
        <v>0</v>
      </c>
      <c r="K126" s="348">
        <v>0</v>
      </c>
      <c r="L126" s="705">
        <v>0</v>
      </c>
      <c r="M126" s="283"/>
    </row>
    <row r="127" spans="1:13" ht="15.75" customHeight="1">
      <c r="A127" s="448">
        <f>+A126+1</f>
        <v>76</v>
      </c>
      <c r="B127" s="710"/>
      <c r="C127" s="7" t="s">
        <v>882</v>
      </c>
      <c r="D127" s="716"/>
      <c r="E127" s="39"/>
      <c r="F127" s="737" t="str">
        <f>"(Line "&amp;A125&amp;" + "&amp;A126&amp;")"</f>
        <v>(Line 74 + 75)</v>
      </c>
      <c r="H127" s="655">
        <f>+H126+H125</f>
        <v>4690740.961646419</v>
      </c>
      <c r="I127" s="283"/>
      <c r="J127" s="350">
        <f>J125</f>
        <v>3515495.7459708964</v>
      </c>
      <c r="K127" s="342">
        <f>SUM(K125:K126)</f>
        <v>603810.55846690107</v>
      </c>
      <c r="L127" s="688">
        <f>SUM(L125:L126)</f>
        <v>571434.6572086222</v>
      </c>
      <c r="M127" s="283"/>
    </row>
    <row r="128" spans="1:13" ht="15.75" customHeight="1">
      <c r="A128" s="448"/>
      <c r="B128" s="710"/>
      <c r="C128" s="7"/>
      <c r="D128" s="716"/>
      <c r="E128" s="39"/>
      <c r="F128" s="744"/>
      <c r="H128" s="658"/>
      <c r="I128" s="283"/>
      <c r="J128" s="341"/>
      <c r="K128" s="342"/>
      <c r="L128" s="688"/>
      <c r="M128" s="283"/>
    </row>
    <row r="129" spans="1:16" ht="15.75" customHeight="1">
      <c r="A129" s="448">
        <f>+A127+1</f>
        <v>77</v>
      </c>
      <c r="B129" s="710"/>
      <c r="C129" s="7" t="s">
        <v>903</v>
      </c>
      <c r="D129" s="716"/>
      <c r="E129" s="34" t="str">
        <f>"(Note "&amp;B$302&amp;")"</f>
        <v>(Note F)</v>
      </c>
      <c r="F129" s="744" t="str">
        <f>"(Line "&amp;A116&amp;")"</f>
        <v>(Line 67)</v>
      </c>
      <c r="H129" s="654">
        <f>+H116</f>
        <v>7191327</v>
      </c>
      <c r="I129" s="283"/>
      <c r="J129" s="341">
        <f>H129</f>
        <v>7191327</v>
      </c>
      <c r="K129" s="342"/>
      <c r="L129" s="688"/>
      <c r="M129" s="283"/>
    </row>
    <row r="130" spans="1:16" ht="16.5" customHeight="1">
      <c r="A130" s="448">
        <f>+A129+1</f>
        <v>78</v>
      </c>
      <c r="B130" s="710"/>
      <c r="C130" s="7" t="s">
        <v>902</v>
      </c>
      <c r="D130" s="716"/>
      <c r="E130" s="34"/>
      <c r="F130" s="745" t="s">
        <v>664</v>
      </c>
      <c r="G130" s="561"/>
      <c r="H130" s="657">
        <f>'5 - Cost Support'!I114</f>
        <v>0</v>
      </c>
      <c r="I130" s="675"/>
      <c r="J130" s="363">
        <f>H130</f>
        <v>0</v>
      </c>
      <c r="K130" s="348"/>
      <c r="L130" s="705"/>
      <c r="M130" s="283"/>
    </row>
    <row r="131" spans="1:16" ht="15.75" customHeight="1">
      <c r="A131" s="448">
        <f>+A130+1</f>
        <v>79</v>
      </c>
      <c r="B131" s="710"/>
      <c r="C131" s="8" t="s">
        <v>847</v>
      </c>
      <c r="D131" s="546"/>
      <c r="E131" s="29"/>
      <c r="F131" s="737" t="str">
        <f>"(Line "&amp;A129&amp;" + "&amp;A130&amp;")"</f>
        <v>(Line 77 + 78)</v>
      </c>
      <c r="H131" s="654">
        <f>+H129+H130</f>
        <v>7191327</v>
      </c>
      <c r="I131" s="283"/>
      <c r="J131" s="654">
        <f>+J129+J130</f>
        <v>7191327</v>
      </c>
      <c r="K131" s="342"/>
      <c r="L131" s="688"/>
      <c r="M131" s="283"/>
    </row>
    <row r="132" spans="1:16" ht="15.75" customHeight="1">
      <c r="A132" s="448">
        <f>+A131+1</f>
        <v>80</v>
      </c>
      <c r="B132" s="2"/>
      <c r="C132" s="8" t="s">
        <v>804</v>
      </c>
      <c r="D132" s="7"/>
      <c r="E132" s="28"/>
      <c r="F132" s="742" t="str">
        <f>"(Line "&amp;A$26&amp;")"</f>
        <v>(Line 14)</v>
      </c>
      <c r="G132" s="561"/>
      <c r="H132" s="659">
        <f>+H26</f>
        <v>0.20462766097688967</v>
      </c>
      <c r="I132" s="675"/>
      <c r="J132" s="842">
        <f>H132</f>
        <v>0.20462766097688967</v>
      </c>
      <c r="K132" s="348"/>
      <c r="L132" s="705"/>
      <c r="M132" s="283"/>
    </row>
    <row r="133" spans="1:16" ht="15.75" customHeight="1">
      <c r="A133" s="448">
        <f>+A132+1</f>
        <v>81</v>
      </c>
      <c r="B133" s="2"/>
      <c r="C133" s="4" t="s">
        <v>782</v>
      </c>
      <c r="D133" s="9"/>
      <c r="E133" s="34" t="s">
        <v>966</v>
      </c>
      <c r="F133" s="737" t="str">
        <f>"(Line "&amp;A131&amp;" * "&amp;A132&amp;")"</f>
        <v>(Line 79 * 80)</v>
      </c>
      <c r="H133" s="655">
        <f>+H132*H131</f>
        <v>1471544.4233299531</v>
      </c>
      <c r="I133" s="283"/>
      <c r="J133" s="350">
        <f>H133</f>
        <v>1471544.4233299531</v>
      </c>
      <c r="K133" s="1038">
        <f>+K132*K131</f>
        <v>0</v>
      </c>
      <c r="L133" s="1030">
        <f>+L132*L131</f>
        <v>0</v>
      </c>
      <c r="M133" s="283"/>
    </row>
    <row r="134" spans="1:16" ht="15.75" customHeight="1">
      <c r="A134" s="448"/>
      <c r="B134" s="2"/>
      <c r="C134" s="1"/>
      <c r="E134" s="58"/>
      <c r="F134" s="738"/>
      <c r="H134" s="344"/>
      <c r="I134" s="283"/>
      <c r="J134" s="342"/>
      <c r="K134" s="342"/>
      <c r="L134" s="688"/>
      <c r="M134" s="283"/>
    </row>
    <row r="135" spans="1:16" ht="16.5" customHeight="1" thickBot="1">
      <c r="A135" s="448">
        <f>+A133+1</f>
        <v>82</v>
      </c>
      <c r="B135" s="2"/>
      <c r="C135" s="6" t="s">
        <v>823</v>
      </c>
      <c r="D135" s="14"/>
      <c r="E135" s="255"/>
      <c r="F135" s="351" t="str">
        <f>"(Line "&amp;A111&amp;" + "&amp;A122&amp;" + "&amp;A127&amp;" + "&amp;A133&amp;")"</f>
        <v>(Line 64 + 73 + 76 + 81)</v>
      </c>
      <c r="G135" s="351"/>
      <c r="H135" s="347">
        <f>+H111+H122+H127+H133</f>
        <v>45479010.093519643</v>
      </c>
      <c r="I135" s="765"/>
      <c r="J135" s="347">
        <f>+J111+J122+J127+J133</f>
        <v>41179617.877844125</v>
      </c>
      <c r="K135" s="347">
        <f>+K111+K122+K127+K133</f>
        <v>1910750.5584669011</v>
      </c>
      <c r="L135" s="704">
        <f>+L111+L122+L127+L133</f>
        <v>2388641.6572086224</v>
      </c>
      <c r="M135" s="283"/>
    </row>
    <row r="136" spans="1:16" ht="16.5" customHeight="1" thickTop="1" thickBot="1">
      <c r="A136" s="817"/>
      <c r="B136" s="775"/>
      <c r="C136" s="1142"/>
      <c r="D136" s="777"/>
      <c r="E136" s="1143"/>
      <c r="F136" s="818"/>
      <c r="G136" s="639"/>
      <c r="H136" s="1144"/>
      <c r="I136" s="820"/>
      <c r="J136" s="1145"/>
      <c r="K136" s="1145"/>
      <c r="L136" s="1146"/>
      <c r="M136" s="283"/>
    </row>
    <row r="137" spans="1:16" ht="15.75" customHeight="1">
      <c r="A137" s="696" t="s">
        <v>817</v>
      </c>
      <c r="B137" s="10"/>
      <c r="C137" s="714"/>
      <c r="D137" s="16"/>
      <c r="E137" s="254"/>
      <c r="F137" s="743"/>
      <c r="G137" s="295"/>
      <c r="H137" s="650"/>
      <c r="I137" s="697"/>
      <c r="J137" s="345"/>
      <c r="K137" s="345"/>
      <c r="L137" s="698"/>
      <c r="M137" s="283"/>
    </row>
    <row r="138" spans="1:16" ht="15.75" customHeight="1">
      <c r="A138" s="713"/>
      <c r="B138" s="2"/>
      <c r="C138" s="1"/>
      <c r="E138" s="58"/>
      <c r="F138" s="738"/>
      <c r="H138" s="356"/>
      <c r="I138" s="283"/>
      <c r="J138" s="342"/>
      <c r="K138" s="342"/>
      <c r="L138" s="688"/>
      <c r="M138" s="283"/>
    </row>
    <row r="139" spans="1:16" ht="15.75" customHeight="1">
      <c r="A139" s="448"/>
      <c r="B139" s="27" t="str">
        <f>"Depreciation Expense  (Note "&amp;B312&amp;")"</f>
        <v>Depreciation Expense  (Note P)</v>
      </c>
      <c r="C139" s="3"/>
      <c r="E139" s="2"/>
      <c r="F139" s="840"/>
      <c r="H139" s="841"/>
      <c r="I139" s="283"/>
      <c r="J139" s="341"/>
      <c r="K139" s="341"/>
      <c r="L139" s="688"/>
      <c r="M139" s="283"/>
    </row>
    <row r="140" spans="1:16" ht="15.75" customHeight="1">
      <c r="A140" s="448">
        <f>+A135+1</f>
        <v>83</v>
      </c>
      <c r="B140" s="710"/>
      <c r="C140" s="12" t="s">
        <v>753</v>
      </c>
      <c r="D140" s="13"/>
      <c r="E140" s="28"/>
      <c r="F140" s="745" t="s">
        <v>614</v>
      </c>
      <c r="G140" s="81"/>
      <c r="H140" s="1056">
        <v>51406705</v>
      </c>
      <c r="I140" s="675"/>
      <c r="J140" s="1054">
        <v>48299615</v>
      </c>
      <c r="K140" s="1054">
        <v>1482832</v>
      </c>
      <c r="L140" s="1404">
        <v>1624258</v>
      </c>
      <c r="M140" s="283"/>
      <c r="P140" s="1286"/>
    </row>
    <row r="141" spans="1:16" ht="15.75" customHeight="1">
      <c r="A141" s="448">
        <f>A140+1</f>
        <v>84</v>
      </c>
      <c r="B141" s="710"/>
      <c r="C141" s="1" t="s">
        <v>281</v>
      </c>
      <c r="D141" s="2"/>
      <c r="F141" s="744" t="str">
        <f>"(Line "&amp;A140&amp;")"</f>
        <v>(Line 83)</v>
      </c>
      <c r="H141" s="655">
        <f>+H140</f>
        <v>51406705</v>
      </c>
      <c r="I141" s="283"/>
      <c r="J141" s="655">
        <f>+J140</f>
        <v>48299615</v>
      </c>
      <c r="K141" s="655">
        <f>+K140</f>
        <v>1482832</v>
      </c>
      <c r="L141" s="717">
        <f>+L140</f>
        <v>1624258</v>
      </c>
      <c r="M141" s="283"/>
      <c r="P141" s="25"/>
    </row>
    <row r="142" spans="1:16" ht="15.75" customHeight="1">
      <c r="A142" s="448"/>
      <c r="B142" s="710"/>
      <c r="C142" s="7"/>
      <c r="E142" s="2"/>
      <c r="F142" s="744"/>
      <c r="H142" s="655"/>
      <c r="I142" s="283"/>
      <c r="J142" s="341"/>
      <c r="K142" s="341"/>
      <c r="L142" s="688"/>
      <c r="M142" s="283"/>
      <c r="P142" s="1400"/>
    </row>
    <row r="143" spans="1:16" ht="15.75" customHeight="1">
      <c r="A143" s="448">
        <f>+A140+1</f>
        <v>84</v>
      </c>
      <c r="B143" s="710"/>
      <c r="C143" s="7" t="s">
        <v>467</v>
      </c>
      <c r="E143" s="2"/>
      <c r="F143" s="744" t="s">
        <v>468</v>
      </c>
      <c r="H143" s="1055">
        <v>68444030</v>
      </c>
      <c r="I143" s="283"/>
      <c r="J143" s="1054">
        <f>H143</f>
        <v>68444030</v>
      </c>
      <c r="K143" s="341"/>
      <c r="L143" s="688"/>
      <c r="M143" s="283"/>
      <c r="P143" s="25"/>
    </row>
    <row r="144" spans="1:16" ht="15.75" customHeight="1">
      <c r="A144" s="448">
        <f t="shared" ref="A144:A150" si="1">+A143+1</f>
        <v>85</v>
      </c>
      <c r="B144" s="710"/>
      <c r="C144" s="13" t="s">
        <v>207</v>
      </c>
      <c r="D144" s="13"/>
      <c r="E144" s="28"/>
      <c r="F144" s="745"/>
      <c r="G144" s="81"/>
      <c r="H144" s="1395">
        <v>0.1743645483661366</v>
      </c>
      <c r="I144" s="1077"/>
      <c r="J144" s="1395">
        <v>0.1743645483661366</v>
      </c>
      <c r="K144" s="341"/>
      <c r="L144" s="688"/>
      <c r="M144" s="283"/>
    </row>
    <row r="145" spans="1:16" ht="15.75" customHeight="1">
      <c r="A145" s="448">
        <f t="shared" si="1"/>
        <v>86</v>
      </c>
      <c r="C145" s="3" t="s">
        <v>209</v>
      </c>
      <c r="F145" s="738"/>
      <c r="G145" s="3"/>
      <c r="H145" s="341">
        <f>H143*H144</f>
        <v>11934212.379308304</v>
      </c>
      <c r="I145" s="283"/>
      <c r="J145" s="341">
        <f>J143*J144</f>
        <v>11934212.379308304</v>
      </c>
      <c r="K145" s="341"/>
      <c r="L145" s="688"/>
      <c r="M145" s="283"/>
      <c r="P145" s="1319"/>
    </row>
    <row r="146" spans="1:16" ht="15.75" customHeight="1">
      <c r="A146" s="448">
        <f t="shared" si="1"/>
        <v>87</v>
      </c>
      <c r="B146" s="710"/>
      <c r="C146" s="7" t="s">
        <v>846</v>
      </c>
      <c r="E146" s="2"/>
      <c r="F146" s="744" t="s">
        <v>615</v>
      </c>
      <c r="H146" s="1055">
        <v>37517703</v>
      </c>
      <c r="I146" s="283"/>
      <c r="J146" s="341"/>
      <c r="K146" s="341"/>
      <c r="L146" s="693"/>
      <c r="M146" s="283"/>
      <c r="P146" s="1286"/>
    </row>
    <row r="147" spans="1:16" ht="15.75" customHeight="1">
      <c r="A147" s="448">
        <f t="shared" si="1"/>
        <v>88</v>
      </c>
      <c r="B147" s="710"/>
      <c r="C147" s="12" t="s">
        <v>805</v>
      </c>
      <c r="D147" s="13"/>
      <c r="E147" s="36" t="str">
        <f>"(Note "&amp;B$297&amp;")"</f>
        <v>(Note A)</v>
      </c>
      <c r="F147" s="745" t="s">
        <v>616</v>
      </c>
      <c r="G147" s="561"/>
      <c r="H147" s="1056">
        <v>2705229</v>
      </c>
      <c r="I147" s="675"/>
      <c r="J147" s="363"/>
      <c r="K147" s="363"/>
      <c r="L147" s="705"/>
      <c r="M147" s="283"/>
    </row>
    <row r="148" spans="1:16" ht="15.75" customHeight="1">
      <c r="A148" s="448">
        <f t="shared" si="1"/>
        <v>89</v>
      </c>
      <c r="B148" s="710"/>
      <c r="C148" s="7" t="s">
        <v>847</v>
      </c>
      <c r="E148" s="2"/>
      <c r="F148" s="737" t="str">
        <f>"(Line "&amp;A146&amp;" + "&amp;A147&amp;")"</f>
        <v>(Line 87 + 88)</v>
      </c>
      <c r="H148" s="654">
        <f>SUM(H146:H147)</f>
        <v>40222932</v>
      </c>
      <c r="I148" s="283"/>
      <c r="J148" s="341">
        <f>$H$148</f>
        <v>40222932</v>
      </c>
      <c r="K148" s="341">
        <f>J148</f>
        <v>40222932</v>
      </c>
      <c r="L148" s="688">
        <f>$H$148</f>
        <v>40222932</v>
      </c>
      <c r="M148" s="283"/>
    </row>
    <row r="149" spans="1:16" ht="15.75" customHeight="1">
      <c r="A149" s="448">
        <f t="shared" si="1"/>
        <v>90</v>
      </c>
      <c r="B149" s="710"/>
      <c r="C149" s="7" t="s">
        <v>839</v>
      </c>
      <c r="D149" s="12"/>
      <c r="E149" s="28"/>
      <c r="F149" s="740" t="str">
        <f>"(Line "&amp;A$13&amp;")"</f>
        <v>(Line 5)</v>
      </c>
      <c r="G149" s="561"/>
      <c r="H149" s="659">
        <f>+H13</f>
        <v>9.4526491474223637E-2</v>
      </c>
      <c r="I149" s="675"/>
      <c r="J149" s="506">
        <f>+$J$13</f>
        <v>9.4526491474223637E-2</v>
      </c>
      <c r="K149" s="506"/>
      <c r="L149" s="706"/>
      <c r="M149" s="283"/>
    </row>
    <row r="150" spans="1:16" ht="15.75" customHeight="1">
      <c r="A150" s="448">
        <f t="shared" si="1"/>
        <v>91</v>
      </c>
      <c r="B150" s="710"/>
      <c r="C150" s="27" t="s">
        <v>807</v>
      </c>
      <c r="E150" s="508"/>
      <c r="F150" s="737" t="str">
        <f>"(Line "&amp;A148&amp;" * "&amp;A149&amp;"+"&amp;A145&amp;")"</f>
        <v>(Line 89 * 90+86)</v>
      </c>
      <c r="H150" s="655">
        <f>(+H148*H149)+H145</f>
        <v>15736345.018074581</v>
      </c>
      <c r="I150" s="283"/>
      <c r="J150" s="655">
        <f>(+J148*J149)+J145</f>
        <v>15736345.018074581</v>
      </c>
      <c r="K150" s="1029">
        <f>+K148*K149</f>
        <v>0</v>
      </c>
      <c r="L150" s="1039">
        <f>+L148*L149</f>
        <v>0</v>
      </c>
      <c r="M150" s="283"/>
    </row>
    <row r="151" spans="1:16" ht="15.75" customHeight="1">
      <c r="A151" s="718"/>
      <c r="B151" s="719"/>
      <c r="C151" s="7"/>
      <c r="E151" s="2"/>
      <c r="F151" s="744"/>
      <c r="H151" s="656"/>
      <c r="I151" s="283"/>
      <c r="J151" s="342"/>
      <c r="K151" s="342"/>
      <c r="L151" s="688"/>
      <c r="M151" s="283"/>
    </row>
    <row r="152" spans="1:16" s="1" customFormat="1" ht="16.5" customHeight="1" thickBot="1">
      <c r="A152" s="448">
        <f>+A150+1</f>
        <v>92</v>
      </c>
      <c r="B152" s="259" t="s">
        <v>818</v>
      </c>
      <c r="C152" s="259"/>
      <c r="D152" s="6"/>
      <c r="E152" s="31"/>
      <c r="F152" s="351" t="str">
        <f>"(Line "&amp;A141&amp;" + "&amp;A150&amp;")"</f>
        <v>(Line 84 + 91)</v>
      </c>
      <c r="G152" s="351"/>
      <c r="H152" s="351">
        <f>+H150+H141</f>
        <v>67143050.018074587</v>
      </c>
      <c r="I152" s="767"/>
      <c r="J152" s="351">
        <f>+J150+J141</f>
        <v>64035960.01807458</v>
      </c>
      <c r="K152" s="351">
        <f>+K150+K141</f>
        <v>1482832</v>
      </c>
      <c r="L152" s="720">
        <f>+L150+L141</f>
        <v>1624258</v>
      </c>
      <c r="M152" s="703"/>
    </row>
    <row r="153" spans="1:16" ht="16.5" customHeight="1" thickTop="1">
      <c r="A153" s="695"/>
      <c r="C153" s="3"/>
      <c r="E153" s="2"/>
      <c r="F153" s="738"/>
      <c r="H153" s="592"/>
      <c r="I153" s="283"/>
      <c r="J153" s="342"/>
      <c r="K153" s="342"/>
      <c r="L153" s="688"/>
      <c r="M153" s="283"/>
    </row>
    <row r="154" spans="1:16" ht="16.5" customHeight="1">
      <c r="A154" s="696" t="s">
        <v>655</v>
      </c>
      <c r="B154" s="10"/>
      <c r="C154" s="714"/>
      <c r="D154" s="16"/>
      <c r="E154" s="57"/>
      <c r="F154" s="743"/>
      <c r="G154" s="295"/>
      <c r="H154" s="650"/>
      <c r="I154" s="697"/>
      <c r="J154" s="345"/>
      <c r="K154" s="345"/>
      <c r="L154" s="698"/>
      <c r="M154" s="283"/>
    </row>
    <row r="155" spans="1:16" ht="15.75" customHeight="1">
      <c r="A155" s="708"/>
      <c r="B155" s="2"/>
      <c r="C155" s="1"/>
      <c r="E155" s="58"/>
      <c r="F155" s="738"/>
      <c r="H155" s="356"/>
      <c r="I155" s="283"/>
      <c r="J155" s="342"/>
      <c r="K155" s="342"/>
      <c r="L155" s="688"/>
      <c r="M155" s="283"/>
    </row>
    <row r="156" spans="1:16" ht="15.75" customHeight="1">
      <c r="A156" s="448">
        <f>+A152+1</f>
        <v>93</v>
      </c>
      <c r="B156" s="27" t="s">
        <v>568</v>
      </c>
      <c r="C156" s="711"/>
      <c r="E156" s="710"/>
      <c r="F156" s="738" t="s">
        <v>666</v>
      </c>
      <c r="G156" s="44"/>
      <c r="H156" s="341">
        <f>SUM(J156:L156)</f>
        <v>8274956.5418998403</v>
      </c>
      <c r="I156" s="703"/>
      <c r="J156" s="341">
        <f>'2 - Other Tax'!G52</f>
        <v>6417187.5418998403</v>
      </c>
      <c r="K156" s="341">
        <f>'2 - Other Tax'!G49</f>
        <v>1313668</v>
      </c>
      <c r="L156" s="693">
        <f>'2 - Other Tax'!G50</f>
        <v>544101</v>
      </c>
      <c r="M156" s="283"/>
    </row>
    <row r="157" spans="1:16" ht="15.75" customHeight="1">
      <c r="A157" s="448"/>
      <c r="C157" s="3"/>
      <c r="E157" s="2"/>
      <c r="F157" s="738"/>
      <c r="H157" s="592"/>
      <c r="I157" s="283"/>
      <c r="J157" s="342"/>
      <c r="K157" s="342"/>
      <c r="L157" s="688"/>
      <c r="M157" s="283"/>
    </row>
    <row r="158" spans="1:16" ht="16.5" customHeight="1" thickBot="1">
      <c r="A158" s="448">
        <f>+A156+1</f>
        <v>94</v>
      </c>
      <c r="B158" s="6" t="s">
        <v>747</v>
      </c>
      <c r="C158" s="6"/>
      <c r="D158" s="6"/>
      <c r="E158" s="31"/>
      <c r="F158" s="746" t="str">
        <f>"(Line "&amp;A156&amp;")"</f>
        <v>(Line 93)</v>
      </c>
      <c r="G158" s="756"/>
      <c r="H158" s="347">
        <f>+H156</f>
        <v>8274956.5418998403</v>
      </c>
      <c r="I158" s="765"/>
      <c r="J158" s="347">
        <f>+J156</f>
        <v>6417187.5418998403</v>
      </c>
      <c r="K158" s="347">
        <f>+K156</f>
        <v>1313668</v>
      </c>
      <c r="L158" s="704">
        <f>+L156</f>
        <v>544101</v>
      </c>
      <c r="M158" s="283"/>
    </row>
    <row r="159" spans="1:16" ht="17.25" customHeight="1" thickTop="1">
      <c r="A159" s="448"/>
      <c r="C159" s="3"/>
      <c r="E159" s="2"/>
      <c r="F159" s="738"/>
      <c r="H159" s="592"/>
      <c r="I159" s="283"/>
      <c r="J159" s="342"/>
      <c r="K159" s="342"/>
      <c r="L159" s="688"/>
      <c r="M159" s="283"/>
    </row>
    <row r="160" spans="1:16" ht="15.75" customHeight="1">
      <c r="A160" s="696" t="s">
        <v>808</v>
      </c>
      <c r="B160" s="10"/>
      <c r="C160" s="714"/>
      <c r="D160" s="16"/>
      <c r="E160" s="254"/>
      <c r="F160" s="743"/>
      <c r="G160" s="295"/>
      <c r="H160" s="650"/>
      <c r="I160" s="697"/>
      <c r="J160" s="345"/>
      <c r="K160" s="345"/>
      <c r="L160" s="698"/>
      <c r="M160" s="283"/>
    </row>
    <row r="161" spans="1:13" ht="15.75" customHeight="1">
      <c r="A161" s="695"/>
      <c r="B161" s="2"/>
      <c r="C161" s="1"/>
      <c r="E161" s="58"/>
      <c r="F161" s="738"/>
      <c r="H161" s="356"/>
      <c r="I161" s="283"/>
      <c r="J161" s="342"/>
      <c r="K161" s="342"/>
      <c r="L161" s="688"/>
      <c r="M161" s="283"/>
    </row>
    <row r="162" spans="1:13" ht="15.75" customHeight="1">
      <c r="A162" s="448"/>
      <c r="B162" s="826" t="s">
        <v>343</v>
      </c>
      <c r="C162" s="827"/>
      <c r="D162" s="828"/>
      <c r="E162" s="828"/>
      <c r="F162" s="829"/>
      <c r="G162" s="830"/>
      <c r="H162" s="831"/>
      <c r="I162" s="594"/>
      <c r="J162" s="593"/>
      <c r="K162" s="342"/>
      <c r="L162" s="688"/>
      <c r="M162" s="283"/>
    </row>
    <row r="163" spans="1:13" ht="15.75" customHeight="1">
      <c r="A163" s="448">
        <f>+A158+1</f>
        <v>95</v>
      </c>
      <c r="B163" s="830"/>
      <c r="C163" s="830" t="s">
        <v>305</v>
      </c>
      <c r="D163" s="830" t="s">
        <v>342</v>
      </c>
      <c r="E163" s="830"/>
      <c r="F163" s="829"/>
      <c r="G163" s="830"/>
      <c r="H163" s="831">
        <f>+'WKSHT6 - Cost of Capital'!P5</f>
        <v>6176398461.5384617</v>
      </c>
      <c r="J163" s="592"/>
      <c r="K163" s="342"/>
      <c r="L163" s="688"/>
      <c r="M163" s="283"/>
    </row>
    <row r="164" spans="1:13" ht="15.75" customHeight="1">
      <c r="A164" s="448">
        <f>+A163+1</f>
        <v>96</v>
      </c>
      <c r="B164" s="830"/>
      <c r="C164" s="830" t="s">
        <v>306</v>
      </c>
      <c r="D164" s="830" t="s">
        <v>342</v>
      </c>
      <c r="E164" s="830"/>
      <c r="F164" s="829"/>
      <c r="G164" s="830"/>
      <c r="H164" s="831">
        <f>+'WKSHT6 - Cost of Capital'!P6</f>
        <v>0</v>
      </c>
      <c r="J164" s="592"/>
      <c r="K164" s="342"/>
      <c r="L164" s="688"/>
      <c r="M164" s="283"/>
    </row>
    <row r="165" spans="1:13" ht="15.75" customHeight="1">
      <c r="A165" s="448">
        <f t="shared" ref="A165:A201" si="2">+A164+1</f>
        <v>97</v>
      </c>
      <c r="B165" s="830"/>
      <c r="C165" s="830" t="s">
        <v>307</v>
      </c>
      <c r="D165" s="830" t="s">
        <v>342</v>
      </c>
      <c r="E165" s="830"/>
      <c r="F165" s="829"/>
      <c r="G165" s="830"/>
      <c r="H165" s="831">
        <f>+'WKSHT6 - Cost of Capital'!P8</f>
        <v>0</v>
      </c>
      <c r="J165" s="592"/>
      <c r="K165" s="342"/>
      <c r="L165" s="688"/>
      <c r="M165" s="283"/>
    </row>
    <row r="166" spans="1:13" ht="15.75" customHeight="1">
      <c r="A166" s="448">
        <f t="shared" si="2"/>
        <v>98</v>
      </c>
      <c r="B166" s="830"/>
      <c r="C166" s="832" t="s">
        <v>308</v>
      </c>
      <c r="D166" s="832" t="s">
        <v>342</v>
      </c>
      <c r="E166" s="832"/>
      <c r="F166" s="833"/>
      <c r="G166" s="834"/>
      <c r="H166" s="834">
        <f>+'WKSHT6 - Cost of Capital'!P9</f>
        <v>0</v>
      </c>
      <c r="J166" s="592"/>
      <c r="K166" s="342"/>
      <c r="L166" s="688"/>
      <c r="M166" s="283"/>
    </row>
    <row r="167" spans="1:13" ht="15.75" customHeight="1">
      <c r="A167" s="448">
        <f t="shared" si="2"/>
        <v>99</v>
      </c>
      <c r="B167" s="830"/>
      <c r="C167" s="830" t="s">
        <v>669</v>
      </c>
      <c r="D167" s="830" t="str">
        <f>"(Sum Ln "&amp;A163&amp;" through "&amp;A166&amp;""</f>
        <v>(Sum Ln 95 through 98</v>
      </c>
      <c r="E167" s="830"/>
      <c r="F167" s="829"/>
      <c r="G167" s="830"/>
      <c r="H167" s="831">
        <f>SUM(H163:H166)</f>
        <v>6176398461.5384617</v>
      </c>
      <c r="J167" s="592"/>
      <c r="K167" s="342"/>
      <c r="L167" s="688"/>
      <c r="M167" s="283"/>
    </row>
    <row r="168" spans="1:13" ht="15.75" customHeight="1">
      <c r="A168" s="448"/>
      <c r="B168" s="830"/>
      <c r="C168" s="830"/>
      <c r="D168" s="830"/>
      <c r="E168" s="830"/>
      <c r="F168" s="829"/>
      <c r="G168" s="830"/>
      <c r="H168" s="831"/>
      <c r="J168" s="592"/>
      <c r="K168" s="342"/>
      <c r="L168" s="688"/>
      <c r="M168" s="283"/>
    </row>
    <row r="169" spans="1:13" ht="15.75" customHeight="1">
      <c r="A169" s="448">
        <f>+A167+1</f>
        <v>100</v>
      </c>
      <c r="B169" s="830"/>
      <c r="C169" s="830" t="s">
        <v>309</v>
      </c>
      <c r="D169" s="830" t="s">
        <v>342</v>
      </c>
      <c r="E169" s="830"/>
      <c r="F169" s="829" t="s">
        <v>340</v>
      </c>
      <c r="G169" s="830"/>
      <c r="H169" s="831">
        <f>+'WKSHT6 - Cost of Capital'!P12</f>
        <v>-24544981.561538458</v>
      </c>
      <c r="J169" s="592"/>
      <c r="K169" s="342"/>
      <c r="L169" s="688"/>
      <c r="M169" s="283"/>
    </row>
    <row r="170" spans="1:13" ht="15.75" customHeight="1">
      <c r="A170" s="448">
        <f t="shared" si="2"/>
        <v>101</v>
      </c>
      <c r="B170" s="830"/>
      <c r="C170" s="830" t="s">
        <v>310</v>
      </c>
      <c r="D170" s="830" t="s">
        <v>342</v>
      </c>
      <c r="E170" s="830"/>
      <c r="F170" s="829" t="s">
        <v>340</v>
      </c>
      <c r="G170" s="830"/>
      <c r="H170" s="831">
        <f>+'WKSHT6 - Cost of Capital'!P13</f>
        <v>19318157.761538461</v>
      </c>
      <c r="J170" s="592"/>
      <c r="K170" s="342"/>
      <c r="L170" s="688"/>
      <c r="M170" s="283"/>
    </row>
    <row r="171" spans="1:13" ht="15.75" customHeight="1">
      <c r="A171" s="448">
        <f t="shared" si="2"/>
        <v>102</v>
      </c>
      <c r="B171" s="830"/>
      <c r="C171" s="830" t="s">
        <v>311</v>
      </c>
      <c r="D171" s="830" t="s">
        <v>342</v>
      </c>
      <c r="E171" s="830"/>
      <c r="F171" s="829" t="s">
        <v>340</v>
      </c>
      <c r="G171" s="835"/>
      <c r="H171" s="831">
        <f>+'WKSHT6 - Cost of Capital'!P14</f>
        <v>24148644.578461535</v>
      </c>
      <c r="J171" s="592"/>
      <c r="K171" s="342"/>
      <c r="L171" s="688"/>
      <c r="M171" s="283"/>
    </row>
    <row r="172" spans="1:13" ht="15.75" customHeight="1">
      <c r="A172" s="448">
        <f t="shared" si="2"/>
        <v>103</v>
      </c>
      <c r="B172" s="830"/>
      <c r="C172" s="830" t="s">
        <v>312</v>
      </c>
      <c r="D172" s="830" t="s">
        <v>342</v>
      </c>
      <c r="E172" s="830"/>
      <c r="F172" s="829" t="s">
        <v>340</v>
      </c>
      <c r="G172" s="835"/>
      <c r="H172" s="831">
        <f>+'WKSHT6 - Cost of Capital'!P15</f>
        <v>0</v>
      </c>
      <c r="J172" s="592"/>
      <c r="K172" s="342"/>
      <c r="L172" s="688"/>
      <c r="M172" s="283"/>
    </row>
    <row r="173" spans="1:13" ht="15.75" customHeight="1">
      <c r="A173" s="448">
        <f t="shared" si="2"/>
        <v>104</v>
      </c>
      <c r="B173" s="830"/>
      <c r="C173" s="832" t="s">
        <v>313</v>
      </c>
      <c r="D173" s="832" t="s">
        <v>342</v>
      </c>
      <c r="E173" s="832"/>
      <c r="F173" s="833" t="s">
        <v>340</v>
      </c>
      <c r="G173" s="836"/>
      <c r="H173" s="834">
        <f>+'WKSHT6 - Cost of Capital'!P16</f>
        <v>0</v>
      </c>
      <c r="J173" s="592"/>
      <c r="K173" s="342"/>
      <c r="L173" s="688"/>
      <c r="M173" s="283"/>
    </row>
    <row r="174" spans="1:13" ht="15.75" customHeight="1">
      <c r="A174" s="448">
        <f t="shared" si="2"/>
        <v>105</v>
      </c>
      <c r="B174" s="830"/>
      <c r="C174" s="830" t="s">
        <v>670</v>
      </c>
      <c r="D174" s="830" t="str">
        <f>"(Sum Ln "&amp;A169&amp;" through "&amp;A173&amp;""</f>
        <v>(Sum Ln 100 through 104</v>
      </c>
      <c r="E174" s="830"/>
      <c r="F174" s="829"/>
      <c r="G174" s="835"/>
      <c r="H174" s="831">
        <f>SUM(H167:H173)</f>
        <v>6195320282.3169231</v>
      </c>
      <c r="J174" s="592"/>
      <c r="K174" s="342"/>
      <c r="L174" s="688"/>
      <c r="M174" s="283"/>
    </row>
    <row r="175" spans="1:13" ht="15.75" customHeight="1">
      <c r="A175" s="448"/>
      <c r="B175" s="830"/>
      <c r="C175" s="830"/>
      <c r="D175" s="830"/>
      <c r="E175" s="830"/>
      <c r="F175" s="829"/>
      <c r="G175" s="835"/>
      <c r="H175" s="831"/>
      <c r="J175" s="592"/>
      <c r="K175" s="342"/>
      <c r="L175" s="688"/>
      <c r="M175" s="283"/>
    </row>
    <row r="176" spans="1:13" ht="15.75" customHeight="1">
      <c r="A176" s="448"/>
      <c r="B176" s="826" t="s">
        <v>683</v>
      </c>
      <c r="C176" s="830"/>
      <c r="D176" s="830"/>
      <c r="E176" s="830"/>
      <c r="F176" s="829"/>
      <c r="G176" s="830"/>
      <c r="H176" s="831"/>
      <c r="J176" s="592"/>
      <c r="K176" s="342"/>
      <c r="L176" s="688"/>
      <c r="M176" s="283"/>
    </row>
    <row r="177" spans="1:13" ht="15.75" customHeight="1">
      <c r="A177" s="448">
        <f>+A174+1</f>
        <v>106</v>
      </c>
      <c r="B177" s="830"/>
      <c r="C177" s="830" t="s">
        <v>314</v>
      </c>
      <c r="D177" s="830" t="s">
        <v>342</v>
      </c>
      <c r="E177" s="830"/>
      <c r="F177" s="829" t="s">
        <v>340</v>
      </c>
      <c r="G177" s="830"/>
      <c r="H177" s="831">
        <f>+'WKSHT6 - Cost of Capital'!P24</f>
        <v>312997191.64000005</v>
      </c>
      <c r="J177" s="592"/>
      <c r="K177" s="342"/>
      <c r="L177" s="688"/>
      <c r="M177" s="283"/>
    </row>
    <row r="178" spans="1:13" ht="15.75" customHeight="1">
      <c r="A178" s="448">
        <f t="shared" si="2"/>
        <v>107</v>
      </c>
      <c r="B178" s="830"/>
      <c r="C178" s="830" t="s">
        <v>315</v>
      </c>
      <c r="D178" s="830" t="s">
        <v>342</v>
      </c>
      <c r="E178" s="830"/>
      <c r="F178" s="829" t="s">
        <v>340</v>
      </c>
      <c r="G178" s="830"/>
      <c r="H178" s="831">
        <f>+'WKSHT6 - Cost of Capital'!P25</f>
        <v>3303259.1899999995</v>
      </c>
      <c r="J178" s="592"/>
      <c r="K178" s="342"/>
      <c r="L178" s="688"/>
      <c r="M178" s="283"/>
    </row>
    <row r="179" spans="1:13" ht="15.75" customHeight="1">
      <c r="A179" s="448">
        <f>+A178+1</f>
        <v>108</v>
      </c>
      <c r="B179" s="830"/>
      <c r="C179" s="830" t="s">
        <v>316</v>
      </c>
      <c r="D179" s="830" t="s">
        <v>342</v>
      </c>
      <c r="E179" s="830"/>
      <c r="F179" s="829" t="s">
        <v>340</v>
      </c>
      <c r="G179" s="830"/>
      <c r="H179" s="831">
        <f>+'WKSHT6 - Cost of Capital'!P26</f>
        <v>1931047.6800000006</v>
      </c>
      <c r="J179" s="592"/>
      <c r="K179" s="342"/>
      <c r="L179" s="688"/>
      <c r="M179" s="283"/>
    </row>
    <row r="180" spans="1:13" ht="15.75" customHeight="1">
      <c r="A180" s="448">
        <f t="shared" si="2"/>
        <v>109</v>
      </c>
      <c r="B180" s="830"/>
      <c r="C180" s="830" t="s">
        <v>317</v>
      </c>
      <c r="D180" s="830" t="s">
        <v>342</v>
      </c>
      <c r="E180" s="830"/>
      <c r="F180" s="829" t="s">
        <v>340</v>
      </c>
      <c r="G180" s="830"/>
      <c r="H180" s="831">
        <f>+'WKSHT6 - Cost of Capital'!P27</f>
        <v>0</v>
      </c>
      <c r="J180" s="592"/>
      <c r="K180" s="342"/>
      <c r="L180" s="688"/>
      <c r="M180" s="283"/>
    </row>
    <row r="181" spans="1:13" ht="15.75" customHeight="1">
      <c r="A181" s="448">
        <f>+A180+1</f>
        <v>110</v>
      </c>
      <c r="B181" s="830"/>
      <c r="C181" s="830" t="s">
        <v>335</v>
      </c>
      <c r="D181" s="830" t="s">
        <v>342</v>
      </c>
      <c r="E181" s="830"/>
      <c r="F181" s="829" t="s">
        <v>341</v>
      </c>
      <c r="G181" s="830"/>
      <c r="H181" s="831">
        <v>0</v>
      </c>
      <c r="J181" s="592"/>
      <c r="K181" s="342"/>
      <c r="L181" s="688"/>
      <c r="M181" s="283"/>
    </row>
    <row r="182" spans="1:13" ht="15.75" customHeight="1">
      <c r="A182" s="448">
        <f>+A181+1</f>
        <v>111</v>
      </c>
      <c r="B182" s="830"/>
      <c r="C182" s="832" t="s">
        <v>318</v>
      </c>
      <c r="D182" s="832" t="s">
        <v>342</v>
      </c>
      <c r="E182" s="832"/>
      <c r="F182" s="833" t="s">
        <v>340</v>
      </c>
      <c r="G182" s="834"/>
      <c r="H182" s="834">
        <f>+'WKSHT6 - Cost of Capital'!P28</f>
        <v>0</v>
      </c>
      <c r="J182" s="592"/>
      <c r="K182" s="342"/>
      <c r="L182" s="688"/>
      <c r="M182" s="283"/>
    </row>
    <row r="183" spans="1:13" ht="15.75" customHeight="1">
      <c r="A183" s="448">
        <f>+A182+1</f>
        <v>112</v>
      </c>
      <c r="B183" s="830"/>
      <c r="C183" s="830" t="s">
        <v>671</v>
      </c>
      <c r="D183" s="830" t="str">
        <f>"(Sum Ln "&amp;A177&amp;" through "&amp;A183&amp;""</f>
        <v>(Sum Ln 106 through 112</v>
      </c>
      <c r="E183" s="830"/>
      <c r="F183" s="829"/>
      <c r="G183" s="830"/>
      <c r="H183" s="831">
        <f>SUM(H177:H182)</f>
        <v>318231498.51000005</v>
      </c>
      <c r="J183" s="592"/>
      <c r="K183" s="1012"/>
      <c r="L183" s="688"/>
      <c r="M183" s="283"/>
    </row>
    <row r="184" spans="1:13" ht="15.75" customHeight="1">
      <c r="A184" s="448"/>
      <c r="B184" s="830"/>
      <c r="C184" s="830"/>
      <c r="D184" s="830"/>
      <c r="E184" s="830"/>
      <c r="F184" s="829"/>
      <c r="G184" s="830"/>
      <c r="H184" s="831"/>
      <c r="J184" s="592"/>
      <c r="K184" s="1012"/>
      <c r="L184" s="688"/>
      <c r="M184" s="283"/>
    </row>
    <row r="185" spans="1:13" ht="15.75" customHeight="1">
      <c r="A185" s="448"/>
      <c r="B185" s="826" t="s">
        <v>344</v>
      </c>
      <c r="C185" s="827"/>
      <c r="D185" s="830"/>
      <c r="E185" s="830"/>
      <c r="F185" s="829"/>
      <c r="G185" s="830"/>
      <c r="H185" s="837"/>
      <c r="J185" s="592"/>
      <c r="K185" s="1012"/>
      <c r="L185" s="688"/>
      <c r="M185" s="283"/>
    </row>
    <row r="186" spans="1:13" ht="15.75" customHeight="1">
      <c r="A186" s="448">
        <f>+A183+1</f>
        <v>113</v>
      </c>
      <c r="B186" s="830"/>
      <c r="C186" s="830" t="s">
        <v>319</v>
      </c>
      <c r="D186" s="830" t="s">
        <v>342</v>
      </c>
      <c r="E186" s="830"/>
      <c r="F186" s="829"/>
      <c r="G186" s="830"/>
      <c r="H186" s="831">
        <f>+'WKSHT6 - Cost of Capital'!P32</f>
        <v>0</v>
      </c>
      <c r="J186" s="592"/>
      <c r="K186" s="1012"/>
      <c r="L186" s="688"/>
      <c r="M186" s="283"/>
    </row>
    <row r="187" spans="1:13" ht="15.75" customHeight="1">
      <c r="A187" s="448">
        <f t="shared" si="2"/>
        <v>114</v>
      </c>
      <c r="B187" s="830"/>
      <c r="C187" s="830" t="s">
        <v>320</v>
      </c>
      <c r="D187" s="830" t="s">
        <v>342</v>
      </c>
      <c r="E187" s="830"/>
      <c r="F187" s="829"/>
      <c r="G187" s="830"/>
      <c r="H187" s="831">
        <f>+'WKSHT6 - Cost of Capital'!P33</f>
        <v>0</v>
      </c>
      <c r="J187" s="592"/>
      <c r="K187" s="1012"/>
      <c r="L187" s="688"/>
      <c r="M187" s="283"/>
    </row>
    <row r="188" spans="1:13" ht="15.75" customHeight="1">
      <c r="A188" s="448">
        <f t="shared" si="2"/>
        <v>115</v>
      </c>
      <c r="B188" s="830"/>
      <c r="C188" s="830" t="s">
        <v>321</v>
      </c>
      <c r="D188" s="830" t="s">
        <v>342</v>
      </c>
      <c r="E188" s="830"/>
      <c r="F188" s="829"/>
      <c r="G188" s="830"/>
      <c r="H188" s="831">
        <f>+'WKSHT6 - Cost of Capital'!P34</f>
        <v>0</v>
      </c>
      <c r="J188" s="592"/>
      <c r="K188" s="1012"/>
      <c r="L188" s="688"/>
      <c r="M188" s="283"/>
    </row>
    <row r="189" spans="1:13" ht="15.75" customHeight="1">
      <c r="A189" s="448">
        <f t="shared" si="2"/>
        <v>116</v>
      </c>
      <c r="B189" s="830"/>
      <c r="C189" s="830" t="s">
        <v>322</v>
      </c>
      <c r="D189" s="830" t="s">
        <v>342</v>
      </c>
      <c r="E189" s="830"/>
      <c r="F189" s="829"/>
      <c r="G189" s="830"/>
      <c r="H189" s="831">
        <f>+'WKSHT6 - Cost of Capital'!P35</f>
        <v>0</v>
      </c>
      <c r="J189" s="592"/>
      <c r="K189" s="342"/>
      <c r="L189" s="688"/>
      <c r="M189" s="283"/>
    </row>
    <row r="190" spans="1:13" ht="15.75" customHeight="1">
      <c r="A190" s="448">
        <f t="shared" si="2"/>
        <v>117</v>
      </c>
      <c r="B190" s="830"/>
      <c r="C190" s="830" t="s">
        <v>323</v>
      </c>
      <c r="D190" s="830" t="s">
        <v>342</v>
      </c>
      <c r="E190" s="830"/>
      <c r="F190" s="829"/>
      <c r="G190" s="830"/>
      <c r="H190" s="831">
        <f>+'WKSHT6 - Cost of Capital'!P36</f>
        <v>0</v>
      </c>
      <c r="J190" s="592"/>
      <c r="K190" s="1012"/>
      <c r="L190" s="688"/>
      <c r="M190" s="283"/>
    </row>
    <row r="191" spans="1:13" ht="15.75" customHeight="1">
      <c r="A191" s="448">
        <f t="shared" si="2"/>
        <v>118</v>
      </c>
      <c r="B191" s="830"/>
      <c r="C191" s="832" t="s">
        <v>324</v>
      </c>
      <c r="D191" s="832" t="s">
        <v>342</v>
      </c>
      <c r="E191" s="832"/>
      <c r="F191" s="833"/>
      <c r="G191" s="834"/>
      <c r="H191" s="834">
        <f>+'WKSHT6 - Cost of Capital'!P37</f>
        <v>0</v>
      </c>
      <c r="J191" s="592"/>
      <c r="K191" s="1012"/>
      <c r="L191" s="688"/>
      <c r="M191" s="283"/>
    </row>
    <row r="192" spans="1:13" ht="15.75" customHeight="1">
      <c r="A192" s="448">
        <f t="shared" si="2"/>
        <v>119</v>
      </c>
      <c r="B192" s="830"/>
      <c r="C192" s="830" t="s">
        <v>325</v>
      </c>
      <c r="D192" s="830" t="str">
        <f>"(Sum Ln "&amp;A186&amp;" through "&amp;A191&amp;""</f>
        <v>(Sum Ln 113 through 118</v>
      </c>
      <c r="E192" s="830"/>
      <c r="F192" s="829"/>
      <c r="G192" s="830"/>
      <c r="H192" s="831">
        <f>SUM(H186:H191)</f>
        <v>0</v>
      </c>
      <c r="J192" s="592"/>
      <c r="K192" s="1012"/>
      <c r="L192" s="688"/>
      <c r="M192" s="283"/>
    </row>
    <row r="193" spans="1:13" ht="15.75" customHeight="1">
      <c r="A193" s="448"/>
      <c r="B193" s="830"/>
      <c r="C193" s="830"/>
      <c r="D193" s="830"/>
      <c r="E193" s="830"/>
      <c r="F193" s="829"/>
      <c r="G193" s="830"/>
      <c r="H193" s="831"/>
      <c r="J193" s="592"/>
      <c r="K193" s="1012"/>
      <c r="L193" s="688"/>
      <c r="M193" s="283"/>
    </row>
    <row r="194" spans="1:13" ht="15.75" customHeight="1">
      <c r="A194" s="448">
        <f>+A192+1</f>
        <v>120</v>
      </c>
      <c r="B194" s="830"/>
      <c r="C194" s="830" t="s">
        <v>672</v>
      </c>
      <c r="D194" s="830" t="s">
        <v>342</v>
      </c>
      <c r="E194" s="830"/>
      <c r="F194" s="829" t="s">
        <v>326</v>
      </c>
      <c r="G194" s="830"/>
      <c r="H194" s="831">
        <f>+'WKSHT6 - Cost of Capital'!P39</f>
        <v>0</v>
      </c>
      <c r="J194" s="592"/>
      <c r="K194" s="1012"/>
      <c r="L194" s="688"/>
      <c r="M194" s="283"/>
    </row>
    <row r="195" spans="1:13" ht="15.75" customHeight="1">
      <c r="A195" s="448"/>
      <c r="B195" s="830"/>
      <c r="C195" s="830"/>
      <c r="D195" s="830"/>
      <c r="E195" s="830"/>
      <c r="F195" s="829"/>
      <c r="G195" s="830"/>
      <c r="H195" s="831"/>
      <c r="J195" s="592"/>
      <c r="K195" s="342"/>
      <c r="L195" s="688"/>
      <c r="M195" s="283"/>
    </row>
    <row r="196" spans="1:13" ht="15.75" customHeight="1">
      <c r="A196" s="448"/>
      <c r="B196" s="826" t="s">
        <v>736</v>
      </c>
      <c r="C196" s="827"/>
      <c r="D196" s="830"/>
      <c r="E196" s="830"/>
      <c r="F196" s="829"/>
      <c r="G196" s="830"/>
      <c r="H196" s="837"/>
      <c r="J196" s="592"/>
      <c r="K196" s="342"/>
      <c r="L196" s="688"/>
      <c r="M196" s="283"/>
    </row>
    <row r="197" spans="1:13" ht="15.75" customHeight="1">
      <c r="A197" s="448">
        <f>+A194+1</f>
        <v>121</v>
      </c>
      <c r="B197" s="830"/>
      <c r="C197" s="830" t="s">
        <v>849</v>
      </c>
      <c r="D197" s="830" t="s">
        <v>342</v>
      </c>
      <c r="E197" s="830"/>
      <c r="F197" s="829"/>
      <c r="G197" s="830"/>
      <c r="H197" s="831">
        <f>+'WKSHT6 - Cost of Capital'!P42</f>
        <v>5908102382.9030762</v>
      </c>
      <c r="J197" s="592"/>
      <c r="K197" s="342"/>
      <c r="L197" s="688"/>
      <c r="M197" s="283"/>
    </row>
    <row r="198" spans="1:13" ht="15.75" customHeight="1">
      <c r="A198" s="448">
        <f t="shared" si="2"/>
        <v>122</v>
      </c>
      <c r="B198" s="830"/>
      <c r="C198" s="830" t="s">
        <v>327</v>
      </c>
      <c r="D198" s="830" t="s">
        <v>342</v>
      </c>
      <c r="E198" s="830"/>
      <c r="F198" s="829"/>
      <c r="G198" s="830"/>
      <c r="H198" s="831">
        <f>+'WKSHT6 - Cost of Capital'!P43</f>
        <v>0</v>
      </c>
      <c r="J198" s="592"/>
      <c r="K198" s="342"/>
      <c r="L198" s="688"/>
      <c r="M198" s="283"/>
    </row>
    <row r="199" spans="1:13" ht="15.75" customHeight="1">
      <c r="A199" s="448">
        <f t="shared" si="2"/>
        <v>123</v>
      </c>
      <c r="B199" s="830"/>
      <c r="C199" s="830" t="s">
        <v>328</v>
      </c>
      <c r="D199" s="830" t="s">
        <v>342</v>
      </c>
      <c r="E199" s="830"/>
      <c r="F199" s="829"/>
      <c r="G199" s="830"/>
      <c r="H199" s="831">
        <f>+'WKSHT6 - Cost of Capital'!P44</f>
        <v>-12601253.425384618</v>
      </c>
      <c r="J199" s="592"/>
      <c r="K199" s="342"/>
      <c r="L199" s="688"/>
      <c r="M199" s="283"/>
    </row>
    <row r="200" spans="1:13" ht="15.75" customHeight="1">
      <c r="A200" s="448">
        <f t="shared" si="2"/>
        <v>124</v>
      </c>
      <c r="B200" s="830"/>
      <c r="C200" s="832" t="s">
        <v>329</v>
      </c>
      <c r="D200" s="832" t="s">
        <v>342</v>
      </c>
      <c r="E200" s="832"/>
      <c r="F200" s="833"/>
      <c r="G200" s="834"/>
      <c r="H200" s="834">
        <f>+'WKSHT6 - Cost of Capital'!P45</f>
        <v>-27588393.301538464</v>
      </c>
      <c r="J200" s="592"/>
      <c r="K200" s="342"/>
      <c r="L200" s="688"/>
      <c r="M200" s="283"/>
    </row>
    <row r="201" spans="1:13" ht="15.75" customHeight="1">
      <c r="A201" s="448">
        <f t="shared" si="2"/>
        <v>125</v>
      </c>
      <c r="B201" s="830"/>
      <c r="C201" s="830" t="s">
        <v>673</v>
      </c>
      <c r="D201" s="830" t="str">
        <f>"(Sum Ln "&amp;A197&amp;" through "&amp;A200&amp;""</f>
        <v>(Sum Ln 121 through 124</v>
      </c>
      <c r="E201" s="830"/>
      <c r="F201" s="829"/>
      <c r="G201" s="830"/>
      <c r="H201" s="831">
        <f>+H197-H198-H199-H200</f>
        <v>5948292029.6299992</v>
      </c>
      <c r="J201" s="592"/>
      <c r="K201" s="342"/>
      <c r="L201" s="688"/>
      <c r="M201" s="283"/>
    </row>
    <row r="202" spans="1:13" ht="15.75" customHeight="1">
      <c r="A202" s="448"/>
      <c r="B202" s="830"/>
      <c r="C202" s="830"/>
      <c r="D202" s="830"/>
      <c r="E202" s="830"/>
      <c r="F202" s="829"/>
      <c r="G202" s="830"/>
      <c r="H202" s="831"/>
      <c r="J202" s="592"/>
      <c r="K202" s="342"/>
      <c r="L202" s="688"/>
      <c r="M202" s="283"/>
    </row>
    <row r="203" spans="1:13" ht="15.75" customHeight="1">
      <c r="A203" s="448">
        <f>+A201+1</f>
        <v>126</v>
      </c>
      <c r="C203" s="7" t="s">
        <v>330</v>
      </c>
      <c r="D203" s="3" t="s">
        <v>741</v>
      </c>
      <c r="E203" s="34" t="s">
        <v>107</v>
      </c>
      <c r="F203" s="747" t="str">
        <f>"1 minus Sum Lines "&amp;A204&amp;" &amp; "&amp;A205&amp;"))"</f>
        <v>1 minus Sum Lines 127 &amp; 128))</v>
      </c>
      <c r="G203" s="214"/>
      <c r="H203" s="660">
        <f>1-H204-H205</f>
        <v>0.50940669092025948</v>
      </c>
      <c r="J203" s="592"/>
      <c r="K203" s="342"/>
      <c r="L203" s="688"/>
      <c r="M203" s="283"/>
    </row>
    <row r="204" spans="1:13" ht="15.75" customHeight="1">
      <c r="A204" s="448">
        <f>+A203+1</f>
        <v>127</v>
      </c>
      <c r="C204" s="7" t="s">
        <v>331</v>
      </c>
      <c r="D204" s="3" t="s">
        <v>761</v>
      </c>
      <c r="E204" s="34"/>
      <c r="F204" s="737" t="str">
        <f>"(Line "&amp;A192&amp;" / (Lines "&amp;A$167&amp;" + "&amp;A$192&amp;" +"&amp;A$201&amp;"))"</f>
        <v>(Line 119 / (Lines 99 + 119 +125))</v>
      </c>
      <c r="G204" s="214"/>
      <c r="H204" s="666">
        <f>H192/(H167+H192+H201)</f>
        <v>0</v>
      </c>
      <c r="J204" s="592"/>
      <c r="K204" s="342"/>
      <c r="L204" s="688"/>
      <c r="M204" s="283"/>
    </row>
    <row r="205" spans="1:13" ht="15.75" customHeight="1">
      <c r="A205" s="448">
        <f>+A204+1</f>
        <v>128</v>
      </c>
      <c r="C205" s="7" t="s">
        <v>332</v>
      </c>
      <c r="D205" s="3" t="s">
        <v>766</v>
      </c>
      <c r="E205" s="34"/>
      <c r="F205" s="747" t="str">
        <f>"Lesser of 50% or (Line "&amp;A201&amp;" / (Lines "&amp;A$167&amp;" + "&amp;A$192&amp;" +"&amp;A$201&amp;"))"</f>
        <v>Lesser of 50% or (Line 125 / (Lines 99 + 119 +125))</v>
      </c>
      <c r="G205" s="214"/>
      <c r="H205" s="666">
        <f>IF(H201/(H167+H192+H201)&gt;0.5,0.5,H201/(H167+H192+H201))</f>
        <v>0.49059330907974047</v>
      </c>
      <c r="J205" s="592"/>
      <c r="K205" s="342"/>
      <c r="L205" s="688"/>
      <c r="M205" s="283"/>
    </row>
    <row r="206" spans="1:13" ht="18">
      <c r="A206" s="448"/>
      <c r="C206" s="838"/>
      <c r="E206" s="2"/>
      <c r="F206" s="737"/>
      <c r="G206" s="214"/>
      <c r="H206" s="1011"/>
      <c r="J206" s="592"/>
      <c r="K206" s="342"/>
      <c r="L206" s="688"/>
      <c r="M206" s="283"/>
    </row>
    <row r="207" spans="1:13" ht="15.75" customHeight="1">
      <c r="A207" s="448"/>
      <c r="C207" s="838"/>
      <c r="E207" s="2"/>
      <c r="F207" s="737"/>
      <c r="G207" s="344"/>
      <c r="H207" s="592"/>
      <c r="J207" s="592"/>
      <c r="K207" s="342"/>
      <c r="L207" s="688"/>
      <c r="M207" s="283"/>
    </row>
    <row r="208" spans="1:13" ht="66.75" customHeight="1">
      <c r="A208" s="448">
        <f>+A205+1</f>
        <v>129</v>
      </c>
      <c r="C208" s="838" t="s">
        <v>907</v>
      </c>
      <c r="D208" s="839" t="s">
        <v>333</v>
      </c>
      <c r="E208" s="2"/>
      <c r="F208" s="737" t="str">
        <f>"(Line "&amp;A183&amp;" / Line "&amp;A174&amp;")"</f>
        <v>(Line 112 / Line 105)</v>
      </c>
      <c r="G208" s="214"/>
      <c r="H208" s="660">
        <f>H183/H174</f>
        <v>5.1366432082343927E-2</v>
      </c>
      <c r="J208" s="592"/>
      <c r="K208" s="342"/>
      <c r="L208" s="688"/>
      <c r="M208" s="283"/>
    </row>
    <row r="209" spans="1:13" ht="15.75" customHeight="1">
      <c r="A209" s="448">
        <f>+A208+1</f>
        <v>130</v>
      </c>
      <c r="C209" s="838" t="s">
        <v>913</v>
      </c>
      <c r="D209" s="839" t="s">
        <v>334</v>
      </c>
      <c r="E209" s="2"/>
      <c r="F209" s="737" t="str">
        <f>"(Line "&amp;A194&amp;" / Line "&amp;A192&amp;")"</f>
        <v>(Line 120 / Line 119)</v>
      </c>
      <c r="G209" s="214"/>
      <c r="H209" s="660">
        <f>IF(H194=0,0,H194/H192)</f>
        <v>0</v>
      </c>
      <c r="J209" s="592"/>
      <c r="K209" s="342"/>
      <c r="L209" s="688"/>
      <c r="M209" s="283"/>
    </row>
    <row r="210" spans="1:13" ht="15.75" customHeight="1">
      <c r="A210" s="448">
        <f>+A209+1</f>
        <v>131</v>
      </c>
      <c r="C210" s="838" t="s">
        <v>908</v>
      </c>
      <c r="D210" s="3" t="s">
        <v>736</v>
      </c>
      <c r="E210" s="34" t="str">
        <f>"(Note "&amp;B306&amp;")"</f>
        <v>(Note J)</v>
      </c>
      <c r="F210" s="737" t="s">
        <v>890</v>
      </c>
      <c r="G210" s="214"/>
      <c r="H210" s="660">
        <v>9.8000000000000004E-2</v>
      </c>
      <c r="J210" s="592"/>
      <c r="K210" s="342"/>
      <c r="L210" s="688"/>
      <c r="M210" s="283"/>
    </row>
    <row r="211" spans="1:13" ht="15.75" customHeight="1">
      <c r="A211" s="448"/>
      <c r="C211" s="838"/>
      <c r="E211" s="34"/>
      <c r="F211" s="737"/>
      <c r="G211" s="214"/>
      <c r="H211" s="660"/>
      <c r="J211" s="592"/>
      <c r="K211" s="342"/>
      <c r="L211" s="688"/>
      <c r="M211" s="283"/>
    </row>
    <row r="212" spans="1:13" ht="15.75" customHeight="1">
      <c r="A212" s="448">
        <f>+A210+1</f>
        <v>132</v>
      </c>
      <c r="B212" s="2"/>
      <c r="C212" s="7" t="s">
        <v>909</v>
      </c>
      <c r="E212" s="2"/>
      <c r="F212" s="737" t="str">
        <f>"(Line "&amp;A203&amp;" * "&amp;A208&amp;")"</f>
        <v>(Line 126 * 129)</v>
      </c>
      <c r="H212" s="661">
        <f>+H203*H208</f>
        <v>2.6166404191447074E-2</v>
      </c>
      <c r="I212" s="283"/>
      <c r="J212" s="342"/>
      <c r="K212" s="342"/>
      <c r="L212" s="688"/>
      <c r="M212" s="283"/>
    </row>
    <row r="213" spans="1:13" ht="15.75" customHeight="1">
      <c r="A213" s="448">
        <f>+A212+1</f>
        <v>133</v>
      </c>
      <c r="B213" s="2"/>
      <c r="C213" s="7" t="s">
        <v>939</v>
      </c>
      <c r="E213" s="2"/>
      <c r="F213" s="737" t="str">
        <f>"(Line "&amp;A204&amp;" * "&amp;A209&amp;")"</f>
        <v>(Line 127 * 130)</v>
      </c>
      <c r="H213" s="661">
        <f>+H204*H209</f>
        <v>0</v>
      </c>
      <c r="I213" s="283"/>
      <c r="J213" s="342"/>
      <c r="K213" s="342"/>
      <c r="L213" s="688"/>
      <c r="M213" s="283"/>
    </row>
    <row r="214" spans="1:13" ht="15.75" customHeight="1">
      <c r="A214" s="448">
        <f>+A213+1</f>
        <v>134</v>
      </c>
      <c r="B214" s="28"/>
      <c r="C214" s="12" t="s">
        <v>910</v>
      </c>
      <c r="D214" s="13"/>
      <c r="E214" s="28"/>
      <c r="F214" s="742" t="str">
        <f>"(Line "&amp;A205&amp;" * "&amp;A210&amp;")"</f>
        <v>(Line 128 * 131)</v>
      </c>
      <c r="G214" s="561"/>
      <c r="H214" s="664">
        <f>+H205*H210</f>
        <v>4.8078144289814564E-2</v>
      </c>
      <c r="I214" s="283"/>
      <c r="J214" s="341"/>
      <c r="K214" s="341"/>
      <c r="L214" s="693"/>
      <c r="M214" s="283"/>
    </row>
    <row r="215" spans="1:13" s="1" customFormat="1" ht="15.75" customHeight="1">
      <c r="A215" s="448">
        <f>+A214+1</f>
        <v>135</v>
      </c>
      <c r="B215" s="1" t="s">
        <v>742</v>
      </c>
      <c r="E215" s="32"/>
      <c r="F215" s="737" t="str">
        <f>"(Sum Lines "&amp;A212&amp;" to "&amp;A214&amp;")"</f>
        <v>(Sum Lines 132 to 134)</v>
      </c>
      <c r="H215" s="665">
        <f>SUM(H212:H214)</f>
        <v>7.4244548481261635E-2</v>
      </c>
      <c r="I215" s="703"/>
      <c r="J215" s="350"/>
      <c r="K215" s="350"/>
      <c r="L215" s="721"/>
      <c r="M215" s="703"/>
    </row>
    <row r="216" spans="1:13" s="1" customFormat="1" ht="15.75" customHeight="1">
      <c r="A216" s="687"/>
      <c r="B216" s="32"/>
      <c r="E216" s="32"/>
      <c r="F216" s="751"/>
      <c r="H216" s="665"/>
      <c r="I216" s="703"/>
      <c r="J216" s="350"/>
      <c r="K216" s="350"/>
      <c r="L216" s="721"/>
      <c r="M216" s="703"/>
    </row>
    <row r="217" spans="1:13" ht="16.5" customHeight="1" thickBot="1">
      <c r="A217" s="448">
        <f>+A215+1</f>
        <v>136</v>
      </c>
      <c r="B217" s="15" t="s">
        <v>813</v>
      </c>
      <c r="C217" s="14"/>
      <c r="D217" s="6"/>
      <c r="E217" s="294"/>
      <c r="F217" s="746" t="str">
        <f>"(Line "&amp;A102&amp;" * "&amp;A215&amp;")"</f>
        <v>(Line 59 * 135)</v>
      </c>
      <c r="G217" s="347"/>
      <c r="H217" s="746">
        <f>+H102*H215</f>
        <v>114581370.95447658</v>
      </c>
      <c r="I217" s="765"/>
      <c r="J217" s="347">
        <f>$H$217*J103</f>
        <v>110075874.79660591</v>
      </c>
      <c r="K217" s="347">
        <f>+H215*K102</f>
        <v>1476941.0918186235</v>
      </c>
      <c r="L217" s="704">
        <f>$H$217*L103</f>
        <v>3028555.0660520545</v>
      </c>
      <c r="M217" s="283"/>
    </row>
    <row r="218" spans="1:13" ht="16.5" customHeight="1" thickTop="1">
      <c r="A218" s="448"/>
      <c r="B218" s="2"/>
      <c r="C218" s="3"/>
      <c r="E218" s="2"/>
      <c r="F218" s="737"/>
      <c r="H218" s="661"/>
      <c r="I218" s="283"/>
      <c r="J218" s="341"/>
      <c r="K218" s="341"/>
      <c r="L218" s="693"/>
      <c r="M218" s="283"/>
    </row>
    <row r="219" spans="1:13" ht="15.75" customHeight="1">
      <c r="A219" s="696" t="s">
        <v>599</v>
      </c>
      <c r="B219" s="10"/>
      <c r="C219" s="714"/>
      <c r="D219" s="16"/>
      <c r="E219" s="57"/>
      <c r="F219" s="743"/>
      <c r="G219" s="295"/>
      <c r="H219" s="650"/>
      <c r="I219" s="697"/>
      <c r="J219" s="345"/>
      <c r="K219" s="345"/>
      <c r="L219" s="698"/>
      <c r="M219" s="283"/>
    </row>
    <row r="220" spans="1:13" ht="15.75" customHeight="1">
      <c r="A220" s="695"/>
      <c r="B220" s="2"/>
      <c r="C220" s="1"/>
      <c r="E220" s="58"/>
      <c r="F220" s="738"/>
      <c r="H220" s="356"/>
      <c r="I220" s="283"/>
      <c r="J220" s="341"/>
      <c r="K220" s="341"/>
      <c r="L220" s="693"/>
      <c r="M220" s="283"/>
    </row>
    <row r="221" spans="1:13" ht="15.75" customHeight="1">
      <c r="A221" s="448" t="s">
        <v>756</v>
      </c>
      <c r="B221" s="19" t="s">
        <v>814</v>
      </c>
      <c r="C221" s="3"/>
      <c r="E221" s="58"/>
      <c r="F221" s="737"/>
      <c r="H221" s="592"/>
      <c r="I221" s="283"/>
      <c r="J221" s="341"/>
      <c r="K221" s="341"/>
      <c r="L221" s="693"/>
      <c r="M221" s="283"/>
    </row>
    <row r="222" spans="1:13" ht="15.75" customHeight="1">
      <c r="A222" s="448">
        <f>+A217+1</f>
        <v>137</v>
      </c>
      <c r="B222" s="2"/>
      <c r="C222" s="3" t="s">
        <v>812</v>
      </c>
      <c r="E222" s="2"/>
      <c r="F222" s="738"/>
      <c r="H222" s="666">
        <v>0.21</v>
      </c>
      <c r="I222" s="283"/>
      <c r="J222" s="341"/>
      <c r="K222" s="341"/>
      <c r="L222" s="693"/>
      <c r="M222" s="283"/>
    </row>
    <row r="223" spans="1:13" ht="15.75" customHeight="1">
      <c r="A223" s="448">
        <f>+A222+1</f>
        <v>138</v>
      </c>
      <c r="B223" s="2"/>
      <c r="C223" s="3" t="s">
        <v>811</v>
      </c>
      <c r="D223" s="722"/>
      <c r="E223" s="34" t="str">
        <f>"(Note "&amp;B$305&amp;")"</f>
        <v>(Note I)</v>
      </c>
      <c r="F223" s="738"/>
      <c r="H223" s="666">
        <v>0</v>
      </c>
      <c r="I223" s="283"/>
      <c r="J223" s="341"/>
      <c r="K223" s="341"/>
      <c r="L223" s="693"/>
      <c r="M223" s="283"/>
    </row>
    <row r="224" spans="1:13" ht="15.75" customHeight="1">
      <c r="A224" s="448">
        <f>+A223+1</f>
        <v>139</v>
      </c>
      <c r="B224" s="2"/>
      <c r="C224" s="3" t="s">
        <v>884</v>
      </c>
      <c r="D224" s="3" t="s">
        <v>885</v>
      </c>
      <c r="E224" s="2"/>
      <c r="F224" s="738" t="s">
        <v>723</v>
      </c>
      <c r="H224" s="666">
        <v>0</v>
      </c>
      <c r="I224" s="283"/>
      <c r="J224" s="341"/>
      <c r="K224" s="341"/>
      <c r="L224" s="693"/>
      <c r="M224" s="283"/>
    </row>
    <row r="225" spans="1:13" ht="15.75" customHeight="1">
      <c r="A225" s="448">
        <f>+A224+1</f>
        <v>140</v>
      </c>
      <c r="B225" s="2"/>
      <c r="C225" s="3" t="s">
        <v>613</v>
      </c>
      <c r="D225" s="260" t="s">
        <v>904</v>
      </c>
      <c r="E225" s="2"/>
      <c r="F225" s="738"/>
      <c r="H225" s="667">
        <f>IF(H222&gt;0,1-(((1-H223)*(1-H222))/(1-H223*H222*H224)),0)</f>
        <v>0.20999999999999996</v>
      </c>
      <c r="I225" s="283"/>
      <c r="J225" s="341"/>
      <c r="K225" s="341"/>
      <c r="L225" s="693"/>
      <c r="M225" s="283"/>
    </row>
    <row r="226" spans="1:13" ht="15.75" customHeight="1">
      <c r="A226" s="448">
        <f>+A225+1</f>
        <v>141</v>
      </c>
      <c r="B226" s="2"/>
      <c r="C226" s="3" t="s">
        <v>883</v>
      </c>
      <c r="D226" s="722"/>
      <c r="E226" s="2"/>
      <c r="F226" s="738"/>
      <c r="H226" s="666">
        <f>+H225/(1-H225)</f>
        <v>0.2658227848101265</v>
      </c>
      <c r="I226" s="283"/>
      <c r="J226" s="341"/>
      <c r="K226" s="341"/>
      <c r="L226" s="693"/>
      <c r="M226" s="283"/>
    </row>
    <row r="227" spans="1:13" ht="15.75" customHeight="1">
      <c r="A227" s="448"/>
      <c r="B227" s="2"/>
      <c r="C227" s="3"/>
      <c r="E227" s="723"/>
      <c r="F227" s="752"/>
      <c r="H227" s="667"/>
      <c r="I227" s="283"/>
      <c r="J227" s="341"/>
      <c r="K227" s="341"/>
      <c r="L227" s="693"/>
      <c r="M227" s="283"/>
    </row>
    <row r="228" spans="1:13" ht="15.75" customHeight="1">
      <c r="A228" s="448"/>
      <c r="B228" s="19" t="s">
        <v>809</v>
      </c>
      <c r="C228" s="3"/>
      <c r="E228" s="34" t="str">
        <f>"(Note "&amp;B$305&amp;")"</f>
        <v>(Note I)</v>
      </c>
      <c r="F228" s="737"/>
      <c r="H228" s="668"/>
      <c r="I228" s="283"/>
      <c r="J228" s="341"/>
      <c r="K228" s="341"/>
      <c r="L228" s="693"/>
      <c r="M228" s="283"/>
    </row>
    <row r="229" spans="1:13" ht="15.75" customHeight="1">
      <c r="A229" s="448">
        <f>+A226+1</f>
        <v>142</v>
      </c>
      <c r="B229" s="2"/>
      <c r="C229" s="3" t="s">
        <v>482</v>
      </c>
      <c r="D229" s="3" t="str">
        <f>"(Note "&amp;$B$297&amp;")"</f>
        <v>(Note A)</v>
      </c>
      <c r="E229" s="58" t="s">
        <v>889</v>
      </c>
      <c r="F229" s="744" t="s">
        <v>663</v>
      </c>
      <c r="H229" s="344">
        <f>+'1 - ADIT'!H132</f>
        <v>0</v>
      </c>
      <c r="I229" s="679"/>
      <c r="J229" s="376"/>
      <c r="K229" s="341"/>
      <c r="L229" s="693"/>
      <c r="M229" s="283"/>
    </row>
    <row r="230" spans="1:13" ht="15.75" customHeight="1">
      <c r="A230" s="448">
        <f>+A229+1</f>
        <v>143</v>
      </c>
      <c r="B230" s="2"/>
      <c r="C230" s="3" t="s">
        <v>276</v>
      </c>
      <c r="E230" s="2"/>
      <c r="F230" s="737" t="str">
        <f>"(1 / (1-Line "&amp;A225&amp;"))"</f>
        <v>(1 / (1-Line 140))</v>
      </c>
      <c r="H230" s="660">
        <f>1/(1-H225)</f>
        <v>1.2658227848101264</v>
      </c>
      <c r="I230" s="283"/>
      <c r="J230" s="341"/>
      <c r="K230" s="341"/>
      <c r="L230" s="693"/>
      <c r="M230" s="283"/>
    </row>
    <row r="231" spans="1:13" ht="15.75" customHeight="1">
      <c r="A231" s="448">
        <f>+A230+1</f>
        <v>144</v>
      </c>
      <c r="B231" s="2"/>
      <c r="C231" s="3" t="s">
        <v>804</v>
      </c>
      <c r="D231" s="12"/>
      <c r="E231" s="28"/>
      <c r="F231" s="742" t="str">
        <f>"(Line "&amp;A$26&amp;")"</f>
        <v>(Line 14)</v>
      </c>
      <c r="G231" s="755"/>
      <c r="H231" s="656">
        <f>+H26</f>
        <v>0.20462766097688967</v>
      </c>
      <c r="I231" s="283"/>
      <c r="J231" s="341"/>
      <c r="K231" s="341"/>
      <c r="L231" s="693"/>
      <c r="M231" s="283"/>
    </row>
    <row r="232" spans="1:13" ht="15.75" customHeight="1">
      <c r="A232" s="448">
        <f>+A231+1</f>
        <v>145</v>
      </c>
      <c r="B232" s="2"/>
      <c r="C232" s="20" t="s">
        <v>810</v>
      </c>
      <c r="D232" s="9"/>
      <c r="E232" s="34"/>
      <c r="F232" s="737" t="str">
        <f>"(Line "&amp;A229&amp;" *  "&amp;A230&amp;" * "&amp;A231&amp;")"</f>
        <v>(Line 142 *  143 * 144)</v>
      </c>
      <c r="H232" s="669">
        <f>+H229*H230*H231</f>
        <v>0</v>
      </c>
      <c r="I232" s="283"/>
      <c r="J232" s="341"/>
      <c r="K232" s="341"/>
      <c r="L232" s="693"/>
      <c r="M232" s="283"/>
    </row>
    <row r="233" spans="1:13" ht="15.75" customHeight="1">
      <c r="A233" s="448"/>
      <c r="B233" s="2"/>
      <c r="C233" s="27"/>
      <c r="E233" s="34"/>
      <c r="F233" s="737"/>
      <c r="H233" s="655"/>
      <c r="I233" s="283"/>
      <c r="J233" s="341"/>
      <c r="K233" s="341"/>
      <c r="L233" s="693"/>
      <c r="M233" s="283"/>
    </row>
    <row r="234" spans="1:13" ht="15.75" customHeight="1">
      <c r="A234" s="448"/>
      <c r="B234" s="19" t="s">
        <v>1231</v>
      </c>
      <c r="C234" s="27"/>
      <c r="E234" s="34"/>
      <c r="F234" s="737"/>
      <c r="H234" s="655"/>
      <c r="I234" s="283"/>
      <c r="J234" s="341"/>
      <c r="K234" s="341"/>
      <c r="L234" s="693"/>
      <c r="M234" s="283"/>
    </row>
    <row r="235" spans="1:13" ht="15.75" customHeight="1">
      <c r="A235" s="448" t="s">
        <v>1230</v>
      </c>
      <c r="B235" s="19"/>
      <c r="C235" s="27" t="s">
        <v>1233</v>
      </c>
      <c r="E235" s="214"/>
      <c r="F235" s="738" t="s">
        <v>664</v>
      </c>
      <c r="G235" s="3"/>
      <c r="H235" s="655">
        <f>'5 - Cost Support'!H254</f>
        <v>-3337305.5605964065</v>
      </c>
      <c r="I235" s="283"/>
      <c r="J235" s="341"/>
      <c r="K235" s="341"/>
      <c r="L235" s="693"/>
      <c r="M235" s="283"/>
    </row>
    <row r="236" spans="1:13" ht="15.75" customHeight="1">
      <c r="A236" s="448" t="s">
        <v>1232</v>
      </c>
      <c r="B236" s="2"/>
      <c r="C236" s="27" t="s">
        <v>1234</v>
      </c>
      <c r="D236" s="3" t="s">
        <v>1235</v>
      </c>
      <c r="F236" s="737" t="s">
        <v>1236</v>
      </c>
      <c r="H236" s="655">
        <f>H235*(1/(1-H225))</f>
        <v>-4224437.4184764633</v>
      </c>
      <c r="I236" s="283"/>
      <c r="J236" s="341"/>
      <c r="K236" s="341"/>
      <c r="L236" s="693"/>
      <c r="M236" s="283"/>
    </row>
    <row r="237" spans="1:13" ht="15.75" customHeight="1">
      <c r="A237" s="448"/>
      <c r="B237" s="2"/>
      <c r="C237" s="27"/>
      <c r="E237" s="39"/>
      <c r="F237" s="753"/>
      <c r="H237" s="670"/>
      <c r="I237" s="283"/>
      <c r="J237" s="341"/>
      <c r="K237" s="341"/>
      <c r="L237" s="693"/>
      <c r="M237" s="283"/>
    </row>
    <row r="238" spans="1:13" ht="15.75" customHeight="1">
      <c r="A238" s="448">
        <f>+A232+1</f>
        <v>146</v>
      </c>
      <c r="B238" s="1" t="s">
        <v>835</v>
      </c>
      <c r="C238" s="3"/>
      <c r="D238" s="3" t="s">
        <v>837</v>
      </c>
      <c r="E238" s="58"/>
      <c r="F238" s="737" t="str">
        <f>"[Line "&amp;A226&amp;" * "&amp;A217&amp;" * (1-("&amp;A212&amp;" / "&amp;A215&amp;"))]"</f>
        <v>[Line 141 * 136 * (1-(132 / 135))]</v>
      </c>
      <c r="H238" s="357">
        <f>+H226*(1-H212/H215)*H217</f>
        <v>19723743.39570152</v>
      </c>
      <c r="I238" s="283"/>
      <c r="J238" s="341"/>
      <c r="K238" s="341"/>
      <c r="L238" s="693"/>
      <c r="M238" s="283"/>
    </row>
    <row r="239" spans="1:13" ht="15.75" customHeight="1">
      <c r="A239" s="448"/>
      <c r="B239" s="2"/>
      <c r="C239" s="7"/>
      <c r="E239" s="2"/>
      <c r="F239" s="749"/>
      <c r="H239" s="654"/>
      <c r="I239" s="283"/>
      <c r="J239" s="341"/>
      <c r="K239" s="341"/>
      <c r="L239" s="693"/>
      <c r="M239" s="283"/>
    </row>
    <row r="240" spans="1:13" ht="16.5" customHeight="1" thickBot="1">
      <c r="A240" s="448">
        <f>+A238+1</f>
        <v>147</v>
      </c>
      <c r="B240" s="15" t="s">
        <v>732</v>
      </c>
      <c r="C240" s="15"/>
      <c r="D240" s="6"/>
      <c r="E240" s="31"/>
      <c r="F240" s="746" t="str">
        <f>"(Line "&amp;A232&amp;" + 145b + "&amp;A238&amp;")"</f>
        <v>(Line 145 + 145b + 146)</v>
      </c>
      <c r="G240" s="746"/>
      <c r="H240" s="671">
        <f>+H238+H236+H232</f>
        <v>15499305.977225058</v>
      </c>
      <c r="I240" s="765"/>
      <c r="J240" s="347">
        <f>$H240*J$103</f>
        <v>14889852.076051246</v>
      </c>
      <c r="K240" s="347">
        <f>$H$240*K103</f>
        <v>199784.3253379169</v>
      </c>
      <c r="L240" s="704">
        <f>$H$240*L103</f>
        <v>409669.57583589572</v>
      </c>
      <c r="M240" s="283"/>
    </row>
    <row r="241" spans="1:16" ht="16.5" customHeight="1" thickTop="1">
      <c r="A241" s="448"/>
      <c r="B241" s="2"/>
      <c r="C241" s="260"/>
      <c r="E241" s="2"/>
      <c r="F241" s="747"/>
      <c r="H241" s="672"/>
      <c r="I241" s="283"/>
      <c r="J241" s="341"/>
      <c r="K241" s="341"/>
      <c r="L241" s="693"/>
      <c r="M241" s="283"/>
    </row>
    <row r="242" spans="1:16" ht="15.75" customHeight="1">
      <c r="A242" s="696" t="s">
        <v>743</v>
      </c>
      <c r="B242" s="10"/>
      <c r="C242" s="714"/>
      <c r="D242" s="16"/>
      <c r="E242" s="254"/>
      <c r="F242" s="743"/>
      <c r="G242" s="295"/>
      <c r="H242" s="650"/>
      <c r="I242" s="697"/>
      <c r="J242" s="345"/>
      <c r="K242" s="345"/>
      <c r="L242" s="698"/>
      <c r="M242" s="283"/>
      <c r="N242" s="25"/>
    </row>
    <row r="243" spans="1:16" ht="15.75" customHeight="1">
      <c r="A243" s="448"/>
      <c r="C243" s="3"/>
      <c r="E243" s="2"/>
      <c r="F243" s="738"/>
      <c r="H243" s="592"/>
      <c r="I243" s="283"/>
      <c r="J243" s="342"/>
      <c r="K243" s="342"/>
      <c r="L243" s="688"/>
      <c r="M243" s="283"/>
    </row>
    <row r="244" spans="1:16" ht="15.75" customHeight="1">
      <c r="A244" s="448"/>
      <c r="B244" s="1" t="s">
        <v>733</v>
      </c>
      <c r="C244" s="3"/>
      <c r="E244" s="2"/>
      <c r="F244" s="738"/>
      <c r="H244" s="592"/>
      <c r="I244" s="283"/>
      <c r="J244" s="342"/>
      <c r="K244" s="342"/>
      <c r="L244" s="688"/>
      <c r="M244" s="283"/>
    </row>
    <row r="245" spans="1:16" ht="15.75" customHeight="1">
      <c r="A245" s="448">
        <f>+A240+1</f>
        <v>148</v>
      </c>
      <c r="C245" s="3" t="s">
        <v>734</v>
      </c>
      <c r="E245" s="2"/>
      <c r="F245" s="737" t="str">
        <f>"(Line "&amp;A61&amp;")"</f>
        <v>(Line 37)</v>
      </c>
      <c r="H245" s="344">
        <f>+H61</f>
        <v>1731005103.886862</v>
      </c>
      <c r="I245" s="214"/>
      <c r="J245" s="344">
        <f>+J61</f>
        <v>1670320565.4253237</v>
      </c>
      <c r="K245" s="344">
        <f>+K61</f>
        <v>19892923.076923072</v>
      </c>
      <c r="L245" s="694">
        <f>+L61</f>
        <v>40791615.384615384</v>
      </c>
      <c r="M245" s="283"/>
      <c r="N245" s="1319"/>
    </row>
    <row r="246" spans="1:16" ht="15.75" customHeight="1">
      <c r="A246" s="448">
        <f>+A245+1</f>
        <v>149</v>
      </c>
      <c r="C246" s="3" t="s">
        <v>830</v>
      </c>
      <c r="E246" s="2"/>
      <c r="F246" s="742" t="str">
        <f>"(Line "&amp;A100&amp;")"</f>
        <v>(Line 58)</v>
      </c>
      <c r="G246" s="561"/>
      <c r="H246" s="344">
        <f>+H100</f>
        <v>-187708346.10005385</v>
      </c>
      <c r="I246" s="214"/>
      <c r="J246" s="344">
        <f>+J100</f>
        <v>-187708346.10005385</v>
      </c>
      <c r="K246" s="344">
        <f>+K100</f>
        <v>0</v>
      </c>
      <c r="L246" s="694">
        <f>+L100</f>
        <v>0</v>
      </c>
      <c r="M246" s="283"/>
      <c r="N246" s="214"/>
    </row>
    <row r="247" spans="1:16" ht="15.75" customHeight="1">
      <c r="A247" s="448">
        <f>+A246+1</f>
        <v>150</v>
      </c>
      <c r="B247" s="2"/>
      <c r="C247" s="4" t="s">
        <v>834</v>
      </c>
      <c r="D247" s="4"/>
      <c r="E247" s="33"/>
      <c r="F247" s="737" t="str">
        <f>"(Line "&amp;A102&amp;")"</f>
        <v>(Line 59)</v>
      </c>
      <c r="H247" s="346">
        <f>+H102</f>
        <v>1543296757.7868083</v>
      </c>
      <c r="I247" s="676"/>
      <c r="J247" s="346">
        <f>+J102</f>
        <v>1482612219.3252699</v>
      </c>
      <c r="K247" s="346">
        <f>+K102</f>
        <v>19892923.076923072</v>
      </c>
      <c r="L247" s="702">
        <f>+L102</f>
        <v>40791615.384615384</v>
      </c>
      <c r="M247" s="283"/>
      <c r="P247" s="25"/>
    </row>
    <row r="248" spans="1:16" ht="15.75" customHeight="1">
      <c r="A248" s="448"/>
      <c r="B248" s="2"/>
      <c r="C248" s="3"/>
      <c r="E248" s="58"/>
      <c r="F248" s="738"/>
      <c r="H248" s="344"/>
      <c r="I248" s="283"/>
      <c r="J248" s="342"/>
      <c r="K248" s="342"/>
      <c r="L248" s="688"/>
      <c r="M248" s="283"/>
    </row>
    <row r="249" spans="1:16" ht="15.75" customHeight="1">
      <c r="A249" s="448">
        <f>+A247+1</f>
        <v>151</v>
      </c>
      <c r="C249" s="3" t="s">
        <v>892</v>
      </c>
      <c r="E249" s="2"/>
      <c r="F249" s="737" t="str">
        <f>"(Line "&amp;A135&amp;")"</f>
        <v>(Line 82)</v>
      </c>
      <c r="H249" s="344">
        <f>+H135</f>
        <v>45479010.093519643</v>
      </c>
      <c r="I249" s="214"/>
      <c r="J249" s="344">
        <f>+J135</f>
        <v>41179617.877844125</v>
      </c>
      <c r="K249" s="344">
        <f>+K135</f>
        <v>1910750.5584669011</v>
      </c>
      <c r="L249" s="694">
        <f>+L135</f>
        <v>2388641.6572086224</v>
      </c>
      <c r="M249" s="266"/>
    </row>
    <row r="250" spans="1:16" ht="15.75" customHeight="1">
      <c r="A250" s="448">
        <f>+A249+1</f>
        <v>152</v>
      </c>
      <c r="C250" s="7" t="s">
        <v>815</v>
      </c>
      <c r="E250" s="2"/>
      <c r="F250" s="737" t="str">
        <f>"(Line "&amp;A152&amp;")"</f>
        <v>(Line 92)</v>
      </c>
      <c r="H250" s="344">
        <f>+H152</f>
        <v>67143050.018074587</v>
      </c>
      <c r="I250" s="214"/>
      <c r="J250" s="344">
        <f>+J152</f>
        <v>64035960.01807458</v>
      </c>
      <c r="K250" s="344">
        <f>+K152</f>
        <v>1482832</v>
      </c>
      <c r="L250" s="694">
        <f>+L152</f>
        <v>1624258</v>
      </c>
      <c r="M250" s="266"/>
    </row>
    <row r="251" spans="1:16" ht="15.75" customHeight="1">
      <c r="A251" s="448">
        <f>+A250+1</f>
        <v>153</v>
      </c>
      <c r="B251" s="2"/>
      <c r="C251" s="3" t="s">
        <v>735</v>
      </c>
      <c r="E251" s="58"/>
      <c r="F251" s="737" t="str">
        <f>"(Line "&amp;A158&amp;")"</f>
        <v>(Line 94)</v>
      </c>
      <c r="H251" s="344">
        <f>+H158</f>
        <v>8274956.5418998403</v>
      </c>
      <c r="I251" s="214"/>
      <c r="J251" s="344">
        <f>+J158</f>
        <v>6417187.5418998403</v>
      </c>
      <c r="K251" s="344">
        <f>+K158</f>
        <v>1313668</v>
      </c>
      <c r="L251" s="694">
        <f>+L158</f>
        <v>544101</v>
      </c>
      <c r="M251" s="266"/>
    </row>
    <row r="252" spans="1:16" ht="15.75" customHeight="1">
      <c r="A252" s="448">
        <f>+A251+1</f>
        <v>154</v>
      </c>
      <c r="B252" s="2"/>
      <c r="C252" s="260" t="s">
        <v>856</v>
      </c>
      <c r="E252" s="58"/>
      <c r="F252" s="737" t="str">
        <f>"(Line "&amp;A217&amp;")"</f>
        <v>(Line 136)</v>
      </c>
      <c r="H252" s="344">
        <f>+H217</f>
        <v>114581370.95447658</v>
      </c>
      <c r="I252" s="214"/>
      <c r="J252" s="344">
        <f>+J217</f>
        <v>110075874.79660591</v>
      </c>
      <c r="K252" s="344">
        <f>+K217</f>
        <v>1476941.0918186235</v>
      </c>
      <c r="L252" s="694">
        <f>+L217</f>
        <v>3028555.0660520545</v>
      </c>
      <c r="M252" s="266"/>
    </row>
    <row r="253" spans="1:16" ht="15.75" customHeight="1">
      <c r="A253" s="448">
        <f>+A252+1</f>
        <v>155</v>
      </c>
      <c r="B253" s="2"/>
      <c r="C253" s="260" t="s">
        <v>857</v>
      </c>
      <c r="E253" s="58"/>
      <c r="F253" s="737" t="str">
        <f>"(Line "&amp;A240&amp;")"</f>
        <v>(Line 147)</v>
      </c>
      <c r="H253" s="344">
        <f>+H240</f>
        <v>15499305.977225058</v>
      </c>
      <c r="I253" s="214"/>
      <c r="J253" s="344">
        <f>+J240</f>
        <v>14889852.076051246</v>
      </c>
      <c r="K253" s="344">
        <f>+K240</f>
        <v>199784.3253379169</v>
      </c>
      <c r="L253" s="694">
        <f>+L240</f>
        <v>409669.57583589572</v>
      </c>
      <c r="M253" s="266"/>
    </row>
    <row r="254" spans="1:16" ht="16.5" customHeight="1" thickBot="1">
      <c r="A254" s="448"/>
      <c r="B254" s="2"/>
      <c r="C254" s="260"/>
      <c r="E254" s="58"/>
      <c r="F254" s="738"/>
      <c r="H254" s="344"/>
      <c r="I254" s="214"/>
      <c r="J254" s="344"/>
      <c r="K254" s="344"/>
      <c r="L254" s="694"/>
      <c r="M254" s="283"/>
    </row>
    <row r="255" spans="1:16" ht="18.75" customHeight="1" thickBot="1">
      <c r="A255" s="24">
        <f>+A253+1</f>
        <v>156</v>
      </c>
      <c r="B255" s="23"/>
      <c r="C255" s="261" t="s">
        <v>880</v>
      </c>
      <c r="D255" s="261"/>
      <c r="E255" s="262"/>
      <c r="F255" s="352" t="str">
        <f>"(Sum Lines "&amp;A249&amp;" to "&amp;A253&amp;")"</f>
        <v>(Sum Lines 151 to 155)</v>
      </c>
      <c r="G255" s="769"/>
      <c r="H255" s="352">
        <f>SUM(H253,H252,H251,H250,H249)</f>
        <v>250977693.58519566</v>
      </c>
      <c r="I255" s="677"/>
      <c r="J255" s="352">
        <f>SUM(J253,J252,J251,J250,J249)</f>
        <v>236598492.31047571</v>
      </c>
      <c r="K255" s="352">
        <f>SUM(K253,K252,K251,K250,K249)</f>
        <v>6383975.9756234409</v>
      </c>
      <c r="L255" s="724">
        <f>SUM(L253,L252,L251,L250,L249)</f>
        <v>7995225.2990965722</v>
      </c>
      <c r="M255" s="283"/>
      <c r="N255" s="1286"/>
      <c r="O255" s="214"/>
    </row>
    <row r="256" spans="1:16" ht="18" customHeight="1">
      <c r="A256" s="725"/>
      <c r="B256" s="37"/>
      <c r="C256" s="263"/>
      <c r="D256" s="263"/>
      <c r="E256" s="264"/>
      <c r="F256" s="751"/>
      <c r="H256" s="673"/>
      <c r="I256" s="283"/>
      <c r="J256" s="342"/>
      <c r="K256" s="342"/>
      <c r="L256" s="688"/>
      <c r="M256" s="283"/>
    </row>
    <row r="257" spans="1:16" ht="18" customHeight="1">
      <c r="A257" s="725"/>
      <c r="B257" s="27" t="s">
        <v>783</v>
      </c>
      <c r="C257" s="263"/>
      <c r="D257" s="263"/>
      <c r="E257" s="264"/>
      <c r="F257" s="751"/>
      <c r="H257" s="673"/>
      <c r="I257" s="283"/>
      <c r="J257" s="342"/>
      <c r="K257" s="342"/>
      <c r="L257" s="688"/>
      <c r="M257" s="283"/>
      <c r="N257" s="1287"/>
    </row>
    <row r="258" spans="1:16" ht="18" customHeight="1">
      <c r="A258" s="448">
        <f>+A255+1</f>
        <v>157</v>
      </c>
      <c r="B258" s="2"/>
      <c r="C258" s="3" t="str">
        <f>+C31</f>
        <v>Transmission Plant In Service</v>
      </c>
      <c r="D258" s="263"/>
      <c r="E258" s="264"/>
      <c r="F258" s="737" t="str">
        <f>"(Line "&amp;A33&amp;")"</f>
        <v>(Line 17)</v>
      </c>
      <c r="H258" s="344">
        <f>+H33</f>
        <v>2395849104.7370076</v>
      </c>
      <c r="I258" s="214"/>
      <c r="J258" s="344">
        <f>+J33</f>
        <v>2201577797.0447001</v>
      </c>
      <c r="K258" s="344">
        <f>+K33</f>
        <v>99258153.84615384</v>
      </c>
      <c r="L258" s="694">
        <f>+L33</f>
        <v>95013153.84615384</v>
      </c>
      <c r="M258" s="283"/>
      <c r="N258" s="1287"/>
    </row>
    <row r="259" spans="1:16" ht="18" customHeight="1">
      <c r="A259" s="448">
        <f>+A258+1</f>
        <v>158</v>
      </c>
      <c r="B259" s="2"/>
      <c r="C259" s="13" t="s">
        <v>784</v>
      </c>
      <c r="D259" s="265"/>
      <c r="E259" s="36" t="str">
        <f>"(Note "&amp;B$309&amp;")"</f>
        <v>(Note M)</v>
      </c>
      <c r="F259" s="742" t="s">
        <v>664</v>
      </c>
      <c r="G259" s="561"/>
      <c r="H259" s="353">
        <f>+J259+K259+L259</f>
        <v>203855000</v>
      </c>
      <c r="I259" s="678"/>
      <c r="J259" s="353">
        <f>'5 - Cost Support'!H121</f>
        <v>199415000</v>
      </c>
      <c r="K259" s="353">
        <f>'5 - Cost Support'!H120</f>
        <v>4440000</v>
      </c>
      <c r="L259" s="726">
        <f>'5 - Cost Support'!H122</f>
        <v>0</v>
      </c>
      <c r="M259" s="283"/>
    </row>
    <row r="260" spans="1:16" ht="18" customHeight="1">
      <c r="A260" s="448">
        <f>+A259+1</f>
        <v>159</v>
      </c>
      <c r="B260" s="2"/>
      <c r="C260" s="3" t="s">
        <v>785</v>
      </c>
      <c r="D260" s="263"/>
      <c r="E260" s="1131"/>
      <c r="F260" s="737" t="str">
        <f>"(Line "&amp;A258&amp;" - "&amp;A259&amp;")"</f>
        <v>(Line 157 - 158)</v>
      </c>
      <c r="H260" s="344">
        <f>+H258-H259</f>
        <v>2191994104.7370076</v>
      </c>
      <c r="I260" s="214"/>
      <c r="J260" s="344">
        <f>+J258-J259</f>
        <v>2002162797.0447001</v>
      </c>
      <c r="K260" s="344">
        <f>+K258-K259</f>
        <v>94818153.84615384</v>
      </c>
      <c r="L260" s="694">
        <f>+L258-L259</f>
        <v>95013153.84615384</v>
      </c>
      <c r="M260" s="283"/>
      <c r="N260" s="1287"/>
    </row>
    <row r="261" spans="1:16" ht="18" customHeight="1">
      <c r="A261" s="448">
        <f>+A260+1</f>
        <v>160</v>
      </c>
      <c r="B261" s="2"/>
      <c r="C261" s="3" t="s">
        <v>786</v>
      </c>
      <c r="D261" s="263"/>
      <c r="E261" s="1131"/>
      <c r="F261" s="737" t="str">
        <f>"(Line "&amp;A260&amp;" / "&amp;A258&amp;")"</f>
        <v>(Line 159 / 157)</v>
      </c>
      <c r="H261" s="824">
        <f>+H260/H258</f>
        <v>0.9149132557651718</v>
      </c>
      <c r="I261" s="266"/>
      <c r="J261" s="824">
        <f>+J260/J258</f>
        <v>0.90942177911328603</v>
      </c>
      <c r="K261" s="824">
        <f>+K260/K258</f>
        <v>0.95526815855469338</v>
      </c>
      <c r="L261" s="825">
        <f>+L260/L258</f>
        <v>1</v>
      </c>
      <c r="M261" s="266"/>
      <c r="N261" s="1288"/>
    </row>
    <row r="262" spans="1:16" ht="18" customHeight="1">
      <c r="A262" s="448">
        <f>+A261+1</f>
        <v>161</v>
      </c>
      <c r="B262" s="2"/>
      <c r="C262" s="13" t="s">
        <v>880</v>
      </c>
      <c r="D262" s="265"/>
      <c r="E262" s="1132"/>
      <c r="F262" s="742" t="str">
        <f>"(Line "&amp;A255&amp;")"</f>
        <v>(Line 156)</v>
      </c>
      <c r="G262" s="561"/>
      <c r="H262" s="353">
        <f>+H255</f>
        <v>250977693.58519566</v>
      </c>
      <c r="I262" s="678"/>
      <c r="J262" s="353">
        <f>+J255</f>
        <v>236598492.31047571</v>
      </c>
      <c r="K262" s="353">
        <f>+K255</f>
        <v>6383975.9756234409</v>
      </c>
      <c r="L262" s="726">
        <f>+L255</f>
        <v>7995225.2990965722</v>
      </c>
      <c r="M262" s="283"/>
      <c r="N262" s="1318"/>
    </row>
    <row r="263" spans="1:16" ht="18" customHeight="1">
      <c r="A263" s="448">
        <f>+A262+1</f>
        <v>162</v>
      </c>
      <c r="B263" s="2"/>
      <c r="C263" s="1" t="s">
        <v>787</v>
      </c>
      <c r="D263" s="263"/>
      <c r="E263" s="1131"/>
      <c r="F263" s="737" t="str">
        <f>"(Line "&amp;A261&amp;" * "&amp;A262&amp;")"</f>
        <v>(Line 160 * 161)</v>
      </c>
      <c r="H263" s="354">
        <f>+H262*H261</f>
        <v>229622818.76246503</v>
      </c>
      <c r="I263" s="38"/>
      <c r="J263" s="354">
        <f>+J262*J261</f>
        <v>215167821.81251395</v>
      </c>
      <c r="K263" s="354">
        <f>+K262*K261</f>
        <v>6098408.9744912069</v>
      </c>
      <c r="L263" s="692">
        <f>+L262*L261</f>
        <v>7995225.2990965722</v>
      </c>
      <c r="M263" s="283"/>
      <c r="N263" s="25"/>
    </row>
    <row r="264" spans="1:16" ht="15.75" customHeight="1">
      <c r="A264" s="708"/>
      <c r="B264" s="2"/>
      <c r="C264" s="3"/>
      <c r="E264" s="1133"/>
      <c r="F264" s="738"/>
      <c r="H264" s="356"/>
      <c r="I264" s="283"/>
      <c r="J264" s="342"/>
      <c r="K264" s="342"/>
      <c r="L264" s="688"/>
      <c r="M264" s="283"/>
    </row>
    <row r="265" spans="1:16" ht="15.75" customHeight="1">
      <c r="A265" s="708"/>
      <c r="B265" s="27" t="s">
        <v>154</v>
      </c>
      <c r="C265" s="3"/>
      <c r="E265" s="1133"/>
      <c r="F265" s="738"/>
      <c r="H265" s="356"/>
      <c r="I265" s="283"/>
      <c r="J265" s="342"/>
      <c r="K265" s="342"/>
      <c r="L265" s="688"/>
      <c r="M265" s="283"/>
    </row>
    <row r="266" spans="1:16" ht="15.75" customHeight="1">
      <c r="A266" s="448">
        <f>+A263+1</f>
        <v>163</v>
      </c>
      <c r="C266" s="27" t="s">
        <v>738</v>
      </c>
      <c r="E266" s="1134"/>
      <c r="F266" s="738" t="s">
        <v>665</v>
      </c>
      <c r="H266" s="674">
        <f>+'3 - Revenue Credits'!D22</f>
        <v>80553259.973579779</v>
      </c>
      <c r="I266" s="283"/>
      <c r="J266" s="341">
        <f>+'3 - Revenue Credits'!F22</f>
        <v>79619335.464785099</v>
      </c>
      <c r="K266" s="341">
        <f>+'3 - Revenue Credits'!G22</f>
        <v>14907.373237755311</v>
      </c>
      <c r="L266" s="693">
        <f>+'3 - Revenue Credits'!H22</f>
        <v>919017.13555691438</v>
      </c>
      <c r="M266" s="283"/>
    </row>
    <row r="267" spans="1:16" ht="15.75" customHeight="1">
      <c r="A267" s="448">
        <f>+A266+1</f>
        <v>164</v>
      </c>
      <c r="C267" s="27" t="s">
        <v>153</v>
      </c>
      <c r="E267" s="34" t="str">
        <f>"(Note "&amp;B$310&amp;")"</f>
        <v>(Note N)</v>
      </c>
      <c r="F267" s="738" t="s">
        <v>664</v>
      </c>
      <c r="H267" s="674">
        <f>J267+K267+L267</f>
        <v>0</v>
      </c>
      <c r="I267" s="283"/>
      <c r="J267" s="342">
        <f>'5 - Cost Support'!H234</f>
        <v>0</v>
      </c>
      <c r="K267" s="342">
        <v>0</v>
      </c>
      <c r="L267" s="688">
        <v>0</v>
      </c>
      <c r="M267" s="283"/>
    </row>
    <row r="268" spans="1:16" ht="16.5" customHeight="1" thickBot="1">
      <c r="A268" s="448"/>
      <c r="B268" s="2"/>
      <c r="C268" s="3"/>
      <c r="E268" s="34"/>
      <c r="F268" s="738"/>
      <c r="H268" s="356"/>
      <c r="I268" s="283"/>
      <c r="J268" s="342"/>
      <c r="K268" s="342"/>
      <c r="L268" s="688"/>
      <c r="M268" s="283"/>
    </row>
    <row r="269" spans="1:16" s="1" customFormat="1" ht="18.75" customHeight="1" thickBot="1">
      <c r="A269" s="24">
        <f>+A267+1</f>
        <v>165</v>
      </c>
      <c r="B269" s="770"/>
      <c r="C269" s="771" t="s">
        <v>891</v>
      </c>
      <c r="D269" s="261"/>
      <c r="E269" s="772"/>
      <c r="F269" s="754" t="str">
        <f>"(Line "&amp;A263&amp;" - "&amp;A266&amp;" + "&amp;A267&amp;")"</f>
        <v>(Line 162 - 163 + 164)</v>
      </c>
      <c r="G269" s="769"/>
      <c r="H269" s="352">
        <f>+H263-H266+H267</f>
        <v>149069558.78888524</v>
      </c>
      <c r="I269" s="677"/>
      <c r="J269" s="352">
        <f>+J263-J266+J267</f>
        <v>135548486.34772885</v>
      </c>
      <c r="K269" s="352">
        <f>+K263-K266+K267</f>
        <v>6083501.6012534518</v>
      </c>
      <c r="L269" s="724">
        <f>+L263-L266+L267</f>
        <v>7076208.1635396574</v>
      </c>
      <c r="M269" s="703"/>
      <c r="N269" s="25"/>
      <c r="O269" s="1289"/>
      <c r="P269" s="1401"/>
    </row>
    <row r="270" spans="1:16" ht="15.75" customHeight="1">
      <c r="A270" s="708"/>
      <c r="B270" s="2"/>
      <c r="C270" s="3"/>
      <c r="E270" s="2"/>
      <c r="F270" s="738"/>
      <c r="H270" s="356"/>
      <c r="I270" s="283"/>
      <c r="J270" s="342"/>
      <c r="K270" s="342"/>
      <c r="L270" s="688"/>
      <c r="M270" s="283"/>
      <c r="N270" s="1314"/>
    </row>
    <row r="271" spans="1:16" ht="15.75" customHeight="1">
      <c r="A271" s="448"/>
      <c r="B271" s="1" t="s">
        <v>932</v>
      </c>
      <c r="C271" s="3"/>
      <c r="E271" s="2"/>
      <c r="F271" s="738"/>
      <c r="H271" s="356"/>
      <c r="I271" s="283"/>
      <c r="J271" s="342"/>
      <c r="K271" s="342"/>
      <c r="L271" s="688"/>
      <c r="M271" s="283"/>
    </row>
    <row r="272" spans="1:16" ht="15.75" customHeight="1">
      <c r="A272" s="448">
        <f>+A269+1</f>
        <v>166</v>
      </c>
      <c r="B272" s="2"/>
      <c r="C272" s="3" t="str">
        <f>+C255</f>
        <v>Gross Revenue Requirement</v>
      </c>
      <c r="E272" s="2"/>
      <c r="F272" s="738" t="str">
        <f>"(Line "&amp;A255&amp;")"</f>
        <v>(Line 156)</v>
      </c>
      <c r="H272" s="357">
        <f>+H263</f>
        <v>229622818.76246503</v>
      </c>
      <c r="I272" s="450"/>
      <c r="J272" s="355">
        <f>+J263</f>
        <v>215167821.81251395</v>
      </c>
      <c r="K272" s="355">
        <f>+K263</f>
        <v>6098408.9744912069</v>
      </c>
      <c r="L272" s="727">
        <f>+L263</f>
        <v>7995225.2990965722</v>
      </c>
      <c r="M272" s="283"/>
      <c r="N272" s="1286"/>
    </row>
    <row r="273" spans="1:13" ht="15.75" customHeight="1">
      <c r="A273" s="448">
        <f>+A272+1</f>
        <v>167</v>
      </c>
      <c r="B273" s="2"/>
      <c r="C273" s="3" t="s">
        <v>138</v>
      </c>
      <c r="E273" s="2"/>
      <c r="F273" s="738" t="str">
        <f>"(Line "&amp;A31&amp;" - "&amp;A47&amp;")"</f>
        <v>(Line 15 - 26)</v>
      </c>
      <c r="H273" s="357">
        <f>+H31-H47</f>
        <v>1599136242.3630764</v>
      </c>
      <c r="I273" s="450"/>
      <c r="J273" s="355">
        <f>+J31-J47</f>
        <v>1538451703.9015381</v>
      </c>
      <c r="K273" s="355">
        <f>+K31-K47</f>
        <v>19892923.076923072</v>
      </c>
      <c r="L273" s="727">
        <f>+L31-L47</f>
        <v>40791615.384615384</v>
      </c>
      <c r="M273" s="283"/>
    </row>
    <row r="274" spans="1:13" ht="15.75" customHeight="1">
      <c r="A274" s="448">
        <f>+A273+1</f>
        <v>168</v>
      </c>
      <c r="B274" s="2"/>
      <c r="C274" s="3" t="s">
        <v>936</v>
      </c>
      <c r="E274" s="2"/>
      <c r="F274" s="738" t="str">
        <f>"(Line "&amp;A255&amp;" / "&amp;A273&amp;")"</f>
        <v>(Line 156 / 167)</v>
      </c>
      <c r="H274" s="649">
        <f>+H255/H273</f>
        <v>0.15694578544122093</v>
      </c>
      <c r="I274" s="449"/>
      <c r="J274" s="356">
        <f>+J272/J273</f>
        <v>0.13985997822800997</v>
      </c>
      <c r="K274" s="356">
        <f>+K272/K273</f>
        <v>0.30656173308012785</v>
      </c>
      <c r="L274" s="728">
        <f>+L272/L273</f>
        <v>0.19600168377033636</v>
      </c>
      <c r="M274" s="283"/>
    </row>
    <row r="275" spans="1:13" ht="15.75" customHeight="1">
      <c r="A275" s="448">
        <f>+A274+1</f>
        <v>169</v>
      </c>
      <c r="B275" s="2"/>
      <c r="C275" s="3" t="s">
        <v>937</v>
      </c>
      <c r="E275" s="2"/>
      <c r="F275" s="738" t="str">
        <f>"(Line "&amp;A255&amp;" - "&amp;A140&amp;") / "&amp;A273</f>
        <v>(Line 156 - 83) / 167</v>
      </c>
      <c r="H275" s="649">
        <f>(H255-H140)/H273</f>
        <v>0.12479924055144014</v>
      </c>
      <c r="I275" s="449"/>
      <c r="J275" s="356">
        <f>(J272-J140)/J273</f>
        <v>0.10846502778691948</v>
      </c>
      <c r="K275" s="356">
        <f>(K272-K140)/K273</f>
        <v>0.23202105375079543</v>
      </c>
      <c r="L275" s="728">
        <f>(L272-L140)/L273</f>
        <v>0.15618325577514128</v>
      </c>
      <c r="M275" s="283"/>
    </row>
    <row r="276" spans="1:13" ht="15.75" customHeight="1">
      <c r="A276" s="448">
        <f>+A275+1</f>
        <v>170</v>
      </c>
      <c r="B276" s="2"/>
      <c r="C276" s="3" t="s">
        <v>938</v>
      </c>
      <c r="E276" s="2"/>
      <c r="F276" s="738" t="str">
        <f>"(Line "&amp;A255&amp;" - "&amp;A140&amp;" - "&amp;A217&amp;" - "&amp;A240&amp;") / "&amp;A273</f>
        <v>(Line 156 - 83 - 136 - 147) / 167</v>
      </c>
      <c r="H276" s="649">
        <f>(H255-H140-H217-H240)/H273</f>
        <v>4.3454903849097164E-2</v>
      </c>
      <c r="I276" s="449"/>
      <c r="J276" s="356">
        <f>(J272-J140-J217-J240)/J273</f>
        <v>2.7236786071081348E-2</v>
      </c>
      <c r="K276" s="356">
        <f>(K272-K140-K217-K240)/K273</f>
        <v>0.14773352040675725</v>
      </c>
      <c r="L276" s="728">
        <f>(L272-L140-L217-L240)/L273</f>
        <v>7.1895722431103079E-2</v>
      </c>
      <c r="M276" s="283"/>
    </row>
    <row r="277" spans="1:13" ht="15.75" customHeight="1">
      <c r="A277" s="448"/>
      <c r="B277" s="2"/>
      <c r="C277" s="3"/>
      <c r="E277" s="2"/>
      <c r="F277" s="738"/>
      <c r="H277" s="649"/>
      <c r="I277" s="283"/>
      <c r="J277" s="342"/>
      <c r="K277" s="342"/>
      <c r="L277" s="688"/>
      <c r="M277" s="283"/>
    </row>
    <row r="278" spans="1:13" ht="15.75" customHeight="1">
      <c r="A278" s="448"/>
      <c r="B278" s="1" t="s">
        <v>933</v>
      </c>
      <c r="C278" s="3"/>
      <c r="E278" s="2"/>
      <c r="F278" s="738"/>
      <c r="H278" s="649"/>
      <c r="I278" s="283"/>
      <c r="J278" s="341"/>
      <c r="K278" s="341"/>
      <c r="L278" s="693"/>
      <c r="M278" s="283"/>
    </row>
    <row r="279" spans="1:13" ht="15.75" customHeight="1">
      <c r="A279" s="448">
        <f>+A276+1</f>
        <v>171</v>
      </c>
      <c r="B279" s="2"/>
      <c r="C279" s="3" t="s">
        <v>442</v>
      </c>
      <c r="E279" s="2"/>
      <c r="F279" s="738" t="str">
        <f>"(Line "&amp;A255&amp;" - "&amp;A252&amp;" - "&amp;A253&amp;")"</f>
        <v>(Line 156 - 154 - 155)</v>
      </c>
      <c r="H279" s="357">
        <f>+H255-H252-H253</f>
        <v>120897016.653494</v>
      </c>
      <c r="I279" s="450"/>
      <c r="J279" s="355">
        <f>+J263-J252-J253</f>
        <v>90202094.939856783</v>
      </c>
      <c r="K279" s="355">
        <f>+K263-K252-K253</f>
        <v>4421683.5573346671</v>
      </c>
      <c r="L279" s="727">
        <f>+L263-L252-L253</f>
        <v>4557000.6572086224</v>
      </c>
      <c r="M279" s="283"/>
    </row>
    <row r="280" spans="1:13" ht="16.5" customHeight="1">
      <c r="A280" s="448">
        <f>+A279+1</f>
        <v>172</v>
      </c>
      <c r="B280" s="2"/>
      <c r="C280" s="3" t="s">
        <v>367</v>
      </c>
      <c r="E280" s="2"/>
      <c r="F280" s="738" t="s">
        <v>995</v>
      </c>
      <c r="H280" s="357">
        <f>+'4 - 100 Basis Pt ROE'!G9</f>
        <v>139664614.44176069</v>
      </c>
      <c r="I280" s="283"/>
      <c r="J280" s="357">
        <f>+$H280*J103</f>
        <v>134172810.85697162</v>
      </c>
      <c r="K280" s="357">
        <f>+$H280*K103</f>
        <v>1800261.3027207986</v>
      </c>
      <c r="L280" s="727">
        <f>+$H280*L103</f>
        <v>3691542.2820682861</v>
      </c>
      <c r="M280" s="283"/>
    </row>
    <row r="281" spans="1:13" ht="16.5" customHeight="1">
      <c r="A281" s="448">
        <f>+A280+1</f>
        <v>173</v>
      </c>
      <c r="B281" s="2"/>
      <c r="C281" s="3" t="s">
        <v>443</v>
      </c>
      <c r="E281" s="2"/>
      <c r="F281" s="738" t="str">
        <f>"(Line "&amp;A279&amp;" + "&amp;A280&amp;")"</f>
        <v>(Line 171 + 172)</v>
      </c>
      <c r="H281" s="355">
        <f>+H280+H279</f>
        <v>260561631.09525469</v>
      </c>
      <c r="I281" s="450"/>
      <c r="J281" s="355">
        <f>+J280+J279</f>
        <v>224374905.79682839</v>
      </c>
      <c r="K281" s="355">
        <f>+K280+K279</f>
        <v>6221944.8600554653</v>
      </c>
      <c r="L281" s="727">
        <f>+L280+L279</f>
        <v>8248542.9392769085</v>
      </c>
      <c r="M281" s="283"/>
    </row>
    <row r="282" spans="1:13" ht="15.75" customHeight="1">
      <c r="A282" s="448">
        <f>+A281+1</f>
        <v>174</v>
      </c>
      <c r="B282" s="2"/>
      <c r="C282" s="3" t="str">
        <f>+C273</f>
        <v>Net Transmission Plant</v>
      </c>
      <c r="E282" s="2"/>
      <c r="F282" s="738" t="str">
        <f>"(Line "&amp;A31&amp;" - "&amp;A47&amp;")"</f>
        <v>(Line 15 - 26)</v>
      </c>
      <c r="H282" s="355">
        <f>+H273</f>
        <v>1599136242.3630764</v>
      </c>
      <c r="I282" s="450"/>
      <c r="J282" s="355">
        <f>+J273</f>
        <v>1538451703.9015381</v>
      </c>
      <c r="K282" s="355">
        <f>+K273</f>
        <v>19892923.076923072</v>
      </c>
      <c r="L282" s="727">
        <f>+L273</f>
        <v>40791615.384615384</v>
      </c>
      <c r="M282" s="283"/>
    </row>
    <row r="283" spans="1:13" ht="15.75" customHeight="1">
      <c r="A283" s="448">
        <f>+A282+1</f>
        <v>175</v>
      </c>
      <c r="B283" s="2"/>
      <c r="C283" s="3" t="s">
        <v>934</v>
      </c>
      <c r="E283" s="2"/>
      <c r="F283" s="738" t="str">
        <f>"(Line "&amp;A281&amp;" / "&amp;A282&amp;")"</f>
        <v>(Line 173 / 174)</v>
      </c>
      <c r="H283" s="356">
        <f>+H281/H282</f>
        <v>0.16293898180321234</v>
      </c>
      <c r="I283" s="449"/>
      <c r="J283" s="356">
        <f>+J281/J282</f>
        <v>0.1458446210744283</v>
      </c>
      <c r="K283" s="356">
        <f>+K281/K282</f>
        <v>0.3127717749672132</v>
      </c>
      <c r="L283" s="728">
        <f>+L281/L282</f>
        <v>0.20221172565742171</v>
      </c>
      <c r="M283" s="283"/>
    </row>
    <row r="284" spans="1:13" ht="15.75" customHeight="1">
      <c r="A284" s="448">
        <f>+A283+1</f>
        <v>176</v>
      </c>
      <c r="B284" s="2"/>
      <c r="C284" s="3" t="s">
        <v>935</v>
      </c>
      <c r="E284" s="2"/>
      <c r="F284" s="738" t="str">
        <f>"(Line "&amp;A281&amp;" - "&amp;A140&amp;") / "&amp;A282</f>
        <v>(Line 173 - 83) / 174</v>
      </c>
      <c r="H284" s="356">
        <f>(H281-H140)/H282</f>
        <v>0.13079243691343156</v>
      </c>
      <c r="I284" s="449"/>
      <c r="J284" s="356">
        <f>(J281-J140)/J282</f>
        <v>0.11444967063333782</v>
      </c>
      <c r="K284" s="356">
        <f>(K281-K140)/K282</f>
        <v>0.23823109563788075</v>
      </c>
      <c r="L284" s="728">
        <f>(L281-L140)/L282</f>
        <v>0.1623932976622266</v>
      </c>
      <c r="M284" s="283"/>
    </row>
    <row r="285" spans="1:13" ht="15.75" customHeight="1">
      <c r="A285" s="448"/>
      <c r="B285" s="2"/>
      <c r="C285" s="3"/>
      <c r="E285" s="2"/>
      <c r="F285" s="738"/>
      <c r="H285" s="356"/>
      <c r="I285" s="283"/>
      <c r="J285" s="342"/>
      <c r="K285" s="342"/>
      <c r="L285" s="688"/>
      <c r="M285" s="283"/>
    </row>
    <row r="286" spans="1:13" ht="15.75" customHeight="1">
      <c r="A286" s="448">
        <f>+A284+1</f>
        <v>177</v>
      </c>
      <c r="B286" s="2"/>
      <c r="C286" s="1" t="s">
        <v>891</v>
      </c>
      <c r="E286" s="2"/>
      <c r="F286" s="738" t="str">
        <f>"(Line "&amp;A269&amp;")"</f>
        <v>(Line 165)</v>
      </c>
      <c r="H286" s="355">
        <f>+H269</f>
        <v>149069558.78888524</v>
      </c>
      <c r="I286" s="450"/>
      <c r="J286" s="355">
        <f>+J269</f>
        <v>135548486.34772885</v>
      </c>
      <c r="K286" s="355">
        <f>+K269</f>
        <v>6083501.6012534518</v>
      </c>
      <c r="L286" s="727">
        <f>+L269</f>
        <v>7076208.1635396574</v>
      </c>
      <c r="M286" s="283"/>
    </row>
    <row r="287" spans="1:13" ht="15.75" customHeight="1">
      <c r="A287" s="448">
        <f>+A286+1</f>
        <v>178</v>
      </c>
      <c r="B287" s="2"/>
      <c r="C287" s="3" t="s">
        <v>368</v>
      </c>
      <c r="E287" s="58"/>
      <c r="F287" s="744" t="s">
        <v>662</v>
      </c>
      <c r="H287" s="357">
        <f>SUM(J287:L287)</f>
        <v>28954238.818622123</v>
      </c>
      <c r="I287" s="215"/>
      <c r="J287" s="357">
        <f>'6 - Est and True up'!I155</f>
        <v>29161415.80867178</v>
      </c>
      <c r="K287" s="357">
        <f>'6A-Colstrip'!H136</f>
        <v>-68885.492312146278</v>
      </c>
      <c r="L287" s="729">
        <f>'6B-So Intertie'!H135</f>
        <v>-138291.49773751173</v>
      </c>
      <c r="M287" s="283"/>
    </row>
    <row r="288" spans="1:13" ht="15.75" customHeight="1">
      <c r="A288" s="448">
        <f>+A287+1</f>
        <v>179</v>
      </c>
      <c r="B288" s="2"/>
      <c r="C288" s="87" t="s">
        <v>608</v>
      </c>
      <c r="E288" s="58"/>
      <c r="F288" s="744" t="s">
        <v>364</v>
      </c>
      <c r="H288" s="357">
        <f>+'7 - Cap Add WS'!M32</f>
        <v>0</v>
      </c>
      <c r="I288" s="215"/>
      <c r="J288" s="357">
        <f>+H288</f>
        <v>0</v>
      </c>
      <c r="K288" s="357">
        <v>0</v>
      </c>
      <c r="L288" s="729">
        <v>0</v>
      </c>
      <c r="M288" s="283"/>
    </row>
    <row r="289" spans="1:164" ht="15.75" customHeight="1">
      <c r="A289" s="448">
        <f>+A288+1</f>
        <v>180</v>
      </c>
      <c r="B289" s="2"/>
      <c r="C289" s="3" t="s">
        <v>114</v>
      </c>
      <c r="D289" s="83"/>
      <c r="E289" s="34"/>
      <c r="F289" s="738" t="s">
        <v>716</v>
      </c>
      <c r="H289" s="357">
        <v>0</v>
      </c>
      <c r="I289" s="215"/>
      <c r="J289" s="357">
        <v>0</v>
      </c>
      <c r="K289" s="357">
        <v>0</v>
      </c>
      <c r="L289" s="729">
        <v>0</v>
      </c>
      <c r="M289" s="283"/>
      <c r="FH289" s="3">
        <f>SUM(A289:FG289)</f>
        <v>180</v>
      </c>
    </row>
    <row r="290" spans="1:164" ht="15.75" customHeight="1">
      <c r="A290" s="448">
        <f>+A289+1</f>
        <v>181</v>
      </c>
      <c r="B290" s="2"/>
      <c r="C290" s="1" t="s">
        <v>612</v>
      </c>
      <c r="E290" s="2"/>
      <c r="F290" s="738" t="str">
        <f>"(Line "&amp;A286&amp;" - "&amp;A287&amp;" + "&amp;A288&amp;" + "&amp;A289&amp;")"</f>
        <v>(Line 177 - 178 + 179 + 180)</v>
      </c>
      <c r="H290" s="357">
        <f>SUM(H286:H289)</f>
        <v>178023797.60750735</v>
      </c>
      <c r="I290" s="450"/>
      <c r="J290" s="355">
        <f>SUM(J286:J289)</f>
        <v>164709902.15640062</v>
      </c>
      <c r="K290" s="355">
        <f>SUM(K286:K289)</f>
        <v>6014616.1089413054</v>
      </c>
      <c r="L290" s="727">
        <f>SUM(L286:L289)</f>
        <v>6937916.6658021454</v>
      </c>
      <c r="M290" s="283"/>
    </row>
    <row r="291" spans="1:164" ht="15.75" customHeight="1">
      <c r="A291" s="448"/>
      <c r="B291" s="2"/>
      <c r="C291" s="3"/>
      <c r="E291" s="2"/>
      <c r="F291" s="738"/>
      <c r="H291" s="649"/>
      <c r="I291" s="282"/>
      <c r="J291" s="342"/>
      <c r="K291" s="342"/>
      <c r="L291" s="688"/>
      <c r="M291" s="283"/>
    </row>
    <row r="292" spans="1:164" ht="15.75" customHeight="1">
      <c r="A292" s="448"/>
      <c r="B292" s="27" t="s">
        <v>1077</v>
      </c>
      <c r="C292" s="3"/>
      <c r="E292" s="2"/>
      <c r="F292" s="738"/>
      <c r="H292" s="649"/>
      <c r="I292" s="282"/>
      <c r="J292" s="342"/>
      <c r="K292" s="342"/>
      <c r="L292" s="688"/>
      <c r="M292" s="283"/>
      <c r="N292" s="1287"/>
    </row>
    <row r="293" spans="1:164" ht="15.75" customHeight="1">
      <c r="A293" s="448">
        <f>+A290+1</f>
        <v>182</v>
      </c>
      <c r="B293" s="2"/>
      <c r="C293" s="7" t="s">
        <v>432</v>
      </c>
      <c r="D293" s="451" t="s">
        <v>756</v>
      </c>
      <c r="E293" s="34" t="s">
        <v>751</v>
      </c>
      <c r="F293" s="738" t="s">
        <v>102</v>
      </c>
      <c r="G293" s="738"/>
      <c r="H293" s="1320">
        <f>+'WKSHT4 - Monthly Tx System Peak'!C26</f>
        <v>4343348.7369831223</v>
      </c>
      <c r="J293" s="655">
        <f>H293</f>
        <v>4343348.7369831223</v>
      </c>
      <c r="K293" s="1321">
        <f>+'WKSHT4 - Monthly Tx System Peak'!C74</f>
        <v>746000</v>
      </c>
      <c r="L293" s="727">
        <f>+'WKSHT4 - Monthly Tx System Peak'!C51</f>
        <v>706000</v>
      </c>
      <c r="M293" s="283"/>
      <c r="N293" s="25"/>
      <c r="O293" s="1286"/>
    </row>
    <row r="294" spans="1:164" ht="15.75" customHeight="1">
      <c r="A294" s="448">
        <f>+A293+1</f>
        <v>183</v>
      </c>
      <c r="C294" s="7" t="s">
        <v>1077</v>
      </c>
      <c r="D294" s="773"/>
      <c r="E294" s="267"/>
      <c r="F294" s="737" t="str">
        <f>"(Line "&amp;A290&amp;" / "&amp;A293&amp;")"</f>
        <v>(Line 181 / 182)</v>
      </c>
      <c r="H294" s="823"/>
      <c r="I294" s="1322"/>
      <c r="J294" s="823">
        <f>+J290/J293</f>
        <v>37.922329550449049</v>
      </c>
      <c r="K294" s="1323">
        <f>+K290/K293</f>
        <v>8.0624880816907574</v>
      </c>
      <c r="L294" s="1324">
        <f>+L290/L293</f>
        <v>9.8270774303146542</v>
      </c>
      <c r="M294" s="283"/>
      <c r="N294" s="1287"/>
      <c r="O294" s="1289"/>
      <c r="P294" s="1401"/>
    </row>
    <row r="295" spans="1:164" ht="15.75" customHeight="1" thickBot="1">
      <c r="A295" s="774">
        <f>+A294+1</f>
        <v>184</v>
      </c>
      <c r="B295" s="775"/>
      <c r="C295" s="776" t="s">
        <v>416</v>
      </c>
      <c r="D295" s="777"/>
      <c r="E295" s="778"/>
      <c r="F295" s="779" t="str">
        <f>"(Line "&amp;A293&amp;" / 12)"</f>
        <v>(Line 182 / 12)</v>
      </c>
      <c r="G295" s="780"/>
      <c r="H295" s="781"/>
      <c r="I295" s="782"/>
      <c r="J295" s="781">
        <f>J294/12</f>
        <v>3.1601941292040876</v>
      </c>
      <c r="K295" s="1317">
        <f>K294/12</f>
        <v>0.67187400680756315</v>
      </c>
      <c r="L295" s="1325">
        <f>L294/12</f>
        <v>0.81892311919288785</v>
      </c>
      <c r="M295" s="283"/>
      <c r="N295" s="1287"/>
      <c r="O295" s="1289"/>
      <c r="P295" s="1401"/>
    </row>
    <row r="296" spans="1:164" ht="15.75" customHeight="1">
      <c r="A296" s="26"/>
      <c r="B296" s="27" t="s">
        <v>886</v>
      </c>
      <c r="C296" s="3"/>
      <c r="E296" s="267"/>
      <c r="F296" s="268"/>
      <c r="G296" s="3"/>
      <c r="H296" s="111"/>
      <c r="I296" s="282"/>
      <c r="J296" s="587"/>
      <c r="K296" s="587"/>
      <c r="L296" s="587"/>
      <c r="M296" s="283"/>
    </row>
    <row r="297" spans="1:164" ht="15.75" customHeight="1">
      <c r="A297" s="32"/>
      <c r="B297" s="2" t="s">
        <v>758</v>
      </c>
      <c r="C297" s="535" t="s">
        <v>896</v>
      </c>
      <c r="D297" s="535"/>
      <c r="E297" s="536"/>
      <c r="F297" s="537"/>
      <c r="G297" s="535"/>
      <c r="H297" s="538"/>
      <c r="I297" s="282"/>
      <c r="J297" s="282"/>
      <c r="K297" s="282"/>
      <c r="L297" s="282"/>
      <c r="M297" s="1140"/>
    </row>
    <row r="298" spans="1:164" ht="59.25" customHeight="1">
      <c r="A298" s="32"/>
      <c r="B298" s="970" t="s">
        <v>848</v>
      </c>
      <c r="C298" s="1512" t="s">
        <v>514</v>
      </c>
      <c r="D298" s="1512"/>
      <c r="E298" s="1512"/>
      <c r="F298" s="1512"/>
      <c r="G298" s="1512"/>
      <c r="H298" s="1512"/>
      <c r="I298" s="1512"/>
      <c r="J298" s="1512"/>
      <c r="K298" s="1512"/>
      <c r="L298" s="1512"/>
      <c r="M298" s="283"/>
    </row>
    <row r="299" spans="1:164" ht="15.75" customHeight="1">
      <c r="A299" s="32"/>
      <c r="B299" s="2" t="s">
        <v>739</v>
      </c>
      <c r="C299" s="539" t="s">
        <v>897</v>
      </c>
      <c r="D299" s="535"/>
      <c r="E299" s="536"/>
      <c r="F299" s="537"/>
      <c r="G299" s="535"/>
      <c r="H299" s="538"/>
      <c r="I299" s="283"/>
      <c r="J299" s="283"/>
      <c r="K299" s="282"/>
      <c r="L299" s="282"/>
      <c r="M299" s="283"/>
    </row>
    <row r="300" spans="1:164" ht="15.75" customHeight="1">
      <c r="A300" s="32"/>
      <c r="B300" s="2" t="s">
        <v>759</v>
      </c>
      <c r="C300" s="535" t="s">
        <v>438</v>
      </c>
      <c r="D300" s="535"/>
      <c r="E300" s="536"/>
      <c r="F300" s="537"/>
      <c r="G300" s="535"/>
      <c r="H300" s="538"/>
      <c r="I300" s="283"/>
      <c r="J300" s="283"/>
      <c r="K300" s="282"/>
      <c r="L300" s="282"/>
      <c r="M300" s="283"/>
    </row>
    <row r="301" spans="1:164" ht="15.75" customHeight="1">
      <c r="A301" s="32"/>
      <c r="B301" s="2" t="s">
        <v>757</v>
      </c>
      <c r="C301" s="535" t="s">
        <v>440</v>
      </c>
      <c r="D301" s="535"/>
      <c r="E301" s="536"/>
      <c r="F301" s="537"/>
      <c r="G301" s="535"/>
      <c r="H301" s="538"/>
      <c r="I301" s="283"/>
      <c r="J301" s="283"/>
      <c r="K301" s="282"/>
      <c r="L301" s="282"/>
      <c r="M301" s="283"/>
    </row>
    <row r="302" spans="1:164" ht="15.75" customHeight="1">
      <c r="A302" s="32"/>
      <c r="B302" s="2" t="s">
        <v>174</v>
      </c>
      <c r="C302" s="535" t="s">
        <v>439</v>
      </c>
      <c r="D302" s="535"/>
      <c r="E302" s="536"/>
      <c r="F302" s="537"/>
      <c r="G302" s="535"/>
      <c r="H302" s="538"/>
      <c r="I302" s="283"/>
      <c r="J302" s="283"/>
      <c r="K302" s="282"/>
      <c r="L302" s="282"/>
      <c r="M302" s="283"/>
    </row>
    <row r="303" spans="1:164" ht="18">
      <c r="A303" s="32"/>
      <c r="B303" s="970" t="s">
        <v>760</v>
      </c>
      <c r="C303" s="1512" t="s">
        <v>424</v>
      </c>
      <c r="D303" s="1512"/>
      <c r="E303" s="1512"/>
      <c r="F303" s="1512"/>
      <c r="G303" s="1512"/>
      <c r="H303" s="1512"/>
      <c r="I303" s="1512"/>
      <c r="J303" s="1512"/>
      <c r="K303" s="1512"/>
      <c r="L303" s="1512"/>
      <c r="M303" s="283"/>
    </row>
    <row r="304" spans="1:164" ht="18">
      <c r="A304" s="32"/>
      <c r="B304" s="2" t="s">
        <v>517</v>
      </c>
      <c r="C304" s="3" t="s">
        <v>110</v>
      </c>
      <c r="D304" s="962"/>
      <c r="E304" s="962"/>
      <c r="F304" s="962"/>
      <c r="G304" s="962"/>
      <c r="H304" s="962"/>
      <c r="I304" s="962"/>
      <c r="J304" s="962"/>
      <c r="K304" s="962"/>
      <c r="L304" s="962"/>
      <c r="M304" s="283"/>
    </row>
    <row r="305" spans="1:13" ht="75.95" customHeight="1">
      <c r="A305" s="32"/>
      <c r="B305" s="970" t="s">
        <v>744</v>
      </c>
      <c r="C305" s="1512" t="s">
        <v>515</v>
      </c>
      <c r="D305" s="1512"/>
      <c r="E305" s="1512"/>
      <c r="F305" s="1512"/>
      <c r="G305" s="1512"/>
      <c r="H305" s="1512"/>
      <c r="I305" s="1512"/>
      <c r="J305" s="1512"/>
      <c r="K305" s="1512"/>
      <c r="L305" s="1512"/>
      <c r="M305" s="283"/>
    </row>
    <row r="306" spans="1:13" ht="32.25" customHeight="1">
      <c r="A306" s="32"/>
      <c r="B306" s="970" t="s">
        <v>748</v>
      </c>
      <c r="C306" s="1512" t="s">
        <v>25</v>
      </c>
      <c r="D306" s="1512"/>
      <c r="E306" s="1512"/>
      <c r="F306" s="1512"/>
      <c r="G306" s="1512"/>
      <c r="H306" s="1512"/>
      <c r="I306" s="1512"/>
      <c r="J306" s="1512"/>
      <c r="K306" s="1512"/>
      <c r="L306" s="1512"/>
      <c r="M306" s="283"/>
    </row>
    <row r="307" spans="1:13" ht="18">
      <c r="A307" s="32"/>
      <c r="B307" s="2" t="s">
        <v>762</v>
      </c>
      <c r="C307" s="1512" t="s">
        <v>441</v>
      </c>
      <c r="D307" s="1512"/>
      <c r="E307" s="1512"/>
      <c r="F307" s="1512"/>
      <c r="G307" s="1512"/>
      <c r="H307" s="1512"/>
      <c r="I307" s="1512"/>
      <c r="J307" s="1512"/>
      <c r="K307" s="1512"/>
      <c r="L307" s="1512"/>
      <c r="M307" s="283"/>
    </row>
    <row r="308" spans="1:13" ht="15.75" customHeight="1">
      <c r="A308" s="32"/>
      <c r="B308" s="2" t="s">
        <v>819</v>
      </c>
      <c r="C308" s="1513" t="s">
        <v>516</v>
      </c>
      <c r="D308" s="1513"/>
      <c r="E308" s="1513"/>
      <c r="F308" s="1513"/>
      <c r="G308" s="1513"/>
      <c r="H308" s="1513"/>
      <c r="I308" s="1513"/>
      <c r="J308" s="1513"/>
      <c r="K308" s="1513"/>
      <c r="L308" s="1513"/>
      <c r="M308" s="283"/>
    </row>
    <row r="309" spans="1:13" ht="15.75" customHeight="1">
      <c r="A309" s="2"/>
      <c r="B309" s="2" t="s">
        <v>820</v>
      </c>
      <c r="C309" s="535" t="s">
        <v>930</v>
      </c>
      <c r="D309" s="535"/>
      <c r="E309" s="536"/>
      <c r="F309" s="537"/>
      <c r="G309" s="535"/>
      <c r="H309" s="538"/>
      <c r="I309" s="86"/>
      <c r="J309" s="283"/>
      <c r="K309" s="282"/>
      <c r="L309" s="282"/>
      <c r="M309" s="283"/>
    </row>
    <row r="310" spans="1:13" ht="35.25" customHeight="1">
      <c r="A310" s="2"/>
      <c r="B310" s="970" t="s">
        <v>175</v>
      </c>
      <c r="C310" s="1511" t="s">
        <v>993</v>
      </c>
      <c r="D310" s="1511"/>
      <c r="E310" s="1511"/>
      <c r="F310" s="1511"/>
      <c r="G310" s="1511"/>
      <c r="H310" s="1511"/>
      <c r="I310" s="1511"/>
      <c r="J310" s="1511"/>
      <c r="K310" s="1511"/>
      <c r="L310" s="1511"/>
      <c r="M310" s="283"/>
    </row>
    <row r="311" spans="1:13" ht="15.75" customHeight="1">
      <c r="A311" s="2"/>
      <c r="B311" s="2" t="s">
        <v>282</v>
      </c>
      <c r="C311" s="535" t="s">
        <v>302</v>
      </c>
      <c r="D311" s="535"/>
      <c r="E311" s="536"/>
      <c r="F311" s="537"/>
      <c r="G311" s="535"/>
      <c r="H311" s="538"/>
      <c r="I311" s="86"/>
      <c r="J311" s="283"/>
      <c r="K311" s="282"/>
      <c r="L311" s="282"/>
      <c r="M311" s="283"/>
    </row>
    <row r="312" spans="1:13" ht="15.75" customHeight="1">
      <c r="A312" s="2"/>
      <c r="B312" s="2" t="s">
        <v>304</v>
      </c>
      <c r="C312" s="535" t="s">
        <v>303</v>
      </c>
      <c r="D312" s="535"/>
      <c r="E312" s="536"/>
      <c r="F312" s="537"/>
      <c r="G312" s="535"/>
      <c r="H312" s="538"/>
      <c r="I312" s="86"/>
      <c r="J312" s="283"/>
      <c r="K312" s="282"/>
      <c r="L312" s="282"/>
      <c r="M312" s="283"/>
    </row>
    <row r="313" spans="1:13" ht="17.45" customHeight="1">
      <c r="A313" s="2"/>
      <c r="B313" s="2" t="s">
        <v>336</v>
      </c>
      <c r="C313" s="1511" t="s">
        <v>339</v>
      </c>
      <c r="D313" s="1511"/>
      <c r="E313" s="1511"/>
      <c r="F313" s="1511"/>
      <c r="G313" s="1511"/>
      <c r="H313" s="1511"/>
      <c r="I313" s="86"/>
      <c r="J313" s="283"/>
      <c r="K313" s="282"/>
      <c r="L313" s="282"/>
      <c r="M313" s="283"/>
    </row>
    <row r="314" spans="1:13" ht="18">
      <c r="A314" s="2"/>
      <c r="B314" s="2" t="s">
        <v>338</v>
      </c>
      <c r="C314" s="1511" t="s">
        <v>337</v>
      </c>
      <c r="D314" s="1511"/>
      <c r="E314" s="1511"/>
      <c r="F314" s="1511"/>
      <c r="G314" s="1511"/>
      <c r="H314" s="1511"/>
      <c r="I314" s="86"/>
      <c r="J314" s="283"/>
      <c r="K314" s="282"/>
      <c r="L314" s="282"/>
      <c r="M314" s="283"/>
    </row>
    <row r="315" spans="1:13" ht="15" customHeight="1">
      <c r="A315" s="2"/>
      <c r="B315" s="2" t="s">
        <v>967</v>
      </c>
      <c r="C315" s="3" t="s">
        <v>994</v>
      </c>
      <c r="E315" s="267"/>
      <c r="F315" s="268"/>
      <c r="H315" s="111"/>
      <c r="I315" s="86"/>
      <c r="J315" s="283"/>
      <c r="K315" s="282"/>
      <c r="L315" s="282"/>
      <c r="M315" s="283"/>
    </row>
    <row r="316" spans="1:13" ht="15.75">
      <c r="A316" s="2"/>
      <c r="C316" s="3"/>
      <c r="E316" s="267"/>
      <c r="F316" s="268"/>
      <c r="H316" s="111"/>
      <c r="I316" s="25"/>
      <c r="J316" s="25"/>
      <c r="K316" s="25"/>
      <c r="L316" s="25"/>
    </row>
    <row r="317" spans="1:13" ht="15.75">
      <c r="A317" s="2"/>
      <c r="B317" s="2"/>
      <c r="C317" s="3"/>
      <c r="E317" s="267"/>
      <c r="F317" s="268"/>
      <c r="H317" s="111"/>
      <c r="I317" s="25"/>
      <c r="J317" s="25"/>
      <c r="K317" s="25"/>
      <c r="L317" s="25"/>
    </row>
    <row r="318" spans="1:13" ht="15.75">
      <c r="A318" s="2"/>
      <c r="B318" s="2"/>
      <c r="C318" s="3"/>
      <c r="E318" s="267"/>
      <c r="F318" s="268"/>
      <c r="H318" s="111"/>
      <c r="I318" s="25"/>
      <c r="J318" s="25"/>
      <c r="K318" s="25"/>
      <c r="L318" s="25"/>
    </row>
    <row r="319" spans="1:13" ht="15.75">
      <c r="A319" s="7"/>
      <c r="B319" s="2"/>
      <c r="C319" s="1"/>
      <c r="E319" s="58"/>
      <c r="H319" s="5"/>
      <c r="I319" s="25"/>
      <c r="J319" s="25"/>
      <c r="K319" s="25"/>
      <c r="L319" s="25"/>
    </row>
    <row r="320" spans="1:13" ht="15.75">
      <c r="A320" s="11" t="s">
        <v>737</v>
      </c>
      <c r="B320" s="21"/>
      <c r="C320" s="16"/>
      <c r="D320" s="16"/>
      <c r="E320" s="269"/>
      <c r="F320" s="16"/>
      <c r="G320" s="295"/>
      <c r="H320" s="16"/>
      <c r="I320" s="291"/>
      <c r="J320" s="291"/>
      <c r="K320" s="291"/>
      <c r="L320" s="291"/>
    </row>
  </sheetData>
  <mergeCells count="9">
    <mergeCell ref="C314:H314"/>
    <mergeCell ref="C298:L298"/>
    <mergeCell ref="C313:H313"/>
    <mergeCell ref="C307:L307"/>
    <mergeCell ref="C306:L306"/>
    <mergeCell ref="C303:L303"/>
    <mergeCell ref="C305:L305"/>
    <mergeCell ref="C310:L310"/>
    <mergeCell ref="C308:L308"/>
  </mergeCells>
  <phoneticPr fontId="64" type="noConversion"/>
  <pageMargins left="0.1" right="0.1" top="0" bottom="0" header="0.5" footer="0.5"/>
  <pageSetup scale="48" fitToHeight="4" orientation="landscape" r:id="rId1"/>
  <headerFooter alignWithMargins="0"/>
  <rowBreaks count="5" manualBreakCount="5">
    <brk id="62" max="11" man="1"/>
    <brk id="136" max="11" man="1"/>
    <brk id="159" max="11" man="1"/>
    <brk id="218" max="11" man="1"/>
    <brk id="295" max="1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A1:O140"/>
  <sheetViews>
    <sheetView zoomScale="75" zoomScaleNormal="75" zoomScaleSheetLayoutView="65" workbookViewId="0">
      <selection activeCell="E97" sqref="E97"/>
    </sheetView>
  </sheetViews>
  <sheetFormatPr defaultRowHeight="12.75"/>
  <cols>
    <col min="1" max="1" width="11.42578125" style="61" customWidth="1"/>
    <col min="2" max="2" width="37.42578125" style="61" customWidth="1"/>
    <col min="3" max="3" width="19.85546875" style="61" customWidth="1"/>
    <col min="4" max="4" width="25.140625" customWidth="1"/>
    <col min="5" max="6" width="19" customWidth="1"/>
    <col min="7" max="7" width="18.140625" customWidth="1"/>
    <col min="8" max="8" width="17.85546875" customWidth="1"/>
    <col min="9" max="9" width="18.28515625" customWidth="1"/>
    <col min="10" max="10" width="72" customWidth="1"/>
    <col min="11" max="11" width="15.7109375" bestFit="1" customWidth="1"/>
    <col min="14" max="14" width="14.140625" customWidth="1"/>
    <col min="15" max="15" width="10.28515625" bestFit="1" customWidth="1"/>
  </cols>
  <sheetData>
    <row r="1" spans="1:13" ht="18">
      <c r="A1" s="1522" t="str">
        <f>+'ATT H-1 '!A3</f>
        <v xml:space="preserve">Puget Sound Energy </v>
      </c>
      <c r="B1" s="1522"/>
      <c r="C1" s="1522"/>
      <c r="D1" s="1523"/>
      <c r="E1" s="1523"/>
      <c r="F1" s="1523"/>
      <c r="G1" s="1523"/>
      <c r="H1" s="1523"/>
      <c r="I1" s="1523"/>
      <c r="J1" s="1524"/>
    </row>
    <row r="2" spans="1:13" ht="18">
      <c r="A2" s="26"/>
      <c r="B2" s="26"/>
      <c r="C2" s="26"/>
      <c r="D2" s="96"/>
      <c r="E2" s="96"/>
      <c r="F2" s="96"/>
      <c r="G2" s="96"/>
      <c r="H2" s="96"/>
      <c r="I2" s="96"/>
    </row>
    <row r="3" spans="1:13" ht="15.75">
      <c r="A3" s="860" t="s">
        <v>660</v>
      </c>
      <c r="B3" s="99"/>
      <c r="C3" s="99"/>
      <c r="D3" s="95"/>
      <c r="E3" s="95"/>
      <c r="F3" s="95"/>
      <c r="G3" s="95"/>
      <c r="H3" s="95"/>
      <c r="I3" s="95"/>
      <c r="J3" s="95"/>
    </row>
    <row r="4" spans="1:13" ht="15">
      <c r="A4" s="73"/>
      <c r="B4" s="73"/>
      <c r="C4" s="73"/>
    </row>
    <row r="5" spans="1:13">
      <c r="F5" s="46" t="s">
        <v>756</v>
      </c>
      <c r="G5" s="46"/>
      <c r="I5" s="46"/>
    </row>
    <row r="6" spans="1:13">
      <c r="E6" s="102"/>
      <c r="F6" s="69" t="s">
        <v>940</v>
      </c>
      <c r="G6" s="69" t="s">
        <v>115</v>
      </c>
      <c r="H6" s="69" t="s">
        <v>117</v>
      </c>
      <c r="I6" s="69" t="s">
        <v>847</v>
      </c>
    </row>
    <row r="7" spans="1:13">
      <c r="E7" s="44"/>
      <c r="F7" s="69" t="s">
        <v>116</v>
      </c>
      <c r="G7" s="69" t="s">
        <v>116</v>
      </c>
      <c r="H7" s="69" t="s">
        <v>116</v>
      </c>
      <c r="I7" s="69" t="s">
        <v>125</v>
      </c>
    </row>
    <row r="8" spans="1:13">
      <c r="L8" s="102"/>
    </row>
    <row r="10" spans="1:13" ht="15">
      <c r="D10" s="105" t="s">
        <v>942</v>
      </c>
      <c r="F10" s="59">
        <f>+G71</f>
        <v>0</v>
      </c>
      <c r="G10" s="830">
        <f>+H71</f>
        <v>-1185629147.5</v>
      </c>
      <c r="H10" s="830">
        <f>+I71</f>
        <v>0</v>
      </c>
      <c r="I10" s="830">
        <f>SUM(F10:H10)</f>
        <v>-1185629147.5</v>
      </c>
    </row>
    <row r="11" spans="1:13" ht="15">
      <c r="D11" s="105" t="s">
        <v>943</v>
      </c>
      <c r="F11" s="59">
        <f>+G109</f>
        <v>0</v>
      </c>
      <c r="G11" s="830">
        <f>+H109</f>
        <v>-8241182.4400000004</v>
      </c>
      <c r="H11" s="830">
        <f>+I109</f>
        <v>-47119560.526459001</v>
      </c>
      <c r="I11" s="830">
        <f>SUM(F11:H11)</f>
        <v>-55360742.966458999</v>
      </c>
      <c r="J11" s="106"/>
    </row>
    <row r="12" spans="1:13" ht="15">
      <c r="D12" s="105" t="s">
        <v>941</v>
      </c>
      <c r="F12" s="59">
        <f>+G46</f>
        <v>0</v>
      </c>
      <c r="G12" s="830">
        <f>+H46</f>
        <v>80507888.159999996</v>
      </c>
      <c r="H12" s="830">
        <f>+I46</f>
        <v>7091855.4170949981</v>
      </c>
      <c r="I12" s="830">
        <f>SUM(F12:H12)</f>
        <v>87599743.577095002</v>
      </c>
      <c r="J12" s="106"/>
    </row>
    <row r="13" spans="1:13" ht="15">
      <c r="D13" s="105" t="s">
        <v>895</v>
      </c>
      <c r="F13" s="59">
        <f>SUM(F10:F12)</f>
        <v>0</v>
      </c>
      <c r="G13" s="830">
        <f>SUM(G10:G12)</f>
        <v>-1113362441.78</v>
      </c>
      <c r="H13" s="830">
        <f>SUM(H10:H12)</f>
        <v>-40027705.109364003</v>
      </c>
      <c r="I13" s="830">
        <f>SUM(F13:H13)</f>
        <v>-1153390146.889364</v>
      </c>
      <c r="J13" s="59"/>
      <c r="K13" s="1257"/>
      <c r="L13" s="1257"/>
    </row>
    <row r="14" spans="1:13" ht="15">
      <c r="D14" s="105" t="s">
        <v>822</v>
      </c>
      <c r="G14" s="3"/>
      <c r="H14" s="1400">
        <f>+'ATT H-1 '!H13</f>
        <v>9.4526491474223637E-2</v>
      </c>
      <c r="I14" s="3"/>
    </row>
    <row r="15" spans="1:13" ht="15">
      <c r="D15" s="105" t="s">
        <v>740</v>
      </c>
      <c r="G15" s="1400">
        <f>+'ATT H-1 '!H23</f>
        <v>0.17753258065739708</v>
      </c>
      <c r="H15" s="3"/>
      <c r="I15" s="3"/>
    </row>
    <row r="16" spans="1:13" ht="15">
      <c r="D16" s="105" t="s">
        <v>125</v>
      </c>
      <c r="F16" s="59">
        <f>+F13</f>
        <v>0</v>
      </c>
      <c r="G16" s="830">
        <f>+G15*G13</f>
        <v>-197658107.4962244</v>
      </c>
      <c r="H16" s="830">
        <f>+H14*H13</f>
        <v>-3783678.5257530343</v>
      </c>
      <c r="I16" s="830">
        <f>SUM(F16:H16)</f>
        <v>-201441786.02197742</v>
      </c>
      <c r="K16" s="105"/>
      <c r="L16" s="105"/>
      <c r="M16" s="105"/>
    </row>
    <row r="18" spans="1:10">
      <c r="A18" s="862"/>
      <c r="B18" s="862"/>
      <c r="C18" s="862"/>
      <c r="D18" s="862"/>
      <c r="E18" s="862"/>
      <c r="F18" s="862"/>
      <c r="G18" s="862"/>
      <c r="H18" s="862"/>
      <c r="I18" s="862"/>
      <c r="J18" s="862"/>
    </row>
    <row r="19" spans="1:10">
      <c r="A19" s="861"/>
      <c r="B19" s="861"/>
      <c r="C19" s="861"/>
      <c r="D19" s="862"/>
      <c r="E19" s="862"/>
      <c r="F19" s="862"/>
      <c r="G19" s="862"/>
      <c r="H19" s="862"/>
      <c r="I19" s="862"/>
      <c r="J19" s="862"/>
    </row>
    <row r="20" spans="1:10">
      <c r="A20" s="1147" t="s">
        <v>179</v>
      </c>
      <c r="B20" s="861"/>
      <c r="C20" s="861"/>
      <c r="D20" s="862"/>
      <c r="E20" s="862"/>
      <c r="F20" s="862"/>
      <c r="G20" s="862"/>
      <c r="H20" s="862"/>
      <c r="I20" s="862"/>
      <c r="J20" s="862"/>
    </row>
    <row r="21" spans="1:10">
      <c r="A21" s="1147" t="s">
        <v>860</v>
      </c>
      <c r="B21" s="861"/>
      <c r="C21" s="861"/>
      <c r="D21" s="862"/>
      <c r="E21" s="862"/>
      <c r="F21" s="862"/>
      <c r="G21" s="862"/>
      <c r="H21" s="862"/>
      <c r="I21" s="862"/>
      <c r="J21" s="862"/>
    </row>
    <row r="22" spans="1:10" ht="15">
      <c r="A22" s="861"/>
      <c r="B22" s="861"/>
      <c r="C22" s="861"/>
      <c r="D22" s="1080"/>
      <c r="E22" s="1080"/>
      <c r="F22" s="1080"/>
      <c r="G22" s="1080"/>
      <c r="H22" s="1080"/>
      <c r="I22" s="1080"/>
      <c r="J22" s="1081"/>
    </row>
    <row r="23" spans="1:10">
      <c r="I23" s="40"/>
    </row>
    <row r="24" spans="1:10">
      <c r="A24" s="69" t="s">
        <v>758</v>
      </c>
      <c r="B24" s="69"/>
      <c r="C24" s="69"/>
      <c r="D24" s="69"/>
      <c r="E24" s="69" t="s">
        <v>848</v>
      </c>
      <c r="F24" s="69" t="s">
        <v>739</v>
      </c>
      <c r="G24" s="69" t="s">
        <v>759</v>
      </c>
      <c r="H24" s="69" t="s">
        <v>757</v>
      </c>
      <c r="I24" s="69" t="s">
        <v>174</v>
      </c>
      <c r="J24" s="69" t="s">
        <v>760</v>
      </c>
    </row>
    <row r="25" spans="1:10">
      <c r="C25" s="110" t="s">
        <v>847</v>
      </c>
      <c r="D25" s="105" t="s">
        <v>847</v>
      </c>
      <c r="E25" s="69" t="s">
        <v>847</v>
      </c>
      <c r="F25" s="69" t="s">
        <v>118</v>
      </c>
      <c r="G25" s="69" t="s">
        <v>120</v>
      </c>
      <c r="H25" s="46"/>
      <c r="I25" s="46"/>
    </row>
    <row r="26" spans="1:10">
      <c r="A26" s="105" t="s">
        <v>941</v>
      </c>
      <c r="B26" s="105"/>
      <c r="C26" s="105" t="s">
        <v>345</v>
      </c>
      <c r="D26" s="105" t="s">
        <v>234</v>
      </c>
      <c r="E26" s="69" t="s">
        <v>346</v>
      </c>
      <c r="F26" s="69" t="s">
        <v>119</v>
      </c>
      <c r="G26" s="69" t="s">
        <v>940</v>
      </c>
      <c r="H26" s="69" t="s">
        <v>115</v>
      </c>
      <c r="I26" s="69" t="s">
        <v>117</v>
      </c>
    </row>
    <row r="27" spans="1:10">
      <c r="E27" s="46"/>
      <c r="F27" s="69" t="s">
        <v>116</v>
      </c>
      <c r="G27" s="69" t="s">
        <v>116</v>
      </c>
      <c r="H27" s="69" t="s">
        <v>116</v>
      </c>
      <c r="I27" s="69" t="s">
        <v>116</v>
      </c>
      <c r="J27" s="69" t="s">
        <v>731</v>
      </c>
    </row>
    <row r="28" spans="1:10">
      <c r="D28" s="47"/>
      <c r="E28" s="47"/>
    </row>
    <row r="29" spans="1:10" ht="15">
      <c r="A29" s="1152" t="s">
        <v>1259</v>
      </c>
      <c r="B29" s="1148"/>
      <c r="C29" s="1465">
        <v>59714052.730658703</v>
      </c>
      <c r="D29" s="1465">
        <v>67363382.838834837</v>
      </c>
      <c r="E29" s="1465">
        <v>63538717.784746766</v>
      </c>
      <c r="F29" s="1465">
        <v>63538717.784746766</v>
      </c>
      <c r="G29" s="1465"/>
      <c r="H29" s="1465"/>
      <c r="I29" s="1465"/>
      <c r="J29" s="1149" t="s">
        <v>461</v>
      </c>
    </row>
    <row r="30" spans="1:10" ht="15">
      <c r="A30" s="1152" t="s">
        <v>89</v>
      </c>
      <c r="B30" s="1151"/>
      <c r="C30" s="1465">
        <v>9868564.8962499984</v>
      </c>
      <c r="D30" s="1465">
        <v>3046741.6379399979</v>
      </c>
      <c r="E30" s="1465">
        <v>6457653.2670949977</v>
      </c>
      <c r="F30" s="1465">
        <v>0</v>
      </c>
      <c r="G30" s="1465"/>
      <c r="H30" s="1465"/>
      <c r="I30" s="1465">
        <v>6457653.2670949977</v>
      </c>
      <c r="J30" s="1149" t="s">
        <v>112</v>
      </c>
    </row>
    <row r="31" spans="1:10" ht="15">
      <c r="A31" s="1152" t="s">
        <v>90</v>
      </c>
      <c r="B31" s="1151"/>
      <c r="C31" s="1465"/>
      <c r="D31" s="1465"/>
      <c r="E31" s="1465"/>
      <c r="F31" s="1465"/>
      <c r="G31" s="1465"/>
      <c r="H31" s="1465"/>
      <c r="I31" s="1465"/>
      <c r="J31" s="1149" t="s">
        <v>611</v>
      </c>
    </row>
    <row r="32" spans="1:10" ht="15">
      <c r="A32" s="1152" t="s">
        <v>91</v>
      </c>
      <c r="B32" s="1148"/>
      <c r="C32" s="1465"/>
      <c r="D32" s="1465"/>
      <c r="E32" s="1465"/>
      <c r="F32" s="1465"/>
      <c r="G32" s="1465"/>
      <c r="H32" s="1465"/>
      <c r="I32" s="1465"/>
      <c r="J32" s="1149" t="s">
        <v>611</v>
      </c>
    </row>
    <row r="33" spans="1:11" ht="15">
      <c r="A33" s="1152" t="s">
        <v>92</v>
      </c>
      <c r="B33" s="1148"/>
      <c r="C33" s="1465">
        <v>56757879.692546993</v>
      </c>
      <c r="D33" s="1465">
        <v>47923241.957893997</v>
      </c>
      <c r="E33" s="1465">
        <v>52340560.825220495</v>
      </c>
      <c r="F33" s="1465">
        <v>52340560.825220495</v>
      </c>
      <c r="G33" s="1465"/>
      <c r="H33" s="1465"/>
      <c r="I33" s="1465"/>
      <c r="J33" s="1149" t="s">
        <v>724</v>
      </c>
    </row>
    <row r="34" spans="1:11" ht="15">
      <c r="A34" s="1152" t="s">
        <v>722</v>
      </c>
      <c r="B34" s="1153"/>
      <c r="C34" s="1465"/>
      <c r="D34" s="1465"/>
      <c r="E34" s="1465"/>
      <c r="F34" s="1465"/>
      <c r="G34" s="1465"/>
      <c r="H34" s="1466"/>
      <c r="I34" s="1465"/>
      <c r="J34" s="1149" t="s">
        <v>1289</v>
      </c>
      <c r="K34" s="1236"/>
    </row>
    <row r="35" spans="1:11" ht="15">
      <c r="A35" s="1152" t="s">
        <v>1311</v>
      </c>
      <c r="B35" s="1148"/>
      <c r="C35" s="1465">
        <v>60920332.25</v>
      </c>
      <c r="D35" s="1465">
        <v>134948269.59</v>
      </c>
      <c r="E35" s="1465">
        <v>97934300.920000002</v>
      </c>
      <c r="F35" s="1465">
        <v>97934300.920000002</v>
      </c>
      <c r="G35" s="1465"/>
      <c r="H35" s="1465"/>
      <c r="I35" s="1465"/>
      <c r="J35" s="1149" t="s">
        <v>1314</v>
      </c>
      <c r="K35" s="1236"/>
    </row>
    <row r="36" spans="1:11" ht="15">
      <c r="A36" s="1152" t="s">
        <v>1312</v>
      </c>
      <c r="B36" s="1148"/>
      <c r="C36" s="1465">
        <v>40645288.632739991</v>
      </c>
      <c r="D36" s="1465">
        <v>141998243.93893501</v>
      </c>
      <c r="E36" s="1465">
        <v>91321766.285837501</v>
      </c>
      <c r="F36" s="1465">
        <v>10813878.125837505</v>
      </c>
      <c r="G36" s="1465"/>
      <c r="H36" s="1465">
        <v>80507888.159999996</v>
      </c>
      <c r="I36" s="1465"/>
      <c r="J36" s="1149" t="s">
        <v>126</v>
      </c>
    </row>
    <row r="37" spans="1:11" ht="15">
      <c r="A37" s="1152" t="s">
        <v>88</v>
      </c>
      <c r="B37" s="1148"/>
      <c r="C37" s="1465">
        <v>72664377.606304243</v>
      </c>
      <c r="D37" s="1465">
        <v>68314862.80799602</v>
      </c>
      <c r="E37" s="1465">
        <v>70489620.207150131</v>
      </c>
      <c r="F37" s="1465">
        <v>70489620.207150131</v>
      </c>
      <c r="G37" s="1465"/>
      <c r="H37" s="1465"/>
      <c r="I37" s="1465"/>
      <c r="J37" s="1149" t="s">
        <v>1315</v>
      </c>
    </row>
    <row r="38" spans="1:11" ht="15">
      <c r="A38" s="1152" t="s">
        <v>1313</v>
      </c>
      <c r="B38" s="1148"/>
      <c r="C38" s="1465">
        <v>84160917.460000008</v>
      </c>
      <c r="D38" s="1465">
        <v>116398613.28999999</v>
      </c>
      <c r="E38" s="1465"/>
      <c r="F38" s="1465"/>
      <c r="G38" s="1465"/>
      <c r="H38" s="1465"/>
      <c r="I38" s="1465"/>
      <c r="J38" s="1149" t="s">
        <v>1313</v>
      </c>
    </row>
    <row r="39" spans="1:11" ht="15.75">
      <c r="A39" s="1152"/>
      <c r="B39" s="1148"/>
      <c r="C39" s="1465"/>
      <c r="D39" s="1467"/>
      <c r="E39" s="1466"/>
      <c r="F39" s="1466"/>
      <c r="G39" s="1466"/>
      <c r="H39" s="1466"/>
      <c r="I39" s="1466"/>
      <c r="J39" s="1149"/>
    </row>
    <row r="40" spans="1:11" ht="15.75">
      <c r="A40" s="1152"/>
      <c r="B40" s="1148"/>
      <c r="C40" s="1465"/>
      <c r="D40" s="1468"/>
      <c r="E40" s="1465"/>
      <c r="F40" s="1465"/>
      <c r="G40" s="1465"/>
      <c r="H40" s="1465"/>
      <c r="I40" s="1465"/>
      <c r="J40" s="1149"/>
    </row>
    <row r="41" spans="1:11" ht="15.75">
      <c r="A41" s="1152"/>
      <c r="B41" s="1148"/>
      <c r="C41" s="1465"/>
      <c r="D41" s="1468"/>
      <c r="E41" s="1465"/>
      <c r="F41" s="1465"/>
      <c r="G41" s="1465"/>
      <c r="H41" s="1465"/>
      <c r="I41" s="1465"/>
      <c r="J41" s="1149"/>
    </row>
    <row r="42" spans="1:11" ht="15.75">
      <c r="A42" s="1152"/>
      <c r="B42" s="1148"/>
      <c r="C42" s="1465"/>
      <c r="D42" s="1468"/>
      <c r="E42" s="1466"/>
      <c r="F42" s="1466"/>
      <c r="G42" s="1466"/>
      <c r="H42" s="1466"/>
      <c r="I42" s="1466"/>
      <c r="J42" s="1149"/>
    </row>
    <row r="43" spans="1:11" ht="15.75">
      <c r="A43" s="1155" t="s">
        <v>124</v>
      </c>
      <c r="B43" s="1082"/>
      <c r="C43" s="1469"/>
      <c r="D43" s="1470"/>
      <c r="E43" s="1471">
        <f>SUM(E29:E42)</f>
        <v>382082619.29004991</v>
      </c>
      <c r="F43" s="1471">
        <f>SUM(F29:F42)</f>
        <v>295117077.86295485</v>
      </c>
      <c r="G43" s="1471">
        <f>SUM(G29:G42)</f>
        <v>0</v>
      </c>
      <c r="H43" s="1471">
        <f>SUM(H29:H42)</f>
        <v>80507888.159999996</v>
      </c>
      <c r="I43" s="1471">
        <f>SUM(I29:I42)</f>
        <v>6457653.2670949977</v>
      </c>
      <c r="J43" s="92"/>
    </row>
    <row r="44" spans="1:11" ht="15.75">
      <c r="A44" s="1156" t="s">
        <v>667</v>
      </c>
      <c r="B44" s="1083"/>
      <c r="C44" s="1472"/>
      <c r="D44" s="740"/>
      <c r="E44" s="1471">
        <v>0</v>
      </c>
      <c r="F44" s="1471">
        <v>0</v>
      </c>
      <c r="G44" s="1471">
        <v>0</v>
      </c>
      <c r="H44" s="1473">
        <v>0</v>
      </c>
      <c r="I44" s="1471">
        <f>E44</f>
        <v>0</v>
      </c>
      <c r="J44" s="93"/>
    </row>
    <row r="45" spans="1:11" ht="15.75">
      <c r="A45" s="1157" t="s">
        <v>668</v>
      </c>
      <c r="B45" s="1084"/>
      <c r="C45" s="1474"/>
      <c r="D45" s="738"/>
      <c r="E45" s="1471">
        <v>-634202.15</v>
      </c>
      <c r="F45" s="1471">
        <v>0</v>
      </c>
      <c r="G45" s="1471">
        <v>0</v>
      </c>
      <c r="H45" s="1471">
        <v>0</v>
      </c>
      <c r="I45" s="1471">
        <f>E45</f>
        <v>-634202.15</v>
      </c>
      <c r="J45" s="93"/>
    </row>
    <row r="46" spans="1:11" ht="15">
      <c r="A46" s="1155" t="s">
        <v>847</v>
      </c>
      <c r="B46" s="1082"/>
      <c r="C46" s="1475">
        <f>SUM(C29:C45)</f>
        <v>384731413.26849997</v>
      </c>
      <c r="D46" s="1475">
        <f>SUM(D29:D45)</f>
        <v>579993356.06159985</v>
      </c>
      <c r="E46" s="1471">
        <f>+E43-E44-E45</f>
        <v>382716821.44004989</v>
      </c>
      <c r="F46" s="1471">
        <f>+F43-F44-F45</f>
        <v>295117077.86295485</v>
      </c>
      <c r="G46" s="1471">
        <f>+G43-G44-G45</f>
        <v>0</v>
      </c>
      <c r="H46" s="1471">
        <f>+H43-H44-H45</f>
        <v>80507888.159999996</v>
      </c>
      <c r="I46" s="1471">
        <f>+I43-I44-I45</f>
        <v>7091855.4170949981</v>
      </c>
      <c r="J46" s="92"/>
    </row>
    <row r="47" spans="1:11">
      <c r="A47" s="1147"/>
      <c r="B47" s="861"/>
      <c r="C47" s="861"/>
      <c r="D47" s="1085"/>
      <c r="E47" s="1086"/>
      <c r="F47" s="1087"/>
      <c r="H47" s="82"/>
      <c r="I47" s="41"/>
      <c r="J47" s="75"/>
    </row>
    <row r="48" spans="1:11">
      <c r="A48" s="1158" t="s">
        <v>121</v>
      </c>
      <c r="B48" s="1159"/>
      <c r="C48" s="1159"/>
      <c r="D48" s="1160"/>
      <c r="E48" s="1161"/>
      <c r="F48" s="1162"/>
      <c r="I48" s="75"/>
    </row>
    <row r="49" spans="1:10" ht="25.5" customHeight="1">
      <c r="A49" s="1519" t="s">
        <v>569</v>
      </c>
      <c r="B49" s="1520"/>
      <c r="C49" s="1520"/>
      <c r="D49" s="1520"/>
      <c r="E49" s="1520"/>
      <c r="F49" s="1521"/>
      <c r="I49" s="97"/>
    </row>
    <row r="50" spans="1:10">
      <c r="A50" s="1163" t="s">
        <v>570</v>
      </c>
      <c r="B50" s="550"/>
      <c r="C50" s="550"/>
      <c r="D50" s="550"/>
      <c r="E50" s="1164"/>
      <c r="F50" s="1165"/>
      <c r="I50" s="75"/>
    </row>
    <row r="51" spans="1:10">
      <c r="A51" s="1163" t="s">
        <v>917</v>
      </c>
      <c r="B51" s="550"/>
      <c r="C51" s="550"/>
      <c r="D51" s="550"/>
      <c r="E51" s="1164"/>
      <c r="F51" s="1165"/>
      <c r="I51" s="97"/>
    </row>
    <row r="52" spans="1:10">
      <c r="A52" s="1163" t="s">
        <v>918</v>
      </c>
      <c r="B52" s="550"/>
      <c r="C52" s="550"/>
      <c r="D52" s="550"/>
      <c r="E52" s="1164"/>
      <c r="F52" s="1165"/>
      <c r="I52" s="75"/>
    </row>
    <row r="53" spans="1:10" ht="42" customHeight="1">
      <c r="A53" s="1519" t="s">
        <v>577</v>
      </c>
      <c r="B53" s="1520"/>
      <c r="C53" s="1520"/>
      <c r="D53" s="1520"/>
      <c r="E53" s="1520"/>
      <c r="F53" s="1521"/>
      <c r="J53" s="78"/>
    </row>
    <row r="54" spans="1:10">
      <c r="A54" s="1166" t="s">
        <v>710</v>
      </c>
      <c r="B54" s="1167"/>
      <c r="C54" s="1167"/>
      <c r="D54" s="1167"/>
      <c r="E54" s="1167"/>
      <c r="F54" s="1168"/>
      <c r="I54" s="75"/>
    </row>
    <row r="55" spans="1:10">
      <c r="C55"/>
      <c r="F55" s="41"/>
      <c r="G55" s="41"/>
      <c r="J55" s="75"/>
    </row>
    <row r="56" spans="1:10" ht="15">
      <c r="D56" s="73"/>
      <c r="E56" s="73"/>
      <c r="F56" s="73"/>
      <c r="G56" s="73"/>
      <c r="H56" s="73"/>
      <c r="I56" s="73"/>
      <c r="J56" s="75"/>
    </row>
    <row r="57" spans="1:10">
      <c r="A57" s="50"/>
      <c r="B57" s="50"/>
      <c r="C57" s="50"/>
      <c r="D57" s="22"/>
    </row>
    <row r="58" spans="1:10" ht="15.75">
      <c r="A58" s="27" t="s">
        <v>660</v>
      </c>
      <c r="B58" s="109"/>
      <c r="C58" s="109"/>
      <c r="E58" s="59"/>
    </row>
    <row r="59" spans="1:10" ht="15">
      <c r="A59" s="73"/>
      <c r="B59" s="73"/>
      <c r="C59" s="73"/>
    </row>
    <row r="60" spans="1:10">
      <c r="A60" s="69" t="s">
        <v>758</v>
      </c>
      <c r="E60" s="69" t="s">
        <v>848</v>
      </c>
      <c r="F60" s="69" t="s">
        <v>739</v>
      </c>
      <c r="G60" s="69" t="s">
        <v>759</v>
      </c>
      <c r="H60" s="69" t="s">
        <v>757</v>
      </c>
      <c r="I60" s="69" t="s">
        <v>174</v>
      </c>
      <c r="J60" s="69" t="s">
        <v>760</v>
      </c>
    </row>
    <row r="61" spans="1:10">
      <c r="A61"/>
      <c r="C61" s="110" t="s">
        <v>847</v>
      </c>
      <c r="D61" s="105" t="s">
        <v>847</v>
      </c>
      <c r="E61" s="69" t="s">
        <v>847</v>
      </c>
      <c r="F61" s="69" t="s">
        <v>118</v>
      </c>
      <c r="G61" s="69" t="s">
        <v>120</v>
      </c>
      <c r="H61" s="46"/>
      <c r="I61" s="46"/>
    </row>
    <row r="62" spans="1:10">
      <c r="A62" s="105" t="s">
        <v>942</v>
      </c>
      <c r="B62" s="861"/>
      <c r="C62" s="105" t="s">
        <v>345</v>
      </c>
      <c r="D62" s="105" t="s">
        <v>234</v>
      </c>
      <c r="E62" s="69" t="s">
        <v>346</v>
      </c>
      <c r="F62" s="69" t="s">
        <v>119</v>
      </c>
      <c r="G62" s="69" t="s">
        <v>940</v>
      </c>
      <c r="H62" s="69" t="s">
        <v>115</v>
      </c>
      <c r="I62" s="69" t="s">
        <v>117</v>
      </c>
      <c r="J62" s="862"/>
    </row>
    <row r="63" spans="1:10">
      <c r="A63" s="861"/>
      <c r="B63" s="861"/>
      <c r="C63" s="861"/>
      <c r="D63" s="47"/>
      <c r="E63" s="69"/>
      <c r="F63" s="69" t="s">
        <v>116</v>
      </c>
      <c r="G63" s="69" t="s">
        <v>116</v>
      </c>
      <c r="H63" s="69" t="s">
        <v>116</v>
      </c>
      <c r="I63" s="69" t="s">
        <v>116</v>
      </c>
      <c r="J63" s="69" t="s">
        <v>731</v>
      </c>
    </row>
    <row r="64" spans="1:10" ht="15">
      <c r="A64" s="1169" t="s">
        <v>946</v>
      </c>
      <c r="B64" s="1170"/>
      <c r="C64" s="1465">
        <v>-579835948</v>
      </c>
      <c r="D64" s="1465">
        <v>-568085516</v>
      </c>
      <c r="E64" s="1465">
        <v>-573960732</v>
      </c>
      <c r="F64" s="1465">
        <v>-573960732</v>
      </c>
      <c r="G64" s="1465"/>
      <c r="H64" s="1465"/>
      <c r="I64" s="1465"/>
      <c r="J64" s="1154" t="s">
        <v>111</v>
      </c>
    </row>
    <row r="65" spans="1:15" ht="15">
      <c r="A65" s="1169" t="s">
        <v>947</v>
      </c>
      <c r="B65" s="1170"/>
      <c r="C65" s="1465">
        <v>-1185921697</v>
      </c>
      <c r="D65" s="1465">
        <v>-1185336598</v>
      </c>
      <c r="E65" s="1465">
        <v>-1185629147.5</v>
      </c>
      <c r="F65" s="1465">
        <v>0</v>
      </c>
      <c r="G65" s="1465"/>
      <c r="H65" s="1465">
        <v>-1185629147.5</v>
      </c>
      <c r="I65" s="1465"/>
      <c r="J65" s="1154" t="s">
        <v>460</v>
      </c>
    </row>
    <row r="66" spans="1:15" ht="15">
      <c r="A66" s="1169" t="s">
        <v>1316</v>
      </c>
      <c r="B66" s="1170"/>
      <c r="C66" s="1476">
        <v>2301533</v>
      </c>
      <c r="D66" s="1476">
        <v>2129791</v>
      </c>
      <c r="E66" s="1465">
        <v>2215662</v>
      </c>
      <c r="F66" s="1465">
        <v>2215662</v>
      </c>
      <c r="G66" s="1465"/>
      <c r="H66" s="1465"/>
      <c r="I66" s="1465"/>
      <c r="J66" s="1154" t="s">
        <v>1317</v>
      </c>
    </row>
    <row r="67" spans="1:15" ht="15">
      <c r="A67" s="1088"/>
      <c r="B67" s="1089"/>
      <c r="C67" s="1477"/>
      <c r="D67" s="1470"/>
      <c r="E67" s="1471"/>
      <c r="F67" s="1471"/>
      <c r="G67" s="1471"/>
      <c r="H67" s="1471"/>
      <c r="I67" s="1471"/>
      <c r="J67" s="92"/>
      <c r="O67" s="1122"/>
    </row>
    <row r="68" spans="1:15" ht="15.75">
      <c r="A68" s="1171" t="s">
        <v>711</v>
      </c>
      <c r="B68" s="1090"/>
      <c r="C68" s="1478"/>
      <c r="D68" s="1470"/>
      <c r="E68" s="1471">
        <f>SUM(E64:E67)</f>
        <v>-1757374217.5</v>
      </c>
      <c r="F68" s="1471">
        <f>SUM(F64:F67)</f>
        <v>-571745070</v>
      </c>
      <c r="G68" s="1471">
        <f>SUM(G64:G67)</f>
        <v>0</v>
      </c>
      <c r="H68" s="1471">
        <f>SUM(H64:H67)</f>
        <v>-1185629147.5</v>
      </c>
      <c r="I68" s="1471">
        <f>SUM(I64:I67)</f>
        <v>0</v>
      </c>
      <c r="J68" s="92"/>
    </row>
    <row r="69" spans="1:15" ht="15">
      <c r="A69" s="1171" t="s">
        <v>667</v>
      </c>
      <c r="B69" s="1090"/>
      <c r="C69" s="1479">
        <v>616967562</v>
      </c>
      <c r="D69" s="1479">
        <v>587662512</v>
      </c>
      <c r="E69" s="1471">
        <f>AVERAGE(C69,D69)</f>
        <v>602315037</v>
      </c>
      <c r="F69" s="1471">
        <f>E69</f>
        <v>602315037</v>
      </c>
      <c r="G69" s="1471"/>
      <c r="H69" s="1471">
        <v>0</v>
      </c>
      <c r="I69" s="1471"/>
      <c r="J69" s="93"/>
      <c r="O69" s="1123"/>
    </row>
    <row r="70" spans="1:15" ht="15">
      <c r="A70" s="1172" t="s">
        <v>668</v>
      </c>
      <c r="B70" s="1091"/>
      <c r="C70" s="1480"/>
      <c r="D70" s="1480"/>
      <c r="E70" s="1471">
        <f>SUM(F70:I70)</f>
        <v>0</v>
      </c>
      <c r="F70" s="1471"/>
      <c r="G70" s="1471"/>
      <c r="H70" s="1471"/>
      <c r="I70" s="1471"/>
      <c r="J70" s="93"/>
    </row>
    <row r="71" spans="1:15" ht="15">
      <c r="A71" s="1173" t="s">
        <v>847</v>
      </c>
      <c r="B71" s="968"/>
      <c r="C71" s="1481">
        <f>SUM(C64:C70)</f>
        <v>-1146488550</v>
      </c>
      <c r="D71" s="1481">
        <f>SUM(D64:D70)</f>
        <v>-1163629811</v>
      </c>
      <c r="E71" s="1471">
        <f>+E68-E69-E70</f>
        <v>-2359689254.5</v>
      </c>
      <c r="F71" s="1471">
        <f>+F68-F69-F70</f>
        <v>-1174060107</v>
      </c>
      <c r="G71" s="1471">
        <f>+G68-G69-G70</f>
        <v>0</v>
      </c>
      <c r="H71" s="1471">
        <f>+H68-H69-H70</f>
        <v>-1185629147.5</v>
      </c>
      <c r="I71" s="1471">
        <f>+I68-I69-I70</f>
        <v>0</v>
      </c>
      <c r="J71" s="92"/>
    </row>
    <row r="72" spans="1:15">
      <c r="A72" s="861"/>
      <c r="B72" s="861"/>
      <c r="C72" s="861"/>
      <c r="D72" s="1092"/>
      <c r="E72" s="862"/>
      <c r="F72" s="862"/>
      <c r="G72" s="59"/>
      <c r="H72" s="41"/>
      <c r="I72" s="41"/>
      <c r="J72" s="75"/>
    </row>
    <row r="73" spans="1:15">
      <c r="A73" s="1158" t="s">
        <v>123</v>
      </c>
      <c r="B73" s="1159"/>
      <c r="C73" s="1159"/>
      <c r="D73" s="1159"/>
      <c r="E73" s="1174"/>
      <c r="F73" s="1162"/>
      <c r="G73" s="75"/>
    </row>
    <row r="74" spans="1:15">
      <c r="A74" s="1519" t="s">
        <v>569</v>
      </c>
      <c r="B74" s="1520"/>
      <c r="C74" s="1520"/>
      <c r="D74" s="1520"/>
      <c r="E74" s="1520"/>
      <c r="F74" s="1521"/>
      <c r="G74" s="75"/>
      <c r="H74" s="1298"/>
    </row>
    <row r="75" spans="1:15">
      <c r="A75" s="1163" t="s">
        <v>570</v>
      </c>
      <c r="B75" s="550"/>
      <c r="C75" s="550"/>
      <c r="D75" s="550"/>
      <c r="E75" s="1164"/>
      <c r="F75" s="1165"/>
      <c r="G75" s="75"/>
      <c r="H75" s="1298"/>
      <c r="O75" s="1123"/>
    </row>
    <row r="76" spans="1:15">
      <c r="A76" s="1163" t="s">
        <v>917</v>
      </c>
      <c r="B76" s="550"/>
      <c r="C76" s="550"/>
      <c r="D76" s="550"/>
      <c r="E76" s="1164"/>
      <c r="F76" s="1165"/>
      <c r="G76" s="75"/>
      <c r="H76" s="1298"/>
    </row>
    <row r="77" spans="1:15">
      <c r="A77" s="1163" t="s">
        <v>918</v>
      </c>
      <c r="B77" s="550"/>
      <c r="C77" s="550"/>
      <c r="D77" s="550"/>
      <c r="E77" s="1164"/>
      <c r="F77" s="1165"/>
      <c r="G77" s="75"/>
    </row>
    <row r="78" spans="1:15" ht="39" customHeight="1">
      <c r="A78" s="1519" t="s">
        <v>577</v>
      </c>
      <c r="B78" s="1520"/>
      <c r="C78" s="1520"/>
      <c r="D78" s="1520"/>
      <c r="E78" s="1520"/>
      <c r="F78" s="1521"/>
      <c r="H78" s="78"/>
    </row>
    <row r="79" spans="1:15">
      <c r="A79" s="1166" t="s">
        <v>710</v>
      </c>
      <c r="B79" s="1175"/>
      <c r="C79" s="1175"/>
      <c r="D79" s="1175"/>
      <c r="E79" s="1176"/>
      <c r="F79" s="1177"/>
      <c r="G79" s="75"/>
    </row>
    <row r="80" spans="1:15">
      <c r="D80" s="79"/>
      <c r="H80" s="41"/>
      <c r="I80" s="41"/>
      <c r="J80" s="75"/>
    </row>
    <row r="81" spans="1:11" ht="18">
      <c r="A81" s="26"/>
      <c r="B81" s="26"/>
      <c r="C81" s="26"/>
      <c r="D81" s="96"/>
      <c r="E81" s="96"/>
      <c r="F81" s="96"/>
      <c r="G81" s="96"/>
      <c r="H81" s="96"/>
      <c r="I81" s="96"/>
    </row>
    <row r="82" spans="1:11" ht="18">
      <c r="A82" s="94"/>
      <c r="B82" s="94"/>
      <c r="C82" s="94"/>
      <c r="D82" s="863"/>
      <c r="E82" s="95"/>
      <c r="F82" s="95"/>
      <c r="G82" s="95"/>
      <c r="H82" s="95"/>
      <c r="I82" s="95"/>
      <c r="J82" s="95"/>
    </row>
    <row r="83" spans="1:11" ht="15.75">
      <c r="A83" s="27" t="s">
        <v>660</v>
      </c>
      <c r="B83" s="109"/>
      <c r="C83" s="109"/>
    </row>
    <row r="84" spans="1:11">
      <c r="I84" s="40"/>
      <c r="J84" s="75"/>
    </row>
    <row r="85" spans="1:11">
      <c r="A85" s="69" t="s">
        <v>758</v>
      </c>
      <c r="E85" s="69" t="s">
        <v>848</v>
      </c>
      <c r="F85" s="69" t="s">
        <v>739</v>
      </c>
      <c r="G85" s="69" t="s">
        <v>759</v>
      </c>
      <c r="H85" s="69" t="s">
        <v>757</v>
      </c>
      <c r="I85" s="69" t="s">
        <v>174</v>
      </c>
      <c r="J85" s="69" t="s">
        <v>760</v>
      </c>
    </row>
    <row r="86" spans="1:11">
      <c r="A86" s="102"/>
      <c r="B86" s="864"/>
      <c r="C86" s="110" t="s">
        <v>847</v>
      </c>
      <c r="D86" s="105" t="s">
        <v>847</v>
      </c>
      <c r="E86" s="69" t="s">
        <v>847</v>
      </c>
      <c r="F86" s="69" t="s">
        <v>118</v>
      </c>
      <c r="G86" s="69" t="s">
        <v>120</v>
      </c>
      <c r="H86" s="69"/>
      <c r="I86" s="69"/>
      <c r="J86" s="44"/>
    </row>
    <row r="87" spans="1:11">
      <c r="A87" s="105" t="s">
        <v>943</v>
      </c>
      <c r="B87" s="55"/>
      <c r="C87" s="105" t="s">
        <v>345</v>
      </c>
      <c r="D87" s="105" t="s">
        <v>234</v>
      </c>
      <c r="E87" s="69" t="s">
        <v>346</v>
      </c>
      <c r="F87" s="69" t="s">
        <v>119</v>
      </c>
      <c r="G87" s="69" t="s">
        <v>940</v>
      </c>
      <c r="H87" s="69" t="s">
        <v>115</v>
      </c>
      <c r="I87" s="69" t="s">
        <v>117</v>
      </c>
      <c r="J87" s="44"/>
    </row>
    <row r="88" spans="1:11">
      <c r="A88" s="55"/>
      <c r="B88" s="55"/>
      <c r="C88" s="55"/>
      <c r="D88" s="44"/>
      <c r="E88" s="69"/>
      <c r="F88" s="69" t="s">
        <v>116</v>
      </c>
      <c r="G88" s="69" t="s">
        <v>116</v>
      </c>
      <c r="H88" s="69" t="s">
        <v>116</v>
      </c>
      <c r="I88" s="69" t="s">
        <v>116</v>
      </c>
      <c r="J88" s="69" t="s">
        <v>731</v>
      </c>
    </row>
    <row r="89" spans="1:11" ht="15">
      <c r="A89" s="1169" t="s">
        <v>952</v>
      </c>
      <c r="B89" s="1170"/>
      <c r="C89" s="1465">
        <v>0</v>
      </c>
      <c r="D89" s="1465">
        <v>0</v>
      </c>
      <c r="E89" s="1465">
        <v>0</v>
      </c>
      <c r="F89" s="1465">
        <v>0</v>
      </c>
      <c r="G89" s="1465"/>
      <c r="H89" s="1466"/>
      <c r="I89" s="1465"/>
      <c r="J89" s="1154" t="s">
        <v>461</v>
      </c>
    </row>
    <row r="90" spans="1:11" ht="15">
      <c r="A90" s="1169" t="s">
        <v>948</v>
      </c>
      <c r="B90" s="1170"/>
      <c r="C90" s="1465">
        <v>-44729000.700499997</v>
      </c>
      <c r="D90" s="1465">
        <v>-49510120.352418005</v>
      </c>
      <c r="E90" s="1465">
        <v>-47119560.526459001</v>
      </c>
      <c r="F90" s="1465">
        <v>0</v>
      </c>
      <c r="G90" s="1465"/>
      <c r="H90" s="1465"/>
      <c r="I90" s="1465">
        <v>-47119560.526459001</v>
      </c>
      <c r="J90" s="1154" t="s">
        <v>112</v>
      </c>
    </row>
    <row r="91" spans="1:11" ht="15">
      <c r="A91" s="1169" t="s">
        <v>953</v>
      </c>
      <c r="B91" s="1170"/>
      <c r="C91" s="1465">
        <v>-25290476.029999997</v>
      </c>
      <c r="D91" s="1465">
        <v>-26509708.93</v>
      </c>
      <c r="E91" s="1465">
        <v>-25900092.479999997</v>
      </c>
      <c r="F91" s="1465">
        <v>-25900092.479999997</v>
      </c>
      <c r="G91" s="1465"/>
      <c r="H91" s="1465"/>
      <c r="I91" s="1465"/>
      <c r="J91" s="1149" t="s">
        <v>724</v>
      </c>
    </row>
    <row r="92" spans="1:11" ht="15">
      <c r="A92" s="1169" t="s">
        <v>954</v>
      </c>
      <c r="B92" s="1170"/>
      <c r="C92" s="1465">
        <v>-77708198.959999949</v>
      </c>
      <c r="D92" s="1465">
        <v>-95712768.959999993</v>
      </c>
      <c r="E92" s="1465">
        <v>-86710483.959999979</v>
      </c>
      <c r="F92" s="1465">
        <v>-86710483.959999979</v>
      </c>
      <c r="G92" s="1465"/>
      <c r="H92" s="1465"/>
      <c r="I92" s="1465"/>
      <c r="J92" s="1149" t="s">
        <v>724</v>
      </c>
      <c r="K92" s="1296"/>
    </row>
    <row r="93" spans="1:11" ht="15">
      <c r="A93" s="1169" t="s">
        <v>955</v>
      </c>
      <c r="B93" s="1178"/>
      <c r="C93" s="1465">
        <v>0</v>
      </c>
      <c r="D93" s="1465">
        <v>0</v>
      </c>
      <c r="E93" s="1465">
        <v>0</v>
      </c>
      <c r="F93" s="1465">
        <v>0</v>
      </c>
      <c r="G93" s="1465"/>
      <c r="H93" s="1465"/>
      <c r="I93" s="1465"/>
      <c r="J93" s="1149" t="s">
        <v>611</v>
      </c>
      <c r="K93" s="1296"/>
    </row>
    <row r="94" spans="1:11" ht="15">
      <c r="A94" s="1169" t="s">
        <v>87</v>
      </c>
      <c r="B94" s="1178"/>
      <c r="C94" s="1465">
        <v>0</v>
      </c>
      <c r="D94" s="1465">
        <v>0</v>
      </c>
      <c r="E94" s="1465">
        <v>0</v>
      </c>
      <c r="F94" s="1465">
        <v>0</v>
      </c>
      <c r="G94" s="1465"/>
      <c r="H94" s="1465"/>
      <c r="I94" s="1465"/>
      <c r="J94" s="1149" t="s">
        <v>724</v>
      </c>
      <c r="K94" s="1296"/>
    </row>
    <row r="95" spans="1:11" ht="15">
      <c r="A95" s="1169" t="s">
        <v>1311</v>
      </c>
      <c r="B95" s="1178"/>
      <c r="C95" s="1465">
        <v>-61108732.059999995</v>
      </c>
      <c r="D95" s="1465">
        <v>-134987844.63</v>
      </c>
      <c r="E95" s="1465">
        <v>-98048288.344999999</v>
      </c>
      <c r="F95" s="1465">
        <v>-98048288.344999999</v>
      </c>
      <c r="G95" s="1465"/>
      <c r="H95" s="1465"/>
      <c r="I95" s="1465"/>
      <c r="J95" s="1154" t="s">
        <v>1314</v>
      </c>
      <c r="K95" s="1309"/>
    </row>
    <row r="96" spans="1:11" ht="15">
      <c r="A96" s="1169" t="s">
        <v>168</v>
      </c>
      <c r="B96" s="1178"/>
      <c r="C96" s="1465">
        <v>-7005983.5599999996</v>
      </c>
      <c r="D96" s="1465">
        <v>-9476381.3200000003</v>
      </c>
      <c r="E96" s="1465">
        <v>-8241182.4399999995</v>
      </c>
      <c r="F96" s="1465">
        <v>0</v>
      </c>
      <c r="G96" s="1465"/>
      <c r="H96" s="1465">
        <v>-8241182.4400000004</v>
      </c>
      <c r="I96" s="1465"/>
      <c r="J96" s="1149" t="s">
        <v>460</v>
      </c>
      <c r="K96" s="1298"/>
    </row>
    <row r="97" spans="1:11" ht="15">
      <c r="A97" s="1169" t="s">
        <v>88</v>
      </c>
      <c r="B97" s="1178"/>
      <c r="C97" s="1465">
        <v>-62338027.909500003</v>
      </c>
      <c r="D97" s="1465">
        <v>-59040033.127582006</v>
      </c>
      <c r="E97" s="1465">
        <v>-60689030.518541008</v>
      </c>
      <c r="F97" s="1465">
        <v>-60689030.518541008</v>
      </c>
      <c r="G97" s="1465"/>
      <c r="H97" s="1465"/>
      <c r="I97" s="1465"/>
      <c r="J97" s="1154" t="s">
        <v>1260</v>
      </c>
      <c r="K97" s="1296"/>
    </row>
    <row r="98" spans="1:11" ht="15">
      <c r="A98" s="1179" t="s">
        <v>1313</v>
      </c>
      <c r="B98" s="1180"/>
      <c r="C98" s="1465">
        <v>-79563412.309999987</v>
      </c>
      <c r="D98" s="1465">
        <v>-110994443.23000005</v>
      </c>
      <c r="E98" s="1465"/>
      <c r="F98" s="1465"/>
      <c r="G98" s="1466"/>
      <c r="H98" s="1466"/>
      <c r="I98" s="1466"/>
      <c r="J98" s="1149" t="s">
        <v>1313</v>
      </c>
    </row>
    <row r="99" spans="1:11" ht="15">
      <c r="A99" s="1169"/>
      <c r="B99" s="1178"/>
      <c r="C99" s="1482"/>
      <c r="D99" s="1483"/>
      <c r="E99" s="1465"/>
      <c r="F99" s="1465"/>
      <c r="G99" s="1465"/>
      <c r="H99" s="1466"/>
      <c r="I99" s="1465"/>
      <c r="J99" s="1154"/>
    </row>
    <row r="100" spans="1:11" ht="15">
      <c r="A100" s="1169"/>
      <c r="B100" s="1170"/>
      <c r="C100" s="1484"/>
      <c r="D100" s="1485"/>
      <c r="E100" s="1465"/>
      <c r="F100" s="1465"/>
      <c r="G100" s="1465"/>
      <c r="H100" s="1465"/>
      <c r="I100" s="1465"/>
      <c r="J100" s="1149"/>
    </row>
    <row r="101" spans="1:11" ht="15">
      <c r="A101" s="1179"/>
      <c r="B101" s="1180"/>
      <c r="C101" s="1486"/>
      <c r="D101" s="1485"/>
      <c r="E101" s="1465"/>
      <c r="F101" s="1465"/>
      <c r="G101" s="1466"/>
      <c r="H101" s="1465"/>
      <c r="I101" s="1465"/>
      <c r="J101" s="1149"/>
    </row>
    <row r="102" spans="1:11" ht="15">
      <c r="A102" s="1150"/>
      <c r="B102" s="1180"/>
      <c r="C102" s="1486"/>
      <c r="D102" s="1483"/>
      <c r="E102" s="1465"/>
      <c r="F102" s="1465"/>
      <c r="G102" s="1465"/>
      <c r="H102" s="1465"/>
      <c r="I102" s="1465"/>
      <c r="J102" s="1149"/>
    </row>
    <row r="103" spans="1:11" ht="15">
      <c r="A103" s="1150"/>
      <c r="B103" s="1151"/>
      <c r="C103" s="1487"/>
      <c r="D103" s="1483"/>
      <c r="E103" s="1465"/>
      <c r="F103" s="1465"/>
      <c r="G103" s="1465"/>
      <c r="H103" s="1465"/>
      <c r="I103" s="1465"/>
      <c r="J103" s="1149"/>
    </row>
    <row r="104" spans="1:11" ht="15">
      <c r="A104" s="1181"/>
      <c r="B104" s="1182"/>
      <c r="C104" s="1488"/>
      <c r="D104" s="1483"/>
      <c r="E104" s="1465"/>
      <c r="F104" s="1465"/>
      <c r="G104" s="1465"/>
      <c r="H104" s="1465"/>
      <c r="I104" s="1465"/>
      <c r="J104" s="1149"/>
    </row>
    <row r="105" spans="1:11" ht="15">
      <c r="A105" s="1183"/>
      <c r="B105" s="1184"/>
      <c r="C105" s="1486"/>
      <c r="D105" s="1483"/>
      <c r="E105" s="1465"/>
      <c r="F105" s="1466"/>
      <c r="G105" s="1466"/>
      <c r="H105" s="1466"/>
      <c r="I105" s="1466"/>
      <c r="J105" s="1149"/>
    </row>
    <row r="106" spans="1:11" ht="15.75">
      <c r="A106" s="1173" t="s">
        <v>712</v>
      </c>
      <c r="B106" s="968"/>
      <c r="C106" s="1489"/>
      <c r="D106" s="1470"/>
      <c r="E106" s="1471">
        <f>SUM(E89:E105)</f>
        <v>-326708638.26999998</v>
      </c>
      <c r="F106" s="1471">
        <f>SUM(F89:F105)</f>
        <v>-271347895.30354095</v>
      </c>
      <c r="G106" s="1471">
        <f>SUM(G89:G105)</f>
        <v>0</v>
      </c>
      <c r="H106" s="1471">
        <f>SUM(H89:H105)</f>
        <v>-8241182.4400000004</v>
      </c>
      <c r="I106" s="1471">
        <f>SUM(I89:I105)</f>
        <v>-47119560.526459001</v>
      </c>
      <c r="J106" s="93"/>
    </row>
    <row r="107" spans="1:11" ht="15.75">
      <c r="A107" s="1173" t="s">
        <v>667</v>
      </c>
      <c r="B107" s="968"/>
      <c r="C107" s="1489"/>
      <c r="D107" s="1470"/>
      <c r="E107" s="1490">
        <v>0</v>
      </c>
      <c r="F107" s="1490">
        <f>+E107</f>
        <v>0</v>
      </c>
      <c r="G107" s="1490">
        <v>0</v>
      </c>
      <c r="H107" s="1490">
        <v>0</v>
      </c>
      <c r="I107" s="1490">
        <v>0</v>
      </c>
      <c r="J107" s="93"/>
    </row>
    <row r="108" spans="1:11" ht="15.75">
      <c r="A108" s="1173" t="s">
        <v>668</v>
      </c>
      <c r="B108" s="968"/>
      <c r="C108" s="1489"/>
      <c r="D108" s="1470"/>
      <c r="E108" s="1490">
        <v>0</v>
      </c>
      <c r="F108" s="1490">
        <v>0</v>
      </c>
      <c r="G108" s="1490">
        <v>0</v>
      </c>
      <c r="H108" s="1490">
        <v>0</v>
      </c>
      <c r="I108" s="1490">
        <f>+E108</f>
        <v>0</v>
      </c>
      <c r="J108" s="92"/>
    </row>
    <row r="109" spans="1:11" ht="15">
      <c r="A109" s="1185" t="s">
        <v>847</v>
      </c>
      <c r="B109" s="1093"/>
      <c r="C109" s="832">
        <f>SUM(C89:C108)</f>
        <v>-357743831.52999997</v>
      </c>
      <c r="D109" s="832">
        <f>SUM(D89:D108)</f>
        <v>-486231300.55000007</v>
      </c>
      <c r="E109" s="1490">
        <f>+E106-E107-E108</f>
        <v>-326708638.26999998</v>
      </c>
      <c r="F109" s="1490">
        <f>+F106-F107-F108</f>
        <v>-271347895.30354095</v>
      </c>
      <c r="G109" s="1490">
        <f>+G106-G107-G108</f>
        <v>0</v>
      </c>
      <c r="H109" s="1490">
        <f>+H106-H107-H108</f>
        <v>-8241182.4400000004</v>
      </c>
      <c r="I109" s="1490">
        <f>+I106-I107-I108</f>
        <v>-47119560.526459001</v>
      </c>
      <c r="J109" s="92"/>
    </row>
    <row r="110" spans="1:11">
      <c r="A110" s="861"/>
      <c r="B110" s="861"/>
      <c r="C110" s="861"/>
      <c r="D110" s="1308"/>
      <c r="E110" s="862"/>
      <c r="F110" s="1094"/>
      <c r="G110" s="59"/>
      <c r="H110" s="59"/>
      <c r="I110" s="59"/>
      <c r="J110" s="75"/>
    </row>
    <row r="111" spans="1:11">
      <c r="A111" s="1158" t="s">
        <v>122</v>
      </c>
      <c r="B111" s="1159"/>
      <c r="C111" s="1159"/>
      <c r="D111" s="1159"/>
      <c r="E111" s="1174"/>
      <c r="F111" s="1162"/>
      <c r="G111" s="98"/>
      <c r="H111" s="211"/>
    </row>
    <row r="112" spans="1:11">
      <c r="A112" s="1519" t="s">
        <v>569</v>
      </c>
      <c r="B112" s="1520"/>
      <c r="C112" s="1520"/>
      <c r="D112" s="1520"/>
      <c r="E112" s="1520"/>
      <c r="F112" s="1521"/>
      <c r="G112" s="75"/>
      <c r="H112" s="212"/>
    </row>
    <row r="113" spans="1:11">
      <c r="A113" s="1163" t="s">
        <v>570</v>
      </c>
      <c r="B113" s="550"/>
      <c r="C113" s="550"/>
      <c r="D113" s="550"/>
      <c r="E113" s="1164"/>
      <c r="F113" s="1165"/>
      <c r="G113" s="98"/>
    </row>
    <row r="114" spans="1:11">
      <c r="A114" s="1163" t="s">
        <v>917</v>
      </c>
      <c r="B114" s="550"/>
      <c r="C114" s="550"/>
      <c r="D114" s="550"/>
      <c r="E114" s="1164"/>
      <c r="F114" s="1165"/>
      <c r="G114" s="75"/>
      <c r="H114" s="213"/>
    </row>
    <row r="115" spans="1:11">
      <c r="A115" s="1163" t="s">
        <v>918</v>
      </c>
      <c r="B115" s="550"/>
      <c r="C115" s="550"/>
      <c r="D115" s="550"/>
      <c r="E115" s="550"/>
      <c r="F115" s="1186"/>
      <c r="G115" s="78"/>
    </row>
    <row r="116" spans="1:11" ht="38.25" customHeight="1">
      <c r="A116" s="1519" t="str">
        <f>+A78</f>
        <v>5. Deferred income taxes arise when items are included in taxable income in different periods than they are included in rates, therefore if the item giving rise to the ADIT is not included in the formula, the associated ADIT amount shall be excluded</v>
      </c>
      <c r="B116" s="1520"/>
      <c r="C116" s="1520"/>
      <c r="D116" s="1520"/>
      <c r="E116" s="1520"/>
      <c r="F116" s="1521"/>
      <c r="G116" s="75"/>
    </row>
    <row r="117" spans="1:11">
      <c r="A117" s="1166" t="s">
        <v>710</v>
      </c>
      <c r="B117" s="1175"/>
      <c r="C117" s="1175"/>
      <c r="D117" s="1175"/>
      <c r="E117" s="1175"/>
      <c r="F117" s="1187"/>
      <c r="G117" s="75"/>
      <c r="J117" s="285"/>
    </row>
    <row r="118" spans="1:11">
      <c r="J118" s="1296"/>
    </row>
    <row r="119" spans="1:11" ht="18">
      <c r="A119" s="94"/>
      <c r="B119" s="94"/>
      <c r="C119" s="94"/>
      <c r="D119" s="95"/>
      <c r="E119" s="95"/>
      <c r="F119" s="95"/>
      <c r="G119" s="95"/>
      <c r="H119" s="95"/>
      <c r="I119" s="95"/>
      <c r="J119" s="1304"/>
    </row>
    <row r="120" spans="1:11">
      <c r="A120" s="110" t="s">
        <v>861</v>
      </c>
      <c r="B120" s="110"/>
      <c r="C120" s="110"/>
    </row>
    <row r="121" spans="1:11">
      <c r="A121"/>
      <c r="B121"/>
      <c r="C121"/>
      <c r="J121" s="1296"/>
    </row>
    <row r="122" spans="1:11">
      <c r="A122"/>
      <c r="B122"/>
      <c r="C122"/>
      <c r="J122" s="1296"/>
    </row>
    <row r="123" spans="1:11">
      <c r="A123"/>
      <c r="B123"/>
      <c r="C123"/>
      <c r="J123" s="1296"/>
    </row>
    <row r="124" spans="1:11" ht="15">
      <c r="A124" s="76" t="s">
        <v>862</v>
      </c>
      <c r="B124" s="76"/>
      <c r="C124" s="76"/>
      <c r="F124" s="77"/>
      <c r="G124" s="77"/>
      <c r="H124" s="77"/>
      <c r="I124" s="77"/>
      <c r="J124" s="1305"/>
      <c r="K124" s="77"/>
    </row>
    <row r="125" spans="1:11" ht="15">
      <c r="A125" s="76"/>
      <c r="B125" s="76"/>
      <c r="C125" s="76"/>
      <c r="D125" s="465"/>
      <c r="F125" s="77"/>
      <c r="G125" s="77"/>
      <c r="H125" s="77"/>
      <c r="I125" s="77"/>
      <c r="J125" s="1305"/>
      <c r="K125" s="77"/>
    </row>
    <row r="126" spans="1:11">
      <c r="A126" s="70"/>
      <c r="B126" s="70"/>
      <c r="C126" s="464" t="s">
        <v>444</v>
      </c>
      <c r="D126" s="464" t="s">
        <v>444</v>
      </c>
      <c r="E126" s="464" t="s">
        <v>444</v>
      </c>
      <c r="G126" s="464" t="s">
        <v>445</v>
      </c>
      <c r="H126" s="464" t="s">
        <v>445</v>
      </c>
      <c r="I126" s="464" t="s">
        <v>445</v>
      </c>
    </row>
    <row r="127" spans="1:11">
      <c r="A127" s="70"/>
      <c r="B127" s="70"/>
    </row>
    <row r="128" spans="1:11">
      <c r="A128" s="70">
        <v>1</v>
      </c>
      <c r="B128" s="71" t="s">
        <v>864</v>
      </c>
      <c r="C128" s="70" t="s">
        <v>347</v>
      </c>
      <c r="D128" s="70" t="s">
        <v>348</v>
      </c>
      <c r="E128" s="865" t="s">
        <v>349</v>
      </c>
      <c r="G128" s="70" t="s">
        <v>347</v>
      </c>
      <c r="H128" s="70" t="s">
        <v>348</v>
      </c>
      <c r="I128" s="865" t="s">
        <v>349</v>
      </c>
    </row>
    <row r="129" spans="1:9">
      <c r="A129" s="70">
        <v>2</v>
      </c>
      <c r="B129" s="464" t="s">
        <v>1104</v>
      </c>
      <c r="C129" s="1188">
        <v>0</v>
      </c>
      <c r="D129" s="1188">
        <v>0</v>
      </c>
      <c r="E129" s="866">
        <f>+C129/2+D129/2</f>
        <v>0</v>
      </c>
      <c r="G129" s="1189"/>
      <c r="H129" s="1189"/>
      <c r="I129" s="866">
        <f>+G129+H129</f>
        <v>0</v>
      </c>
    </row>
    <row r="130" spans="1:9">
      <c r="A130" s="70"/>
      <c r="B130" s="71"/>
      <c r="C130" s="865"/>
      <c r="D130" s="866"/>
      <c r="E130" s="866"/>
      <c r="G130" s="866"/>
      <c r="H130" s="866"/>
      <c r="I130" s="866"/>
    </row>
    <row r="131" spans="1:9">
      <c r="A131" s="70">
        <v>3</v>
      </c>
      <c r="B131" s="71" t="s">
        <v>863</v>
      </c>
      <c r="C131" s="865"/>
      <c r="D131" s="866" t="s">
        <v>863</v>
      </c>
      <c r="E131" s="866"/>
      <c r="G131" s="866"/>
      <c r="H131" s="866" t="str">
        <f>+D131</f>
        <v>Amortization</v>
      </c>
      <c r="I131" s="866"/>
    </row>
    <row r="132" spans="1:9">
      <c r="A132" s="70">
        <v>4</v>
      </c>
      <c r="B132" s="464" t="s">
        <v>1105</v>
      </c>
      <c r="C132" s="1189"/>
      <c r="D132" s="1188"/>
      <c r="E132" s="72"/>
      <c r="G132" s="1189">
        <v>0</v>
      </c>
      <c r="H132" s="1189">
        <v>0</v>
      </c>
      <c r="I132" s="974">
        <f>AVERAGE(G132,H132)</f>
        <v>0</v>
      </c>
    </row>
    <row r="133" spans="1:9">
      <c r="A133" s="70"/>
      <c r="B133" s="71"/>
      <c r="C133" s="865"/>
      <c r="D133" s="866"/>
      <c r="E133" s="866"/>
      <c r="G133" s="866"/>
      <c r="H133" s="866"/>
      <c r="I133" s="866"/>
    </row>
    <row r="134" spans="1:9">
      <c r="A134" s="70">
        <v>5</v>
      </c>
      <c r="B134" s="71" t="s">
        <v>847</v>
      </c>
      <c r="C134" s="865"/>
      <c r="D134" s="866">
        <f>+D132+D129</f>
        <v>0</v>
      </c>
      <c r="E134" s="866"/>
      <c r="G134" s="866">
        <f>+G132+G129</f>
        <v>0</v>
      </c>
      <c r="H134" s="866">
        <f>+H132+H129</f>
        <v>0</v>
      </c>
      <c r="I134" s="866">
        <f>+I132+I129</f>
        <v>0</v>
      </c>
    </row>
    <row r="135" spans="1:9">
      <c r="A135" s="70"/>
      <c r="B135" s="71"/>
      <c r="C135" s="865"/>
      <c r="D135" s="866"/>
      <c r="E135" s="866"/>
      <c r="G135" s="866"/>
      <c r="H135" s="866"/>
      <c r="I135" s="866"/>
    </row>
    <row r="136" spans="1:9">
      <c r="A136" s="70">
        <v>6</v>
      </c>
      <c r="B136" s="71" t="s">
        <v>931</v>
      </c>
      <c r="C136" s="865"/>
      <c r="D136" s="866">
        <f>D134</f>
        <v>0</v>
      </c>
      <c r="E136" s="866"/>
      <c r="G136" s="866">
        <f>G134</f>
        <v>0</v>
      </c>
      <c r="H136" s="866">
        <f>H134</f>
        <v>0</v>
      </c>
      <c r="I136" s="866">
        <f>I134</f>
        <v>0</v>
      </c>
    </row>
    <row r="137" spans="1:9">
      <c r="A137" s="71"/>
      <c r="B137" s="71"/>
      <c r="C137" s="71"/>
      <c r="D137" s="71"/>
      <c r="E137" s="866"/>
      <c r="G137" s="866"/>
      <c r="H137" s="866"/>
      <c r="I137" s="866"/>
    </row>
    <row r="138" spans="1:9">
      <c r="A138" s="70">
        <v>7</v>
      </c>
      <c r="B138" s="71" t="s">
        <v>865</v>
      </c>
      <c r="C138" s="70"/>
      <c r="D138" s="71"/>
      <c r="E138" s="91">
        <f>+E134-E136</f>
        <v>0</v>
      </c>
      <c r="G138" s="91">
        <f>+G134-G136</f>
        <v>0</v>
      </c>
      <c r="H138" s="91">
        <f>+H134-H136</f>
        <v>0</v>
      </c>
      <c r="I138" s="91">
        <f>+I134-I136</f>
        <v>0</v>
      </c>
    </row>
    <row r="139" spans="1:9">
      <c r="A139"/>
      <c r="B139"/>
      <c r="C139"/>
      <c r="F139" s="89"/>
      <c r="G139" s="89"/>
    </row>
    <row r="140" spans="1:9">
      <c r="D140" t="s">
        <v>866</v>
      </c>
    </row>
  </sheetData>
  <customSheetViews>
    <customSheetView guid="{1155D18F-BFDD-426B-8E78-817CEB25FB23}" scale="75" showPageBreaks="1" fitToPage="1" printArea="1" hiddenColumns="1" showRuler="0" topLeftCell="A206">
      <selection activeCell="E221" sqref="E221"/>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1"/>
      <headerFooter alignWithMargins="0">
        <oddHeader>&amp;R&amp;12Page &amp;P of &amp;N</oddHeader>
      </headerFooter>
    </customSheetView>
    <customSheetView guid="{DC91DEF3-837B-4BB9-A81E-3B78C5914E6C}" scale="75" showPageBreaks="1" fitToPage="1" printArea="1" hiddenColumns="1" showRuler="0" topLeftCell="A55">
      <selection activeCell="I58" sqref="I58"/>
      <rowBreaks count="8" manualBreakCount="8">
        <brk id="60" max="8" man="1"/>
        <brk id="61" max="8" man="1"/>
        <brk id="63" max="8" man="1"/>
        <brk id="87" max="7" man="1"/>
        <brk id="146" max="7" man="1"/>
        <brk id="211" max="8" man="1"/>
        <brk id="214" max="8" man="1"/>
        <brk id="231" max="8" man="1"/>
      </rowBreaks>
      <pageMargins left="0.5" right="0.5" top="1" bottom="0.5" header="0.5" footer="0.5"/>
      <printOptions horizontalCentered="1"/>
      <pageSetup scale="45" fitToHeight="0" orientation="portrait" r:id="rId2"/>
      <headerFooter alignWithMargins="0">
        <oddHeader>&amp;R&amp;12Page &amp;P of &amp;N</oddHeader>
      </headerFooter>
    </customSheetView>
    <customSheetView guid="{63011E91-4609-4523-98FE-FD252E915668}" scale="60" showPageBreaks="1" fitToPage="1" printArea="1" hiddenColumns="1" view="pageBreakPreview" showRuler="0" topLeftCell="A223">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3"/>
      <headerFooter alignWithMargins="0">
        <oddHeader>&amp;R&amp;12Page &amp;P of &amp;N</oddHeader>
      </headerFooter>
    </customSheetView>
    <customSheetView guid="{B647CB7F-C846-4278-B6B1-1EF7F3C004F5}" scale="75" showPageBreaks="1" fitToPage="1" printArea="1" hiddenColumns="1" showRuler="0" topLeftCell="A71">
      <selection activeCell="B218" sqref="B218"/>
      <rowBreaks count="5" manualBreakCount="5">
        <brk id="61" max="8" man="1"/>
        <brk id="87" max="7" man="1"/>
        <brk id="146" max="7" man="1"/>
        <brk id="211" max="8" man="1"/>
        <brk id="231" max="8" man="1"/>
      </rowBreaks>
      <pageMargins left="0.5" right="0.5" top="1" bottom="0.5" header="0.5" footer="0.5"/>
      <printOptions horizontalCentered="1"/>
      <pageSetup scale="45" fitToHeight="0" orientation="portrait" r:id="rId4"/>
      <headerFooter alignWithMargins="0">
        <oddHeader>&amp;R&amp;12Page &amp;P of &amp;N</oddHeader>
      </headerFooter>
    </customSheetView>
    <customSheetView guid="{28948E05-8F34-4F1E-96FB-A80A6A844600}" scale="75" showPageBreaks="1" fitToPage="1" printArea="1" hiddenColumns="1" showRuler="0">
      <selection sqref="A1:I1"/>
      <rowBreaks count="5" manualBreakCount="5">
        <brk id="61" max="8" man="1"/>
        <brk id="87" max="7" man="1"/>
        <brk id="146" max="7" man="1"/>
        <brk id="211" max="8" man="1"/>
        <brk id="231" max="8" man="1"/>
      </rowBreaks>
      <pageMargins left="0.5" right="0.5" top="1" bottom="0.5" header="0.5" footer="0.5"/>
      <printOptions horizontalCentered="1"/>
      <pageSetup scale="43" fitToHeight="0" orientation="portrait" r:id="rId5"/>
      <headerFooter alignWithMargins="0">
        <oddHeader>&amp;R&amp;12Page &amp;P of &amp;N</oddHeader>
      </headerFooter>
    </customSheetView>
    <customSheetView guid="{71B42B22-A376-44B5-B0C1-23FC1AA3DBA2}" scale="75" showPageBreaks="1" fitToPage="1" printArea="1" hiddenColumns="1" showRuler="0">
      <selection activeCell="B42" sqref="B42"/>
      <rowBreaks count="3" manualBreakCount="3">
        <brk id="61" max="8" man="1"/>
        <brk id="87" max="7" man="1"/>
        <brk id="146" max="7" man="1"/>
      </rowBreaks>
      <pageMargins left="0.5" right="0.5" top="1" bottom="0.5" header="0.5" footer="0.5"/>
      <printOptions horizontalCentered="1"/>
      <pageSetup scale="45" fitToHeight="0" orientation="portrait" r:id="rId6"/>
      <headerFooter alignWithMargins="0">
        <oddHeader>&amp;R&amp;14Page &amp;P of &amp;N</oddHeader>
      </headerFooter>
    </customSheetView>
    <customSheetView guid="{FAAD9AAC-1337-43AB-BF1F-CCF9DFCF5B78}" scale="75" showPageBreaks="1" fitToPage="1" printArea="1" hiddenColumns="1" showRuler="0" topLeftCell="A4">
      <selection activeCell="A20" sqref="A20"/>
      <rowBreaks count="7" manualBreakCount="7">
        <brk id="61" max="8" man="1"/>
        <brk id="63" max="8" man="1"/>
        <brk id="87" max="7" man="1"/>
        <brk id="146" max="7" man="1"/>
        <brk id="211" max="8" man="1"/>
        <brk id="214" max="8" man="1"/>
        <brk id="231" max="8" man="1"/>
      </rowBreaks>
      <pageMargins left="0.5" right="0.5" top="1" bottom="0.5" header="0.5" footer="0.5"/>
      <printOptions horizontalCentered="1"/>
      <pageSetup scale="43" fitToHeight="0" orientation="portrait" r:id="rId7"/>
      <headerFooter alignWithMargins="0">
        <oddHeader>&amp;R&amp;12Page &amp;P of &amp;N</oddHeader>
      </headerFooter>
    </customSheetView>
    <customSheetView guid="{44504B44-F20F-4B6F-B585-74D55BA74563}" scale="75" showPageBreaks="1" fitToPage="1" printArea="1" hiddenColumns="1" showRuler="0">
      <selection activeCell="B19" sqref="B19"/>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8"/>
      <headerFooter alignWithMargins="0">
        <oddHeader>&amp;R&amp;12Page &amp;P of &amp;N</oddHeader>
      </headerFooter>
    </customSheetView>
    <customSheetView guid="{16940A0E-2B20-4241-BF05-A4686E5A0274}" scale="75" fitToPage="1" hiddenColumns="1" showRuler="0">
      <selection activeCell="B41" sqref="B41"/>
      <rowBreaks count="9" manualBreakCount="9">
        <brk id="57" max="8" man="1"/>
        <brk id="58" max="8" man="1"/>
        <brk id="59" max="8" man="1"/>
        <brk id="61" max="8" man="1"/>
        <brk id="110" max="7" man="1"/>
        <brk id="126" max="8" man="1"/>
        <brk id="129" max="8" man="1"/>
        <brk id="138" max="8" man="1"/>
        <brk id="146" max="8" man="1"/>
      </rowBreaks>
      <pageMargins left="0.5" right="0.5" top="1" bottom="0.5" header="0.5" footer="0.5"/>
      <printOptions horizontalCentered="1"/>
      <pageSetup scale="45" fitToHeight="4" orientation="portrait" r:id="rId9"/>
      <headerFooter alignWithMargins="0">
        <oddHeader>&amp;R&amp;12Page &amp;P of &amp;N</oddHeader>
      </headerFooter>
    </customSheetView>
  </customSheetViews>
  <mergeCells count="7">
    <mergeCell ref="A112:F112"/>
    <mergeCell ref="A116:F116"/>
    <mergeCell ref="A53:F53"/>
    <mergeCell ref="A1:J1"/>
    <mergeCell ref="A74:F74"/>
    <mergeCell ref="A49:F49"/>
    <mergeCell ref="A78:F78"/>
  </mergeCells>
  <phoneticPr fontId="0" type="noConversion"/>
  <printOptions horizontalCentered="1"/>
  <pageMargins left="0" right="0" top="0.5" bottom="0" header="0.5" footer="0.5"/>
  <pageSetup scale="53" fitToHeight="5" orientation="landscape" r:id="rId10"/>
  <headerFooter alignWithMargins="0"/>
  <rowBreaks count="4" manualBreakCount="4">
    <brk id="55" max="8" man="1"/>
    <brk id="117" max="8" man="1"/>
    <brk id="146" max="16383" man="1"/>
    <brk id="22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A1:S116"/>
  <sheetViews>
    <sheetView topLeftCell="A9" zoomScale="75" zoomScaleNormal="75" workbookViewId="0">
      <selection activeCell="E44" sqref="E44"/>
    </sheetView>
  </sheetViews>
  <sheetFormatPr defaultRowHeight="12.75"/>
  <cols>
    <col min="1" max="2" width="4.7109375" customWidth="1"/>
    <col min="3" max="3" width="63" customWidth="1"/>
    <col min="4" max="4" width="3.140625" customWidth="1"/>
    <col min="5" max="5" width="16.28515625" style="48" customWidth="1"/>
    <col min="6" max="6" width="15.28515625" customWidth="1"/>
    <col min="7" max="7" width="17.42578125" customWidth="1"/>
    <col min="8" max="8" width="10.85546875" customWidth="1"/>
    <col min="9" max="9" width="4" customWidth="1"/>
    <col min="12" max="12" width="15.28515625" customWidth="1"/>
    <col min="14" max="14" width="14.42578125" customWidth="1"/>
  </cols>
  <sheetData>
    <row r="1" spans="1:12" ht="18">
      <c r="A1" s="1522" t="str">
        <f>+'ATT H-1 '!A3</f>
        <v xml:space="preserve">Puget Sound Energy </v>
      </c>
      <c r="B1" s="1522"/>
      <c r="C1" s="1522"/>
      <c r="D1" s="1522"/>
      <c r="E1" s="1522"/>
      <c r="F1" s="1522"/>
      <c r="G1" s="1522"/>
      <c r="H1" s="1524"/>
    </row>
    <row r="2" spans="1:12">
      <c r="A2" s="50"/>
    </row>
    <row r="3" spans="1:12" ht="15.75">
      <c r="A3" s="1526" t="s">
        <v>661</v>
      </c>
      <c r="B3" s="1527"/>
      <c r="C3" s="1527"/>
      <c r="D3" s="1527"/>
      <c r="E3" s="1527"/>
      <c r="F3" s="1528"/>
      <c r="G3" s="1528"/>
      <c r="H3" s="1528"/>
    </row>
    <row r="5" spans="1:12">
      <c r="D5" s="51"/>
    </row>
    <row r="7" spans="1:12">
      <c r="D7" s="46"/>
      <c r="E7" s="69" t="s">
        <v>127</v>
      </c>
      <c r="F7" s="69"/>
      <c r="G7" s="69" t="s">
        <v>135</v>
      </c>
      <c r="H7" s="46"/>
    </row>
    <row r="8" spans="1:12">
      <c r="A8" s="105" t="s">
        <v>763</v>
      </c>
      <c r="B8" s="40"/>
      <c r="D8" s="46"/>
      <c r="E8" s="69" t="s">
        <v>128</v>
      </c>
      <c r="F8" s="69" t="s">
        <v>887</v>
      </c>
      <c r="G8" s="69" t="s">
        <v>136</v>
      </c>
      <c r="H8" s="46"/>
    </row>
    <row r="9" spans="1:12">
      <c r="A9" s="40"/>
      <c r="B9" s="40"/>
      <c r="D9" s="46"/>
      <c r="E9" s="54"/>
      <c r="F9" s="46"/>
      <c r="G9" s="46"/>
      <c r="H9" s="46"/>
    </row>
    <row r="10" spans="1:12">
      <c r="A10" s="40"/>
      <c r="B10" s="40"/>
      <c r="D10" s="46"/>
      <c r="E10" s="54"/>
      <c r="F10" s="46"/>
      <c r="G10" s="46"/>
      <c r="H10" s="46"/>
    </row>
    <row r="11" spans="1:12">
      <c r="B11" s="102"/>
      <c r="D11" s="46"/>
      <c r="E11" s="54"/>
      <c r="G11" s="46"/>
      <c r="H11" s="46"/>
    </row>
    <row r="12" spans="1:12">
      <c r="B12" s="105" t="s">
        <v>126</v>
      </c>
      <c r="D12" s="46"/>
      <c r="E12" s="49"/>
      <c r="F12" s="69" t="s">
        <v>740</v>
      </c>
      <c r="G12" s="46"/>
      <c r="H12" s="46"/>
    </row>
    <row r="13" spans="1:12" ht="15">
      <c r="B13" s="44"/>
      <c r="D13" s="46"/>
      <c r="E13" s="1493"/>
      <c r="F13" s="46"/>
      <c r="G13" s="73"/>
      <c r="H13" s="46"/>
    </row>
    <row r="14" spans="1:12" s="227" customFormat="1" ht="12.75" customHeight="1">
      <c r="B14" s="977">
        <v>1</v>
      </c>
      <c r="C14" s="1062" t="s">
        <v>1076</v>
      </c>
      <c r="D14" s="509"/>
      <c r="E14" s="1494">
        <v>27974505</v>
      </c>
      <c r="F14" s="565">
        <f>+'ATT H-1 '!$H$23</f>
        <v>0.17753258065739708</v>
      </c>
      <c r="G14" s="1491">
        <f t="shared" ref="G14:G19" si="0">+F14*E14</f>
        <v>4966386.0652632574</v>
      </c>
      <c r="H14" s="1529"/>
    </row>
    <row r="15" spans="1:12" ht="12.75" customHeight="1">
      <c r="B15" s="978">
        <v>2</v>
      </c>
      <c r="C15" s="1060"/>
      <c r="D15" s="42"/>
      <c r="E15" s="1494"/>
      <c r="F15" s="565">
        <f>+F16</f>
        <v>0.17753258065739708</v>
      </c>
      <c r="G15" s="1491">
        <f t="shared" si="0"/>
        <v>0</v>
      </c>
      <c r="H15" s="1529"/>
      <c r="L15" s="68"/>
    </row>
    <row r="16" spans="1:12" ht="12.75" customHeight="1">
      <c r="B16" s="978">
        <v>3</v>
      </c>
      <c r="C16" s="1060"/>
      <c r="D16" s="42"/>
      <c r="E16" s="1494"/>
      <c r="F16" s="565">
        <f>+F17</f>
        <v>0.17753258065739708</v>
      </c>
      <c r="G16" s="1491">
        <f t="shared" si="0"/>
        <v>0</v>
      </c>
      <c r="H16" s="42"/>
    </row>
    <row r="17" spans="2:8" ht="12.75" customHeight="1">
      <c r="B17" s="978">
        <v>4</v>
      </c>
      <c r="C17" s="1060"/>
      <c r="D17" s="42"/>
      <c r="E17" s="1494"/>
      <c r="F17" s="565">
        <f>+F18</f>
        <v>0.17753258065739708</v>
      </c>
      <c r="G17" s="1491">
        <f t="shared" si="0"/>
        <v>0</v>
      </c>
      <c r="H17" s="42"/>
    </row>
    <row r="18" spans="2:8" ht="12.75" customHeight="1">
      <c r="B18" s="978">
        <v>5</v>
      </c>
      <c r="C18" s="1060"/>
      <c r="D18" s="42"/>
      <c r="E18" s="1495"/>
      <c r="F18" s="565">
        <f>+F19</f>
        <v>0.17753258065739708</v>
      </c>
      <c r="G18" s="1491">
        <f t="shared" si="0"/>
        <v>0</v>
      </c>
      <c r="H18" t="s">
        <v>756</v>
      </c>
    </row>
    <row r="19" spans="2:8" ht="12.75" customHeight="1">
      <c r="B19" s="978"/>
      <c r="C19" s="1061"/>
      <c r="D19" s="42"/>
      <c r="E19" s="1495"/>
      <c r="F19" s="565">
        <f>+'ATT H-1 '!$H$23</f>
        <v>0.17753258065739708</v>
      </c>
      <c r="G19" s="1491">
        <f t="shared" si="0"/>
        <v>0</v>
      </c>
      <c r="H19" s="42"/>
    </row>
    <row r="20" spans="2:8" ht="12.75" customHeight="1">
      <c r="B20" s="105" t="s">
        <v>131</v>
      </c>
      <c r="D20" s="42"/>
      <c r="E20" s="1492">
        <f>SUM(E14:E19)</f>
        <v>27974505</v>
      </c>
      <c r="G20" s="1492">
        <f>SUM(G14:G19)</f>
        <v>4966386.0652632574</v>
      </c>
      <c r="H20" s="42"/>
    </row>
    <row r="21" spans="2:8" ht="12.75" customHeight="1">
      <c r="B21" s="44"/>
      <c r="D21" s="42"/>
      <c r="E21" s="1496"/>
      <c r="F21" s="42"/>
      <c r="G21" s="42"/>
      <c r="H21" s="42"/>
    </row>
    <row r="22" spans="2:8" ht="12.75" customHeight="1">
      <c r="B22" s="44"/>
      <c r="D22" s="42"/>
      <c r="E22" s="1496"/>
      <c r="F22" s="42"/>
      <c r="G22" s="42"/>
      <c r="H22" s="42"/>
    </row>
    <row r="23" spans="2:8" ht="12.75" customHeight="1">
      <c r="B23" s="105" t="s">
        <v>129</v>
      </c>
      <c r="D23" s="42"/>
      <c r="E23" s="1496"/>
      <c r="F23" s="69" t="s">
        <v>868</v>
      </c>
      <c r="G23" s="42"/>
      <c r="H23" s="42"/>
    </row>
    <row r="24" spans="2:8" ht="12.75" customHeight="1">
      <c r="B24" s="105"/>
      <c r="D24" s="42"/>
      <c r="E24" s="710"/>
      <c r="G24" s="42"/>
      <c r="H24" s="42"/>
    </row>
    <row r="25" spans="2:8" ht="12.75" customHeight="1">
      <c r="B25" s="44"/>
      <c r="D25" s="42"/>
      <c r="E25" s="1496"/>
      <c r="F25" s="42"/>
      <c r="G25" s="42"/>
      <c r="H25" s="42"/>
    </row>
    <row r="26" spans="2:8" ht="12.75" customHeight="1">
      <c r="B26" s="975">
        <v>6</v>
      </c>
      <c r="C26" s="1059" t="s">
        <v>949</v>
      </c>
      <c r="D26" s="43"/>
      <c r="E26" s="1494">
        <v>15348094</v>
      </c>
      <c r="F26" s="43"/>
      <c r="G26" s="43"/>
      <c r="H26" s="43"/>
    </row>
    <row r="27" spans="2:8" ht="15">
      <c r="B27" s="975"/>
      <c r="C27" s="1060"/>
      <c r="E27" s="1494"/>
    </row>
    <row r="28" spans="2:8" ht="15">
      <c r="B28" s="975"/>
      <c r="C28" s="1061"/>
      <c r="E28" s="1497"/>
    </row>
    <row r="29" spans="2:8" ht="15">
      <c r="B29" s="975"/>
      <c r="C29" s="1061"/>
      <c r="E29" s="1497"/>
    </row>
    <row r="30" spans="2:8" ht="15">
      <c r="B30" s="44"/>
      <c r="C30" s="1061"/>
      <c r="E30" s="1497"/>
    </row>
    <row r="31" spans="2:8" ht="15">
      <c r="B31" s="105" t="s">
        <v>132</v>
      </c>
      <c r="E31" s="1492">
        <f>SUM(E26:E30)</f>
        <v>15348094</v>
      </c>
      <c r="F31" s="565">
        <f>+'ATT H-1 '!H13</f>
        <v>9.4526491474223637E-2</v>
      </c>
      <c r="G31" s="60">
        <f>+F31*E31</f>
        <v>1450801.476636583</v>
      </c>
    </row>
    <row r="32" spans="2:8" ht="15">
      <c r="B32" s="105"/>
      <c r="C32" s="867"/>
      <c r="E32" s="710"/>
    </row>
    <row r="33" spans="2:14" ht="15">
      <c r="B33" s="44"/>
      <c r="E33" s="710"/>
    </row>
    <row r="34" spans="2:14" ht="15">
      <c r="B34" s="105" t="s">
        <v>130</v>
      </c>
      <c r="E34" s="710"/>
      <c r="F34" s="69" t="s">
        <v>740</v>
      </c>
    </row>
    <row r="35" spans="2:14" ht="15">
      <c r="B35" s="44"/>
      <c r="E35" s="710"/>
      <c r="L35" s="285"/>
    </row>
    <row r="36" spans="2:14" ht="15">
      <c r="B36" s="44">
        <v>7</v>
      </c>
      <c r="C36" s="43" t="s">
        <v>944</v>
      </c>
      <c r="E36" s="710">
        <v>0</v>
      </c>
      <c r="L36" s="285"/>
    </row>
    <row r="37" spans="2:14" ht="15">
      <c r="B37" s="44"/>
      <c r="C37" s="44"/>
      <c r="E37" s="1492"/>
      <c r="L37" s="285"/>
      <c r="N37" s="285"/>
    </row>
    <row r="38" spans="2:14" ht="15">
      <c r="B38" s="44"/>
      <c r="E38" s="710"/>
      <c r="L38" s="285"/>
      <c r="N38" s="285"/>
    </row>
    <row r="39" spans="2:14" ht="15">
      <c r="B39" s="44"/>
      <c r="E39" s="710"/>
      <c r="L39" s="285"/>
      <c r="N39" s="68"/>
    </row>
    <row r="40" spans="2:14" ht="15">
      <c r="B40" s="105" t="s">
        <v>133</v>
      </c>
      <c r="E40" s="1492">
        <f>SUM(E36:E39)</f>
        <v>0</v>
      </c>
      <c r="F40" s="565">
        <f>+F19</f>
        <v>0.17753258065739708</v>
      </c>
      <c r="G40" s="60">
        <f>+F40*E40</f>
        <v>0</v>
      </c>
      <c r="L40" s="285"/>
    </row>
    <row r="41" spans="2:14" ht="15">
      <c r="B41" s="105"/>
      <c r="E41" s="1492"/>
      <c r="F41" s="565"/>
      <c r="G41" s="60"/>
      <c r="L41" s="285"/>
    </row>
    <row r="42" spans="2:14" ht="15">
      <c r="B42" s="105" t="s">
        <v>963</v>
      </c>
      <c r="E42" s="1492"/>
      <c r="F42" s="565"/>
      <c r="G42" s="60"/>
      <c r="L42" s="285"/>
    </row>
    <row r="43" spans="2:14" ht="15">
      <c r="B43" s="1060">
        <v>8</v>
      </c>
      <c r="C43" s="1061" t="s">
        <v>964</v>
      </c>
      <c r="D43" s="1061"/>
      <c r="E43" s="1494">
        <v>0</v>
      </c>
      <c r="F43" s="565"/>
      <c r="G43" s="60"/>
      <c r="L43" s="285"/>
    </row>
    <row r="44" spans="2:14" ht="15">
      <c r="B44" s="44"/>
      <c r="E44" s="1492"/>
      <c r="F44" s="565"/>
      <c r="G44" s="60"/>
      <c r="L44" s="285"/>
    </row>
    <row r="45" spans="2:14" ht="15">
      <c r="B45" s="105" t="s">
        <v>965</v>
      </c>
      <c r="E45" s="1492">
        <f>SUM(E43:E44)</f>
        <v>0</v>
      </c>
      <c r="F45" s="565">
        <v>1</v>
      </c>
      <c r="G45" s="60">
        <f>E45*F45</f>
        <v>0</v>
      </c>
      <c r="L45" s="285"/>
    </row>
    <row r="46" spans="2:14" ht="15">
      <c r="B46" s="44"/>
      <c r="E46" s="710"/>
      <c r="L46" s="285"/>
    </row>
    <row r="47" spans="2:14" ht="15.75">
      <c r="B47" s="105" t="s">
        <v>103</v>
      </c>
      <c r="E47" s="710"/>
      <c r="G47" s="1503">
        <f>+G40+G31+G20+G45</f>
        <v>6417187.5418998403</v>
      </c>
      <c r="L47" s="285"/>
    </row>
    <row r="48" spans="2:14" ht="15.75">
      <c r="B48" s="105"/>
      <c r="E48" s="710"/>
      <c r="G48" s="1503"/>
    </row>
    <row r="49" spans="2:12" ht="15.75">
      <c r="B49" s="105" t="s">
        <v>104</v>
      </c>
      <c r="E49" s="1498">
        <f>G49</f>
        <v>1313668</v>
      </c>
      <c r="G49" s="1504">
        <v>1313668</v>
      </c>
    </row>
    <row r="50" spans="2:12" ht="15.75">
      <c r="B50" s="105" t="s">
        <v>105</v>
      </c>
      <c r="C50" s="55"/>
      <c r="E50" s="1498">
        <f>G50</f>
        <v>544101</v>
      </c>
      <c r="G50" s="1505">
        <v>544101</v>
      </c>
    </row>
    <row r="51" spans="2:12" ht="15">
      <c r="B51" s="105"/>
      <c r="C51" s="55"/>
      <c r="E51" s="710"/>
      <c r="G51" s="86"/>
    </row>
    <row r="52" spans="2:12" ht="15.75">
      <c r="B52" s="105" t="s">
        <v>106</v>
      </c>
      <c r="C52" s="55"/>
      <c r="E52" s="710"/>
      <c r="G52" s="1506">
        <f>G47</f>
        <v>6417187.5418998403</v>
      </c>
    </row>
    <row r="53" spans="2:12" ht="15">
      <c r="C53" s="55"/>
      <c r="E53" s="710"/>
    </row>
    <row r="54" spans="2:12" ht="15">
      <c r="C54" s="40" t="s">
        <v>134</v>
      </c>
      <c r="E54" s="710"/>
    </row>
    <row r="55" spans="2:12" ht="15">
      <c r="E55" s="710"/>
      <c r="G55" s="40"/>
    </row>
    <row r="56" spans="2:12" ht="15">
      <c r="B56" s="976">
        <f>B43+1</f>
        <v>9</v>
      </c>
      <c r="C56" s="1059" t="s">
        <v>1171</v>
      </c>
      <c r="E56" s="1494">
        <v>3983869</v>
      </c>
      <c r="F56" s="22"/>
      <c r="H56" s="55"/>
    </row>
    <row r="57" spans="2:12" ht="15">
      <c r="B57" s="976">
        <f t="shared" ref="B57:B64" si="1">+B56+1</f>
        <v>10</v>
      </c>
      <c r="C57" s="1059" t="s">
        <v>1174</v>
      </c>
      <c r="E57" s="1494">
        <v>573415</v>
      </c>
      <c r="F57" s="22"/>
      <c r="H57" s="55"/>
    </row>
    <row r="58" spans="2:12" ht="15">
      <c r="B58" s="976">
        <f t="shared" si="1"/>
        <v>11</v>
      </c>
      <c r="C58" s="1059" t="s">
        <v>950</v>
      </c>
      <c r="E58" s="1494">
        <v>135378386</v>
      </c>
      <c r="H58" s="55"/>
    </row>
    <row r="59" spans="2:12" ht="15">
      <c r="B59" s="976">
        <f t="shared" si="1"/>
        <v>12</v>
      </c>
      <c r="C59" s="1059" t="s">
        <v>951</v>
      </c>
      <c r="E59" s="1494">
        <v>130311873</v>
      </c>
      <c r="H59" s="55"/>
    </row>
    <row r="60" spans="2:12" ht="15">
      <c r="B60" s="976">
        <f>+B59+1</f>
        <v>13</v>
      </c>
      <c r="C60" s="1059" t="s">
        <v>168</v>
      </c>
      <c r="E60" s="1494">
        <v>787886</v>
      </c>
    </row>
    <row r="61" spans="2:12" ht="15">
      <c r="B61" s="976">
        <f t="shared" si="1"/>
        <v>14</v>
      </c>
      <c r="C61" s="1063" t="s">
        <v>1172</v>
      </c>
      <c r="E61" s="1494">
        <v>-35937874</v>
      </c>
    </row>
    <row r="62" spans="2:12" ht="15">
      <c r="B62" s="976">
        <f t="shared" si="1"/>
        <v>15</v>
      </c>
      <c r="C62" s="1063"/>
      <c r="E62" s="1494"/>
    </row>
    <row r="63" spans="2:12" ht="15">
      <c r="B63" s="976">
        <f t="shared" si="1"/>
        <v>16</v>
      </c>
      <c r="C63" s="1063"/>
      <c r="E63" s="1494"/>
      <c r="L63" s="329"/>
    </row>
    <row r="64" spans="2:12" ht="15">
      <c r="B64" s="976">
        <f t="shared" si="1"/>
        <v>17</v>
      </c>
      <c r="C64" s="1063"/>
      <c r="E64" s="1494"/>
    </row>
    <row r="65" spans="2:19" ht="15">
      <c r="B65" s="976">
        <f>B64+1</f>
        <v>18</v>
      </c>
      <c r="C65" s="1063"/>
      <c r="E65" s="1494"/>
    </row>
    <row r="66" spans="2:19" ht="15">
      <c r="B66" s="976">
        <f>B65+1</f>
        <v>19</v>
      </c>
      <c r="C66" s="1063"/>
      <c r="E66" s="1494"/>
    </row>
    <row r="67" spans="2:19" ht="15">
      <c r="B67" s="976">
        <f>B66+1</f>
        <v>20</v>
      </c>
      <c r="C67" s="1063"/>
      <c r="E67" s="1494"/>
      <c r="J67" s="102"/>
    </row>
    <row r="68" spans="2:19" ht="15">
      <c r="B68" s="976">
        <f>B67+1</f>
        <v>21</v>
      </c>
      <c r="C68" s="1060"/>
      <c r="E68" s="1494"/>
      <c r="G68" s="59"/>
      <c r="J68" s="1530"/>
      <c r="K68" s="1530"/>
      <c r="L68" s="1530"/>
      <c r="M68" s="1530"/>
      <c r="N68" s="1530"/>
      <c r="O68" s="1530"/>
      <c r="P68" s="1530"/>
      <c r="Q68" s="1530"/>
      <c r="R68" s="1530"/>
      <c r="S68" s="1530"/>
    </row>
    <row r="69" spans="2:19" ht="15">
      <c r="E69" s="710"/>
      <c r="G69" s="59"/>
      <c r="J69" s="1530"/>
      <c r="K69" s="1530"/>
      <c r="L69" s="1530"/>
      <c r="M69" s="1530"/>
      <c r="N69" s="1530"/>
      <c r="O69" s="1530"/>
      <c r="P69" s="1530"/>
      <c r="Q69" s="1530"/>
      <c r="R69" s="1530"/>
      <c r="S69" s="1530"/>
    </row>
    <row r="70" spans="2:19" ht="15">
      <c r="B70">
        <f>B68+1</f>
        <v>22</v>
      </c>
      <c r="C70" t="s">
        <v>874</v>
      </c>
      <c r="E70" s="1499">
        <f>SUM(E56:E68)+E50+E49+E43+E31+E20</f>
        <v>280277923</v>
      </c>
      <c r="G70" s="68"/>
      <c r="J70" s="1525"/>
      <c r="K70" s="1525"/>
    </row>
    <row r="71" spans="2:19" ht="15">
      <c r="C71" s="44"/>
      <c r="E71" s="710"/>
      <c r="F71" s="68"/>
      <c r="G71" s="59"/>
      <c r="J71" s="1525"/>
      <c r="K71" s="1525"/>
    </row>
    <row r="72" spans="2:19" ht="15">
      <c r="B72">
        <f>+B70+1</f>
        <v>23</v>
      </c>
      <c r="C72" s="44" t="s">
        <v>879</v>
      </c>
      <c r="D72" s="868"/>
      <c r="E72" s="1500">
        <v>453946220</v>
      </c>
      <c r="F72" s="1222"/>
      <c r="G72" s="1312"/>
      <c r="H72" s="22"/>
      <c r="J72" s="1525"/>
      <c r="K72" s="1525"/>
    </row>
    <row r="73" spans="2:19" ht="15">
      <c r="C73" s="59"/>
      <c r="D73" s="59"/>
      <c r="E73" s="1501"/>
      <c r="F73" s="67"/>
      <c r="G73" s="67"/>
      <c r="H73" s="22"/>
    </row>
    <row r="74" spans="2:19" ht="15">
      <c r="B74">
        <f>+B72+1</f>
        <v>24</v>
      </c>
      <c r="C74" s="59" t="s">
        <v>717</v>
      </c>
      <c r="D74" s="84"/>
      <c r="E74" s="1502">
        <f>+E70-E72</f>
        <v>-173668297</v>
      </c>
      <c r="F74" s="67"/>
      <c r="G74" s="67"/>
      <c r="H74" s="22"/>
    </row>
    <row r="75" spans="2:19" ht="15">
      <c r="C75" s="59"/>
      <c r="D75" s="84"/>
      <c r="E75" s="1502"/>
      <c r="F75" s="67"/>
      <c r="G75" s="67"/>
      <c r="H75" s="22"/>
    </row>
    <row r="76" spans="2:19">
      <c r="B76" t="s">
        <v>867</v>
      </c>
      <c r="C76" s="44"/>
      <c r="E76" s="60"/>
      <c r="F76" s="22"/>
      <c r="G76" s="22"/>
      <c r="H76" s="22"/>
    </row>
    <row r="77" spans="2:19">
      <c r="B77" t="s">
        <v>758</v>
      </c>
      <c r="C77" s="44" t="s">
        <v>718</v>
      </c>
      <c r="E77" s="60"/>
      <c r="F77" s="22"/>
      <c r="G77" s="22"/>
      <c r="H77" s="22"/>
    </row>
    <row r="78" spans="2:19">
      <c r="C78" s="61" t="s">
        <v>579</v>
      </c>
      <c r="E78" s="60"/>
      <c r="G78" s="22"/>
      <c r="H78" s="22"/>
    </row>
    <row r="79" spans="2:19">
      <c r="B79" t="s">
        <v>848</v>
      </c>
      <c r="C79" s="44" t="s">
        <v>719</v>
      </c>
      <c r="E79" s="60"/>
      <c r="G79" s="22"/>
      <c r="H79" s="22"/>
    </row>
    <row r="80" spans="2:19">
      <c r="C80" s="61" t="s">
        <v>579</v>
      </c>
      <c r="E80" s="60"/>
      <c r="G80" s="22"/>
      <c r="H80" s="22"/>
    </row>
    <row r="81" spans="2:8">
      <c r="B81" t="s">
        <v>739</v>
      </c>
      <c r="C81" s="44" t="s">
        <v>578</v>
      </c>
      <c r="E81" s="60"/>
      <c r="G81" s="22"/>
      <c r="H81" s="22"/>
    </row>
    <row r="82" spans="2:8">
      <c r="B82" t="s">
        <v>759</v>
      </c>
      <c r="C82" s="61" t="s">
        <v>914</v>
      </c>
      <c r="E82" s="60"/>
      <c r="G82" s="22"/>
      <c r="H82" s="22"/>
    </row>
    <row r="83" spans="2:8">
      <c r="C83" s="44" t="s">
        <v>915</v>
      </c>
      <c r="E83" s="60"/>
    </row>
    <row r="84" spans="2:8">
      <c r="C84" t="s">
        <v>916</v>
      </c>
    </row>
    <row r="85" spans="2:8">
      <c r="B85" s="102" t="s">
        <v>757</v>
      </c>
      <c r="C85" s="102" t="s">
        <v>180</v>
      </c>
      <c r="D85" s="102"/>
      <c r="E85" s="104"/>
      <c r="F85" s="102"/>
    </row>
    <row r="116" spans="2:5">
      <c r="B116" s="48"/>
      <c r="E116"/>
    </row>
  </sheetData>
  <customSheetViews>
    <customSheetView guid="{1155D18F-BFDD-426B-8E78-817CEB25FB23}" scale="75" showPageBreaks="1" fitToPage="1" showRuler="0" topLeftCell="A32">
      <selection activeCell="E62" sqref="E62"/>
      <pageMargins left="0.75" right="0.75" top="1" bottom="1" header="0.5" footer="0.5"/>
      <pageSetup scale="66" orientation="portrait" r:id="rId1"/>
      <headerFooter alignWithMargins="0">
        <oddHeader>&amp;R&amp;12Page &amp;P of &amp;N</oddHeader>
      </headerFooter>
    </customSheetView>
    <customSheetView guid="{DC91DEF3-837B-4BB9-A81E-3B78C5914E6C}" scale="75" showPageBreaks="1" fitToPage="1" showRuler="0" topLeftCell="A37">
      <selection activeCell="B71" sqref="B71:C74"/>
      <pageMargins left="0.75" right="0.75" top="1" bottom="1" header="0.5" footer="0.5"/>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0">
      <selection activeCell="J74" sqref="J74"/>
      <pageMargins left="0.75" right="0.75" top="1" bottom="1" header="0.5" footer="0.5"/>
      <pageSetup scale="66" orientation="portrait" r:id="rId3"/>
      <headerFooter alignWithMargins="0">
        <oddHeader>&amp;R&amp;12Page &amp;P of &amp;N</oddHeader>
      </headerFooter>
    </customSheetView>
    <customSheetView guid="{B647CB7F-C846-4278-B6B1-1EF7F3C004F5}" scale="75" fitToPage="1" showRuler="0" topLeftCell="A52">
      <selection activeCell="C62" sqref="C62"/>
      <pageMargins left="0.75" right="0.75" top="1" bottom="1" header="0.5" footer="0.5"/>
      <pageSetup scale="68" orientation="portrait" r:id="rId4"/>
      <headerFooter alignWithMargins="0">
        <oddHeader>&amp;R&amp;12Page &amp;P of &amp;N</oddHeader>
      </headerFooter>
    </customSheetView>
    <customSheetView guid="{28948E05-8F34-4F1E-96FB-A80A6A844600}" scale="75" showPageBreaks="1" fitToPage="1" showRuler="0">
      <selection activeCell="C59" sqref="C59"/>
      <pageMargins left="0.75" right="0.75" top="1" bottom="1" header="0.5" footer="0.5"/>
      <pageSetup scale="68" orientation="portrait" r:id="rId5"/>
      <headerFooter alignWithMargins="0">
        <oddHeader>&amp;R&amp;12Page &amp;P of &amp;N</oddHeader>
      </headerFooter>
    </customSheetView>
    <customSheetView guid="{71B42B22-A376-44B5-B0C1-23FC1AA3DBA2}" scale="75" fitToPage="1" showRuler="0">
      <selection activeCell="C59" sqref="C59"/>
      <pageMargins left="0.75" right="0.75" top="1" bottom="1" header="0.5" footer="0.5"/>
      <pageSetup scale="72" orientation="portrait" r:id="rId6"/>
      <headerFooter alignWithMargins="0">
        <oddHeader>&amp;R&amp;14Page &amp;P of &amp;N</oddHeader>
      </headerFooter>
    </customSheetView>
    <customSheetView guid="{FAAD9AAC-1337-43AB-BF1F-CCF9DFCF5B78}" scale="75" fitToPage="1" showRuler="0" topLeftCell="A60">
      <selection activeCell="B97" sqref="B97"/>
      <pageMargins left="0.75" right="0.75" top="1" bottom="1" header="0.5" footer="0.5"/>
      <pageSetup scale="66" orientation="portrait" r:id="rId7"/>
      <headerFooter alignWithMargins="0">
        <oddHeader>&amp;R&amp;12Page &amp;P of &amp;N</oddHeader>
      </headerFooter>
    </customSheetView>
    <customSheetView guid="{44504B44-F20F-4B6F-B585-74D55BA74563}" scale="75" showPageBreaks="1" fitToPage="1" showRuler="0" topLeftCell="A25">
      <selection activeCell="E60" sqref="E60"/>
      <pageMargins left="0.75" right="0.75" top="1" bottom="1" header="0.5" footer="0.5"/>
      <pageSetup scale="48" orientation="portrait" r:id="rId8"/>
      <headerFooter alignWithMargins="0">
        <oddHeader>&amp;R&amp;12Page &amp;P of &amp;N</oddHeader>
      </headerFooter>
    </customSheetView>
    <customSheetView guid="{16940A0E-2B20-4241-BF05-A4686E5A0274}" scale="75" fitToPage="1" showRuler="0" topLeftCell="A16">
      <selection activeCell="E60" sqref="E60"/>
      <pageMargins left="0.75" right="0.75" top="1" bottom="1" header="0.5" footer="0.5"/>
      <pageSetup scale="48" orientation="portrait" r:id="rId9"/>
      <headerFooter alignWithMargins="0">
        <oddHeader>&amp;R&amp;12Page &amp;P of &amp;N</oddHeader>
      </headerFooter>
    </customSheetView>
  </customSheetViews>
  <mergeCells count="7">
    <mergeCell ref="J70:K70"/>
    <mergeCell ref="J71:K71"/>
    <mergeCell ref="J72:K72"/>
    <mergeCell ref="A1:H1"/>
    <mergeCell ref="A3:H3"/>
    <mergeCell ref="H14:H15"/>
    <mergeCell ref="J68:S69"/>
  </mergeCells>
  <phoneticPr fontId="0" type="noConversion"/>
  <pageMargins left="0.17" right="0.17" top="1" bottom="1" header="0.5" footer="0.5"/>
  <pageSetup scale="54" orientation="portrait" r:id="rId10"/>
  <headerFooter alignWithMargins="0"/>
  <rowBreaks count="2" manualBreakCount="2">
    <brk id="171" max="16383" man="1"/>
    <brk id="25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pageSetUpPr fitToPage="1"/>
  </sheetPr>
  <dimension ref="A1:K36"/>
  <sheetViews>
    <sheetView zoomScale="75" zoomScaleNormal="75" workbookViewId="0">
      <selection activeCell="F17" sqref="F17"/>
    </sheetView>
  </sheetViews>
  <sheetFormatPr defaultRowHeight="12.75"/>
  <cols>
    <col min="1" max="1" width="7.42578125" style="41" customWidth="1"/>
    <col min="2" max="2" width="86.7109375" customWidth="1"/>
    <col min="3" max="3" width="15.7109375" customWidth="1"/>
    <col min="4" max="4" width="15.140625" style="63" customWidth="1"/>
    <col min="5" max="5" width="2.85546875" customWidth="1"/>
    <col min="6" max="6" width="14.5703125" customWidth="1"/>
    <col min="7" max="7" width="13.5703125" customWidth="1"/>
    <col min="8" max="8" width="16.7109375" customWidth="1"/>
    <col min="9" max="9" width="12.28515625" bestFit="1" customWidth="1"/>
    <col min="11" max="11" width="14.42578125" customWidth="1"/>
  </cols>
  <sheetData>
    <row r="1" spans="1:11" ht="18">
      <c r="A1" s="1522" t="str">
        <f>+'ATT H-1 '!A3</f>
        <v xml:space="preserve">Puget Sound Energy </v>
      </c>
      <c r="B1" s="1522"/>
      <c r="C1" s="1522"/>
      <c r="D1" s="1522"/>
    </row>
    <row r="2" spans="1:11">
      <c r="A2" s="85"/>
    </row>
    <row r="3" spans="1:11" ht="15.75">
      <c r="A3" s="1526" t="s">
        <v>727</v>
      </c>
      <c r="B3" s="1527"/>
      <c r="C3" s="1527"/>
      <c r="D3" s="1527"/>
    </row>
    <row r="4" spans="1:11" ht="25.5">
      <c r="B4" s="22"/>
      <c r="C4" s="41"/>
      <c r="D4" s="375" t="s">
        <v>473</v>
      </c>
      <c r="E4" s="375"/>
      <c r="F4" s="375" t="s">
        <v>975</v>
      </c>
      <c r="G4" s="375" t="s">
        <v>436</v>
      </c>
      <c r="H4" s="375" t="s">
        <v>437</v>
      </c>
    </row>
    <row r="5" spans="1:11">
      <c r="B5" s="869"/>
      <c r="C5" s="41"/>
      <c r="D5" s="65"/>
      <c r="E5" s="41"/>
    </row>
    <row r="6" spans="1:11">
      <c r="A6"/>
      <c r="B6" s="105" t="s">
        <v>656</v>
      </c>
      <c r="D6" s="65"/>
    </row>
    <row r="7" spans="1:11">
      <c r="A7">
        <v>1</v>
      </c>
      <c r="B7" s="371" t="s">
        <v>176</v>
      </c>
      <c r="C7" s="44"/>
      <c r="D7" s="298">
        <f>+F7+G7+H7</f>
        <v>5380296.9622425539</v>
      </c>
      <c r="E7" s="107"/>
      <c r="F7" s="1072">
        <f>'WKSHT1 - Rev Credits'!D6</f>
        <v>5380296.9622425539</v>
      </c>
      <c r="G7" s="1072">
        <v>0</v>
      </c>
      <c r="H7" s="1072">
        <v>0</v>
      </c>
    </row>
    <row r="8" spans="1:11">
      <c r="A8">
        <v>2</v>
      </c>
      <c r="B8" s="102" t="s">
        <v>586</v>
      </c>
      <c r="C8" s="44"/>
      <c r="D8" s="68">
        <f>+F8+G8+H8</f>
        <v>45504.68999271877</v>
      </c>
      <c r="E8" s="107"/>
      <c r="F8" s="1073">
        <f>'WKSHT1 - Rev Credits'!D8</f>
        <v>43900.491951322816</v>
      </c>
      <c r="G8" s="1074">
        <f>'WKSHT1 - Rev Credits'!E8</f>
        <v>525.87016473506242</v>
      </c>
      <c r="H8" s="1074">
        <f>'WKSHT1 - Rev Credits'!F8</f>
        <v>1078.3278766608962</v>
      </c>
    </row>
    <row r="9" spans="1:11">
      <c r="A9">
        <v>3</v>
      </c>
      <c r="B9" s="102" t="s">
        <v>177</v>
      </c>
      <c r="C9" s="44"/>
      <c r="D9" s="785">
        <f>+F9+G9+H9</f>
        <v>1244462.7644864081</v>
      </c>
      <c r="E9" s="784"/>
      <c r="F9" s="1075">
        <f>'WKSHT1 - Rev Credits'!D9</f>
        <v>1200591.1387331346</v>
      </c>
      <c r="G9" s="1074">
        <f>'WKSHT1 - Rev Credits'!E9</f>
        <v>14381.503073020249</v>
      </c>
      <c r="H9" s="1074">
        <f>'WKSHT1 - Rev Credits'!F9</f>
        <v>29490.122680253444</v>
      </c>
    </row>
    <row r="10" spans="1:11" s="62" customFormat="1">
      <c r="A10" s="44">
        <v>4</v>
      </c>
      <c r="B10" s="44" t="s">
        <v>657</v>
      </c>
      <c r="C10" s="44" t="s">
        <v>178</v>
      </c>
      <c r="D10" s="783">
        <f>SUM(D7:D9)</f>
        <v>6670264.4167216802</v>
      </c>
      <c r="E10" s="100"/>
      <c r="F10" s="783">
        <f>SUM(F7:F9)</f>
        <v>6624788.5929270117</v>
      </c>
      <c r="G10" s="297">
        <f>SUM(G7:G9)</f>
        <v>14907.373237755311</v>
      </c>
      <c r="H10" s="297">
        <f>SUM(H7:H9)</f>
        <v>30568.45055691434</v>
      </c>
      <c r="I10" s="298"/>
    </row>
    <row r="11" spans="1:11">
      <c r="A11"/>
      <c r="D11" s="64"/>
    </row>
    <row r="12" spans="1:11">
      <c r="A12"/>
      <c r="B12" s="105" t="s">
        <v>407</v>
      </c>
      <c r="D12" s="65"/>
      <c r="K12" s="285"/>
    </row>
    <row r="13" spans="1:11">
      <c r="A13">
        <v>5</v>
      </c>
      <c r="B13" s="61" t="s">
        <v>595</v>
      </c>
      <c r="D13" s="298">
        <f>+F13+G13+H13</f>
        <v>0</v>
      </c>
      <c r="F13" s="1190">
        <f>'WKSHT1 - Rev Credits'!D20</f>
        <v>0</v>
      </c>
      <c r="G13" s="1190">
        <f>'WKSHT1 - Rev Credits'!E20</f>
        <v>0</v>
      </c>
      <c r="H13" s="1190">
        <f>'WKSHT1 - Rev Credits'!F20</f>
        <v>0</v>
      </c>
      <c r="I13" s="298"/>
      <c r="K13" s="68"/>
    </row>
    <row r="14" spans="1:11">
      <c r="A14">
        <v>6</v>
      </c>
      <c r="B14" s="61" t="s">
        <v>725</v>
      </c>
      <c r="C14" s="42"/>
      <c r="D14" s="299">
        <v>0</v>
      </c>
      <c r="E14" s="44"/>
      <c r="F14" s="976"/>
      <c r="G14" s="976"/>
      <c r="H14" s="976"/>
    </row>
    <row r="15" spans="1:11" ht="25.5">
      <c r="A15" s="88">
        <v>7</v>
      </c>
      <c r="B15" s="42" t="s">
        <v>726</v>
      </c>
      <c r="C15" s="42"/>
      <c r="D15" s="299">
        <v>0</v>
      </c>
      <c r="F15" s="976"/>
      <c r="G15" s="976"/>
      <c r="H15" s="976"/>
    </row>
    <row r="16" spans="1:11" ht="25.5">
      <c r="A16">
        <v>8</v>
      </c>
      <c r="B16" s="75" t="s">
        <v>729</v>
      </c>
      <c r="C16" s="42"/>
      <c r="D16" s="300">
        <f>F16+G16+H16</f>
        <v>2590492.12</v>
      </c>
      <c r="E16" s="22"/>
      <c r="F16" s="1073">
        <f>'WKSHT1 - Rev Credits'!K150</f>
        <v>1702265.12</v>
      </c>
      <c r="G16" s="1101">
        <f>'WKSHT1 - Rev Credits'!K151</f>
        <v>0</v>
      </c>
      <c r="H16" s="1101">
        <f>'WKSHT1 - Rev Credits'!K152</f>
        <v>888227</v>
      </c>
    </row>
    <row r="17" spans="1:9">
      <c r="A17" s="88">
        <v>9</v>
      </c>
      <c r="B17" s="75" t="s">
        <v>571</v>
      </c>
      <c r="C17" s="42"/>
      <c r="D17" s="300">
        <f>+F17+G17+H17</f>
        <v>71292503.436858088</v>
      </c>
      <c r="E17" s="22"/>
      <c r="F17" s="1073">
        <v>71292281.751858085</v>
      </c>
      <c r="G17" s="1101"/>
      <c r="H17" s="1101">
        <v>221.685</v>
      </c>
      <c r="I17" s="298"/>
    </row>
    <row r="18" spans="1:9">
      <c r="A18">
        <v>10</v>
      </c>
      <c r="B18" s="75" t="s">
        <v>728</v>
      </c>
      <c r="C18" s="42"/>
      <c r="D18" s="300">
        <f>+F18+G18+H18</f>
        <v>0</v>
      </c>
      <c r="E18" s="22"/>
    </row>
    <row r="19" spans="1:9">
      <c r="A19" s="88">
        <v>11</v>
      </c>
      <c r="B19" s="457" t="s">
        <v>928</v>
      </c>
      <c r="C19" s="42"/>
      <c r="D19" s="300">
        <f>+F19+G19+H19</f>
        <v>0</v>
      </c>
      <c r="E19" s="22"/>
    </row>
    <row r="20" spans="1:9" ht="25.5">
      <c r="B20" s="457" t="s">
        <v>929</v>
      </c>
      <c r="C20" s="44"/>
      <c r="D20" s="300">
        <f>+F20+G20+H20</f>
        <v>0</v>
      </c>
    </row>
    <row r="21" spans="1:9">
      <c r="B21" s="457"/>
      <c r="C21" s="44"/>
      <c r="D21" s="299"/>
    </row>
    <row r="22" spans="1:9" ht="13.5" thickBot="1">
      <c r="A22" s="88">
        <v>12</v>
      </c>
      <c r="B22" t="s">
        <v>721</v>
      </c>
      <c r="C22" s="44" t="s">
        <v>919</v>
      </c>
      <c r="D22" s="374">
        <f>SUM(D13:D18)+D10</f>
        <v>80553259.973579779</v>
      </c>
      <c r="E22" s="768"/>
      <c r="F22" s="374">
        <f>SUM(F13:F18)+F10</f>
        <v>79619335.464785099</v>
      </c>
      <c r="G22" s="374">
        <f>SUM(G13:G18)+G10</f>
        <v>14907.373237755311</v>
      </c>
      <c r="H22" s="374">
        <f>SUM(H13:H18)+H10</f>
        <v>919017.13555691438</v>
      </c>
      <c r="I22" s="298"/>
    </row>
    <row r="23" spans="1:9" ht="13.5" thickTop="1">
      <c r="A23"/>
      <c r="D23" s="65"/>
    </row>
    <row r="24" spans="1:9">
      <c r="A24"/>
      <c r="D24" s="65"/>
    </row>
    <row r="25" spans="1:9">
      <c r="A25"/>
      <c r="B25" s="583"/>
      <c r="D25" s="66"/>
    </row>
    <row r="26" spans="1:9">
      <c r="A26" s="88"/>
      <c r="B26" s="456"/>
      <c r="C26" s="75"/>
      <c r="D26" s="65"/>
      <c r="E26" s="68"/>
    </row>
    <row r="27" spans="1:9">
      <c r="A27" s="88"/>
      <c r="D27" s="65"/>
    </row>
    <row r="28" spans="1:9" ht="51">
      <c r="A28" s="88">
        <f>+A26+1</f>
        <v>1</v>
      </c>
      <c r="B28" s="457" t="s">
        <v>82</v>
      </c>
      <c r="D28" s="45"/>
    </row>
    <row r="29" spans="1:9">
      <c r="A29" s="88"/>
    </row>
    <row r="30" spans="1:9" ht="38.25">
      <c r="A30" s="88">
        <f>+A28+1</f>
        <v>2</v>
      </c>
      <c r="B30" s="457" t="s">
        <v>83</v>
      </c>
      <c r="D30" s="101"/>
      <c r="E30" s="101"/>
    </row>
    <row r="31" spans="1:9">
      <c r="B31" s="44"/>
    </row>
    <row r="32" spans="1:9">
      <c r="A32" s="48">
        <v>3</v>
      </c>
      <c r="B32" s="102" t="s">
        <v>686</v>
      </c>
    </row>
    <row r="33" spans="1:9">
      <c r="B33" s="102"/>
    </row>
    <row r="35" spans="1:9">
      <c r="A35" s="105"/>
    </row>
    <row r="36" spans="1:9">
      <c r="A36" s="105"/>
      <c r="I36" s="68"/>
    </row>
  </sheetData>
  <customSheetViews>
    <customSheetView guid="{1155D18F-BFDD-426B-8E78-817CEB25FB23}" scale="75" showPageBreaks="1" fitToPage="1" printArea="1" showRuler="0" topLeftCell="A28">
      <selection activeCell="D41" sqref="D41"/>
      <pageMargins left="0.5" right="0.5" top="1" bottom="1" header="0.5" footer="0.5"/>
      <printOptions horizontalCentered="1"/>
      <pageSetup scale="66" orientation="portrait" r:id="rId1"/>
      <headerFooter alignWithMargins="0">
        <oddHeader>&amp;R&amp;12Page &amp;P of &amp;N</oddHeader>
      </headerFooter>
    </customSheetView>
    <customSheetView guid="{DC91DEF3-837B-4BB9-A81E-3B78C5914E6C}" scale="75" showPageBreaks="1" fitToPage="1" printArea="1" showRuler="0" topLeftCell="A20">
      <selection activeCell="B28" sqref="B28"/>
      <pageMargins left="0.5" right="0.5" top="1" bottom="1" header="0.5" footer="0.5"/>
      <printOptions horizontalCentered="1"/>
      <pageSetup scale="66" orientation="portrait" r:id="rId2"/>
      <headerFooter alignWithMargins="0">
        <oddHeader>&amp;R&amp;12Page &amp;P of &amp;N</oddHeader>
      </headerFooter>
    </customSheetView>
    <customSheetView guid="{63011E91-4609-4523-98FE-FD252E915668}" scale="60" showPageBreaks="1" fitToPage="1" printArea="1" view="pageBreakPreview" showRuler="0" topLeftCell="A43">
      <selection activeCell="C29" sqref="C29"/>
      <pageMargins left="0.5" right="0.5" top="1" bottom="1" header="0.5" footer="0.5"/>
      <printOptions horizontalCentered="1"/>
      <pageSetup scale="64" orientation="portrait" r:id="rId3"/>
      <headerFooter alignWithMargins="0">
        <oddHeader>&amp;R&amp;12Page &amp;P of &amp;N</oddHeader>
      </headerFooter>
    </customSheetView>
    <customSheetView guid="{B647CB7F-C846-4278-B6B1-1EF7F3C004F5}" scale="75" showPageBreaks="1" fitToPage="1" printArea="1" showRuler="0" topLeftCell="A26">
      <selection activeCell="C29" sqref="C29"/>
      <pageMargins left="0.5" right="0.5" top="1" bottom="1" header="0.5" footer="0.5"/>
      <printOptions horizontalCentered="1"/>
      <pageSetup scale="66" orientation="portrait" r:id="rId4"/>
      <headerFooter alignWithMargins="0">
        <oddHeader>&amp;R&amp;12Page &amp;P of &amp;N</oddHeader>
      </headerFooter>
    </customSheetView>
    <customSheetView guid="{28948E05-8F34-4F1E-96FB-A80A6A844600}" scale="75" showPageBreaks="1" fitToPage="1" printArea="1" showRuler="0" topLeftCell="A14">
      <selection activeCell="B32" sqref="B32"/>
      <pageMargins left="0.5" right="0.5" top="1" bottom="1" header="0.5" footer="0.5"/>
      <printOptions horizontalCentered="1"/>
      <pageSetup scale="64" orientation="portrait" r:id="rId5"/>
      <headerFooter alignWithMargins="0">
        <oddHeader>&amp;R&amp;12Page &amp;P of &amp;N</oddHeader>
      </headerFooter>
    </customSheetView>
    <customSheetView guid="{71B42B22-A376-44B5-B0C1-23FC1AA3DBA2}" scale="75" showPageBreaks="1" fitToPage="1" printArea="1" showRuler="0" topLeftCell="A14">
      <selection activeCell="B32" sqref="B32"/>
      <pageMargins left="0.5" right="0.5" top="1" bottom="1" header="0.5" footer="0.5"/>
      <printOptions horizontalCentered="1"/>
      <pageSetup scale="66" orientation="portrait" r:id="rId6"/>
      <headerFooter alignWithMargins="0">
        <oddHeader>&amp;R&amp;14Page &amp;P of &amp;N</oddHeader>
      </headerFooter>
    </customSheetView>
    <customSheetView guid="{FAAD9AAC-1337-43AB-BF1F-CCF9DFCF5B78}" scale="75" showPageBreaks="1" fitToPage="1" printArea="1" showRuler="0">
      <selection activeCell="B46" sqref="B46"/>
      <pageMargins left="0.5" right="0.5" top="1" bottom="1" header="0.5" footer="0.5"/>
      <printOptions horizontalCentered="1"/>
      <pageSetup scale="64" orientation="portrait" r:id="rId7"/>
      <headerFooter alignWithMargins="0">
        <oddHeader>&amp;R&amp;12Page &amp;P of &amp;N</oddHeader>
      </headerFooter>
    </customSheetView>
    <customSheetView guid="{44504B44-F20F-4B6F-B585-74D55BA74563}" scale="75" showPageBreaks="1" fitToPage="1" printArea="1" showRuler="0">
      <selection activeCell="D15" sqref="D15"/>
      <pageMargins left="0.5" right="0.5" top="1" bottom="1" header="0.5" footer="0.5"/>
      <printOptions horizontalCentered="1"/>
      <pageSetup scale="66" orientation="portrait" r:id="rId8"/>
      <headerFooter alignWithMargins="0">
        <oddHeader>&amp;R&amp;12Page &amp;P of &amp;N</oddHeader>
      </headerFooter>
    </customSheetView>
    <customSheetView guid="{16940A0E-2B20-4241-BF05-A4686E5A0274}" scale="75" fitToPage="1" showRuler="0">
      <selection activeCell="D15" sqref="D15"/>
      <pageMargins left="0.5" right="0.5" top="1" bottom="1" header="0.5" footer="0.5"/>
      <printOptions horizontalCentered="1"/>
      <pageSetup scale="66" orientation="portrait" r:id="rId9"/>
      <headerFooter alignWithMargins="0">
        <oddHeader>&amp;R&amp;12Page &amp;P of &amp;N</oddHeader>
      </headerFooter>
    </customSheetView>
  </customSheetViews>
  <mergeCells count="2">
    <mergeCell ref="A3:D3"/>
    <mergeCell ref="A1:D1"/>
  </mergeCells>
  <phoneticPr fontId="0" type="noConversion"/>
  <printOptions horizontalCentered="1"/>
  <pageMargins left="0.5" right="0.5" top="1" bottom="1" header="0.5" footer="0.5"/>
  <pageSetup scale="70" orientation="landscape" r:id="rId10"/>
  <headerFooter alignWithMargins="0"/>
  <rowBreaks count="2" manualBreakCount="2">
    <brk id="95" max="16383" man="1"/>
    <brk id="176"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G70"/>
  <sheetViews>
    <sheetView view="pageBreakPreview" zoomScale="66" zoomScaleNormal="65" zoomScaleSheetLayoutView="66" workbookViewId="0">
      <selection activeCell="J26" sqref="J26"/>
    </sheetView>
  </sheetViews>
  <sheetFormatPr defaultColWidth="9.140625" defaultRowHeight="12.75"/>
  <cols>
    <col min="1" max="1" width="9.42578125" style="112" bestFit="1" customWidth="1"/>
    <col min="2" max="2" width="3" style="112" customWidth="1"/>
    <col min="3" max="3" width="53.140625" style="112" customWidth="1"/>
    <col min="4" max="4" width="36.5703125" style="112" customWidth="1"/>
    <col min="5" max="5" width="36.140625" style="112" customWidth="1"/>
    <col min="6" max="6" width="3.85546875" style="112" customWidth="1"/>
    <col min="7" max="7" width="20.42578125" style="112" customWidth="1"/>
    <col min="8" max="16384" width="9.140625" style="112"/>
  </cols>
  <sheetData>
    <row r="1" spans="1:7" ht="18">
      <c r="A1" s="1522" t="str">
        <f>+'ATT H-1 '!A3</f>
        <v xml:space="preserve">Puget Sound Energy </v>
      </c>
      <c r="B1" s="1522"/>
      <c r="C1" s="1522"/>
      <c r="D1" s="1522"/>
      <c r="E1" s="1522"/>
      <c r="F1" s="1522"/>
      <c r="G1" s="1522"/>
    </row>
    <row r="2" spans="1:7">
      <c r="A2" s="85"/>
      <c r="B2"/>
      <c r="C2"/>
      <c r="D2" s="63"/>
    </row>
    <row r="3" spans="1:7" ht="15.75">
      <c r="A3" s="1526" t="s">
        <v>350</v>
      </c>
      <c r="B3" s="1526"/>
      <c r="C3" s="1526"/>
      <c r="D3" s="1526"/>
      <c r="E3" s="1526"/>
      <c r="F3" s="1526"/>
      <c r="G3" s="1526"/>
    </row>
    <row r="9" spans="1:7" s="154" customFormat="1" ht="15">
      <c r="A9" s="153" t="s">
        <v>758</v>
      </c>
      <c r="B9" s="153"/>
      <c r="C9" s="154" t="s">
        <v>596</v>
      </c>
      <c r="E9" s="154" t="str">
        <f>"Line "&amp;A29&amp;" + Line "&amp;A51&amp;""</f>
        <v>Line 12 + Line 23</v>
      </c>
      <c r="G9" s="155">
        <f>+G29+G51</f>
        <v>139664614.44176069</v>
      </c>
    </row>
    <row r="10" spans="1:7" s="154" customFormat="1" ht="15">
      <c r="A10" s="153"/>
      <c r="B10" s="153"/>
    </row>
    <row r="11" spans="1:7" s="154" customFormat="1" ht="15">
      <c r="A11" s="153" t="s">
        <v>848</v>
      </c>
      <c r="B11" s="153"/>
      <c r="C11" s="154" t="str">
        <f>G11*10000&amp;" Basis Point increase in ROE"</f>
        <v>100 Basis Point increase in ROE</v>
      </c>
      <c r="G11" s="156">
        <v>0.01</v>
      </c>
    </row>
    <row r="12" spans="1:7" s="154" customFormat="1" ht="15">
      <c r="A12" s="153"/>
      <c r="B12" s="153"/>
      <c r="G12" s="156"/>
    </row>
    <row r="13" spans="1:7" s="154" customFormat="1" ht="15.75">
      <c r="A13" s="219" t="s">
        <v>652</v>
      </c>
      <c r="B13" s="157"/>
      <c r="C13" s="157"/>
      <c r="D13" s="157"/>
      <c r="E13" s="157"/>
      <c r="F13" s="157"/>
      <c r="G13" s="157"/>
    </row>
    <row r="14" spans="1:7" s="154" customFormat="1" ht="15">
      <c r="A14" s="153">
        <v>1</v>
      </c>
      <c r="C14" s="158" t="s">
        <v>834</v>
      </c>
      <c r="E14" s="158" t="str">
        <f>"Attachment H-1, Line "&amp;'ATT H-1 '!A102&amp;""</f>
        <v>Attachment H-1, Line 59</v>
      </c>
      <c r="G14" s="155">
        <f>+'ATT H-1 '!H102</f>
        <v>1543296757.7868083</v>
      </c>
    </row>
    <row r="15" spans="1:7" s="154" customFormat="1" ht="15">
      <c r="F15" s="158"/>
      <c r="G15" s="159"/>
    </row>
    <row r="16" spans="1:7" s="154" customFormat="1" ht="15">
      <c r="A16" s="153">
        <f>A14+1</f>
        <v>2</v>
      </c>
      <c r="B16" s="153"/>
      <c r="C16" s="158" t="s">
        <v>905</v>
      </c>
      <c r="D16" s="114"/>
      <c r="E16" s="154" t="str">
        <f>"Attachment H-1, Line "&amp;'ATT H-1 '!A203&amp;""</f>
        <v>Attachment H-1, Line 126</v>
      </c>
      <c r="F16" s="114"/>
      <c r="G16" s="160">
        <f>+'ATT H-1 '!H203</f>
        <v>0.50940669092025948</v>
      </c>
    </row>
    <row r="17" spans="1:7" s="154" customFormat="1" ht="15">
      <c r="A17" s="153">
        <f>A16+1</f>
        <v>3</v>
      </c>
      <c r="B17" s="153"/>
      <c r="C17" s="158" t="s">
        <v>912</v>
      </c>
      <c r="D17" s="114"/>
      <c r="E17" s="154" t="str">
        <f>"Attachment H-1, Line "&amp;'ATT H-1 '!A204&amp;""</f>
        <v>Attachment H-1, Line 127</v>
      </c>
      <c r="F17" s="114"/>
      <c r="G17" s="160">
        <f>+'ATT H-1 '!H204</f>
        <v>0</v>
      </c>
    </row>
    <row r="18" spans="1:7" s="154" customFormat="1" ht="15">
      <c r="A18" s="153">
        <f>A17+1</f>
        <v>4</v>
      </c>
      <c r="B18" s="153"/>
      <c r="C18" s="158" t="s">
        <v>906</v>
      </c>
      <c r="D18" s="114"/>
      <c r="E18" s="154" t="str">
        <f>"Attachment H-1, Line "&amp;'ATT H-1 '!A205&amp;""</f>
        <v>Attachment H-1, Line 128</v>
      </c>
      <c r="F18" s="114"/>
      <c r="G18" s="160">
        <f>+'ATT H-1 '!H205</f>
        <v>0.49059330907974047</v>
      </c>
    </row>
    <row r="19" spans="1:7" s="154" customFormat="1" ht="15">
      <c r="A19" s="153"/>
      <c r="B19" s="153"/>
      <c r="C19" s="161"/>
      <c r="D19" s="114"/>
      <c r="F19" s="114"/>
      <c r="G19" s="162"/>
    </row>
    <row r="20" spans="1:7" s="154" customFormat="1" ht="15">
      <c r="A20" s="153">
        <f>A18+1</f>
        <v>5</v>
      </c>
      <c r="B20" s="153"/>
      <c r="C20" s="161" t="s">
        <v>907</v>
      </c>
      <c r="D20" s="114"/>
      <c r="E20" s="154" t="str">
        <f>"Attachment H-1, Line "&amp;'ATT H-1 '!A208&amp;""</f>
        <v>Attachment H-1, Line 129</v>
      </c>
      <c r="F20" s="114"/>
      <c r="G20" s="216">
        <f>+'ATT H-1 '!H208</f>
        <v>5.1366432082343927E-2</v>
      </c>
    </row>
    <row r="21" spans="1:7" s="154" customFormat="1" ht="15">
      <c r="A21" s="153">
        <f>A20+1</f>
        <v>6</v>
      </c>
      <c r="B21" s="153"/>
      <c r="C21" s="161" t="s">
        <v>913</v>
      </c>
      <c r="D21" s="114"/>
      <c r="E21" s="154" t="str">
        <f>"Attachment H-1, Line "&amp;'ATT H-1 '!A209&amp;""</f>
        <v>Attachment H-1, Line 130</v>
      </c>
      <c r="F21" s="114"/>
      <c r="G21" s="216">
        <f>+'ATT H-1 '!H209</f>
        <v>0</v>
      </c>
    </row>
    <row r="22" spans="1:7" s="154" customFormat="1" ht="15">
      <c r="A22" s="153">
        <f>A21+1</f>
        <v>7</v>
      </c>
      <c r="B22" s="153"/>
      <c r="C22" s="161" t="s">
        <v>908</v>
      </c>
      <c r="D22" s="158" t="s">
        <v>1079</v>
      </c>
      <c r="E22" s="154" t="str">
        <f>"Attachment H-1, Line "&amp;'ATT H-1 '!A210&amp;""</f>
        <v>Attachment H-1, Line 131</v>
      </c>
      <c r="F22" s="114"/>
      <c r="G22" s="216">
        <f>+'ATT H-1 '!H210+0.01</f>
        <v>0.108</v>
      </c>
    </row>
    <row r="23" spans="1:7" s="154" customFormat="1" ht="15">
      <c r="A23" s="153"/>
      <c r="B23" s="153"/>
      <c r="C23" s="161"/>
      <c r="D23" s="163"/>
      <c r="E23" s="114"/>
      <c r="F23" s="114"/>
    </row>
    <row r="24" spans="1:7" s="154" customFormat="1" ht="15">
      <c r="A24" s="153">
        <f>A22+1</f>
        <v>8</v>
      </c>
      <c r="B24" s="153"/>
      <c r="C24" s="158" t="s">
        <v>909</v>
      </c>
      <c r="D24" s="114"/>
      <c r="E24" s="154" t="str">
        <f>"Attachment H-1, Line "&amp;'ATT H-1 '!A212&amp;""</f>
        <v>Attachment H-1, Line 132</v>
      </c>
      <c r="F24" s="164"/>
      <c r="G24" s="209">
        <f>+'ATT H-1 '!H212</f>
        <v>2.6166404191447074E-2</v>
      </c>
    </row>
    <row r="25" spans="1:7" s="154" customFormat="1" ht="15">
      <c r="A25" s="153">
        <f>A24+1</f>
        <v>9</v>
      </c>
      <c r="B25" s="153"/>
      <c r="C25" s="158" t="s">
        <v>939</v>
      </c>
      <c r="D25" s="114"/>
      <c r="E25" s="154" t="str">
        <f>"Attachment H-1, Line "&amp;'ATT H-1 '!A213&amp;""</f>
        <v>Attachment H-1, Line 133</v>
      </c>
      <c r="F25" s="165"/>
      <c r="G25" s="210">
        <f>+'ATT H-1 '!H213</f>
        <v>0</v>
      </c>
    </row>
    <row r="26" spans="1:7" s="154" customFormat="1" ht="15">
      <c r="A26" s="153">
        <f>A25+1</f>
        <v>10</v>
      </c>
      <c r="B26" s="166"/>
      <c r="C26" s="167" t="s">
        <v>910</v>
      </c>
      <c r="D26" s="121"/>
      <c r="E26" s="168" t="str">
        <f>"Line "&amp;A18&amp;" * Line "&amp;A22&amp;""</f>
        <v>Line 4 * Line 7</v>
      </c>
      <c r="F26" s="169"/>
      <c r="G26" s="170">
        <f>G22*G18</f>
        <v>5.298407738061197E-2</v>
      </c>
    </row>
    <row r="27" spans="1:7" s="154" customFormat="1" ht="15.75">
      <c r="A27" s="153">
        <f>A26+1</f>
        <v>11</v>
      </c>
      <c r="B27" s="171" t="s">
        <v>742</v>
      </c>
      <c r="C27" s="171"/>
      <c r="D27" s="114"/>
      <c r="E27" s="154" t="str">
        <f>"Sum Lines "&amp;A24&amp;" to "&amp;A26&amp;""</f>
        <v>Sum Lines 8 to 10</v>
      </c>
      <c r="F27" s="172"/>
      <c r="G27" s="173">
        <f>SUM(G24:G26)</f>
        <v>7.9150481572059048E-2</v>
      </c>
    </row>
    <row r="28" spans="1:7" s="154" customFormat="1" ht="15.75">
      <c r="A28" s="174"/>
      <c r="B28" s="174"/>
      <c r="C28" s="171"/>
      <c r="D28" s="174"/>
      <c r="E28" s="175"/>
      <c r="F28" s="172"/>
      <c r="G28" s="173"/>
    </row>
    <row r="29" spans="1:7" s="154" customFormat="1" ht="16.5" thickBot="1">
      <c r="A29" s="153">
        <f>A27+1</f>
        <v>12</v>
      </c>
      <c r="B29" s="176" t="s">
        <v>813</v>
      </c>
      <c r="C29" s="177"/>
      <c r="D29" s="178"/>
      <c r="E29" s="177" t="str">
        <f>"Line "&amp;A27&amp;" * Line "&amp;A14&amp;""</f>
        <v>Line 11 * Line 1</v>
      </c>
      <c r="F29" s="179"/>
      <c r="G29" s="178">
        <f>+G27*G14</f>
        <v>122152681.58742324</v>
      </c>
    </row>
    <row r="30" spans="1:7" s="154" customFormat="1" ht="15.75" thickTop="1">
      <c r="A30" s="153"/>
      <c r="B30" s="153"/>
      <c r="D30" s="153"/>
      <c r="E30" s="114"/>
      <c r="F30" s="114"/>
      <c r="G30" s="114"/>
    </row>
    <row r="31" spans="1:7" s="154" customFormat="1" ht="15.75">
      <c r="A31" s="220" t="s">
        <v>599</v>
      </c>
      <c r="B31" s="180"/>
      <c r="C31" s="181"/>
      <c r="D31" s="182"/>
      <c r="E31" s="157"/>
      <c r="F31" s="157"/>
      <c r="G31" s="183"/>
    </row>
    <row r="32" spans="1:7" s="154" customFormat="1" ht="15.75">
      <c r="A32" s="153"/>
      <c r="B32" s="184" t="s">
        <v>814</v>
      </c>
      <c r="D32" s="162"/>
      <c r="E32" s="114"/>
      <c r="F32" s="185"/>
      <c r="G32" s="114"/>
    </row>
    <row r="33" spans="1:7" s="154" customFormat="1" ht="15">
      <c r="A33" s="153">
        <f>A29+1</f>
        <v>13</v>
      </c>
      <c r="B33" s="153"/>
      <c r="C33" s="154" t="s">
        <v>812</v>
      </c>
      <c r="D33" s="153"/>
      <c r="E33" s="154" t="str">
        <f>"Attachment H-1, Line "&amp;'ATT H-1 '!A222&amp;""</f>
        <v>Attachment H-1, Line 137</v>
      </c>
      <c r="F33" s="186"/>
      <c r="G33" s="187">
        <f>+'ATT H-1 '!H222</f>
        <v>0.21</v>
      </c>
    </row>
    <row r="34" spans="1:7" s="154" customFormat="1" ht="15">
      <c r="A34" s="153">
        <f>A33+1</f>
        <v>14</v>
      </c>
      <c r="B34" s="153"/>
      <c r="C34" s="186" t="s">
        <v>811</v>
      </c>
      <c r="D34" s="188"/>
      <c r="E34" s="154" t="str">
        <f>"Attachment H-1, Line "&amp;'ATT H-1 '!A223&amp;""</f>
        <v>Attachment H-1, Line 138</v>
      </c>
      <c r="F34" s="186"/>
      <c r="G34" s="187">
        <f>+'ATT H-1 '!H223</f>
        <v>0</v>
      </c>
    </row>
    <row r="35" spans="1:7" s="154" customFormat="1" ht="15">
      <c r="A35" s="153">
        <f>A34+1</f>
        <v>15</v>
      </c>
      <c r="B35" s="153"/>
      <c r="C35" s="186" t="s">
        <v>274</v>
      </c>
      <c r="D35" s="153"/>
      <c r="E35" s="154" t="str">
        <f>"Attachment H-1, Line "&amp;'ATT H-1 '!A224&amp;""</f>
        <v>Attachment H-1, Line 139</v>
      </c>
      <c r="F35" s="186"/>
      <c r="G35" s="187">
        <f>+'ATT H-1 '!H224</f>
        <v>0</v>
      </c>
    </row>
    <row r="36" spans="1:7" s="154" customFormat="1" ht="15">
      <c r="A36" s="153">
        <f>A35+1</f>
        <v>16</v>
      </c>
      <c r="B36" s="153"/>
      <c r="C36" s="186" t="s">
        <v>275</v>
      </c>
      <c r="D36" s="153"/>
      <c r="E36" s="154" t="str">
        <f>"Attachment H-1, Line "&amp;'ATT H-1 '!A225&amp;""</f>
        <v>Attachment H-1, Line 140</v>
      </c>
      <c r="F36" s="186"/>
      <c r="G36" s="187">
        <f>+'ATT H-1 '!H225</f>
        <v>0.20999999999999996</v>
      </c>
    </row>
    <row r="37" spans="1:7" s="154" customFormat="1" ht="15">
      <c r="A37" s="153">
        <f>A36+1</f>
        <v>17</v>
      </c>
      <c r="B37" s="153"/>
      <c r="C37" s="186" t="s">
        <v>883</v>
      </c>
      <c r="D37" s="153"/>
      <c r="E37" s="154" t="str">
        <f>"Attachment H-1, Line "&amp;'ATT H-1 '!A226&amp;""</f>
        <v>Attachment H-1, Line 141</v>
      </c>
      <c r="F37" s="186"/>
      <c r="G37" s="187">
        <f>+'ATT H-1 '!H226</f>
        <v>0.2658227848101265</v>
      </c>
    </row>
    <row r="38" spans="1:7" s="154" customFormat="1" ht="15">
      <c r="A38" s="153"/>
      <c r="B38" s="153"/>
      <c r="D38" s="190"/>
      <c r="E38" s="191"/>
      <c r="F38" s="185"/>
      <c r="G38" s="189"/>
    </row>
    <row r="39" spans="1:7" s="154" customFormat="1" ht="15.75">
      <c r="A39" s="153"/>
      <c r="B39" s="184" t="s">
        <v>809</v>
      </c>
      <c r="D39" s="188"/>
      <c r="E39" s="114"/>
      <c r="F39" s="185"/>
      <c r="G39" s="192"/>
    </row>
    <row r="40" spans="1:7" s="154" customFormat="1" ht="15">
      <c r="A40" s="153">
        <f>A37+1</f>
        <v>18</v>
      </c>
      <c r="B40" s="153"/>
      <c r="C40" s="154" t="s">
        <v>851</v>
      </c>
      <c r="D40" s="158"/>
      <c r="E40" s="154" t="str">
        <f>"Attachment H-1, Line "&amp;'ATT H-1 '!A229&amp;""</f>
        <v>Attachment H-1, Line 142</v>
      </c>
      <c r="G40" s="207">
        <f>+'ATT H-1 '!H229</f>
        <v>0</v>
      </c>
    </row>
    <row r="41" spans="1:7" s="154" customFormat="1" ht="15">
      <c r="A41" s="153">
        <f>A40+1</f>
        <v>19</v>
      </c>
      <c r="B41" s="153"/>
      <c r="C41" s="154" t="s">
        <v>276</v>
      </c>
      <c r="D41" s="114"/>
      <c r="E41" s="154" t="str">
        <f>"Attachment H-1, Line "&amp;'ATT H-1 '!A230&amp;""</f>
        <v>Attachment H-1, Line 143</v>
      </c>
      <c r="F41" s="185"/>
      <c r="G41" s="208">
        <f>+'ATT H-1 '!H230</f>
        <v>1.2658227848101264</v>
      </c>
    </row>
    <row r="42" spans="1:7" s="154" customFormat="1" ht="15.75">
      <c r="A42" s="153">
        <f>A41+1</f>
        <v>20</v>
      </c>
      <c r="B42" s="153"/>
      <c r="C42" s="193" t="s">
        <v>804</v>
      </c>
      <c r="D42" s="121"/>
      <c r="E42" s="168" t="str">
        <f>"Attachment H-1, Line "&amp;'ATT H-1 '!A231&amp;""</f>
        <v>Attachment H-1, Line 144</v>
      </c>
      <c r="F42" s="194"/>
      <c r="G42" s="208">
        <f>+'ATT H-1 '!H231</f>
        <v>0.20462766097688967</v>
      </c>
    </row>
    <row r="43" spans="1:7" s="154" customFormat="1" ht="15.75">
      <c r="A43" s="153">
        <f>A42+1</f>
        <v>21</v>
      </c>
      <c r="B43" s="153"/>
      <c r="C43" s="195" t="s">
        <v>810</v>
      </c>
      <c r="D43" s="196"/>
      <c r="E43" s="154" t="str">
        <f>"Attachment H-1, Line "&amp;'ATT H-1 '!A232&amp;""</f>
        <v>Attachment H-1, Line 145</v>
      </c>
      <c r="F43" s="197"/>
      <c r="G43" s="198">
        <f>+'ATT H-1 '!H232</f>
        <v>0</v>
      </c>
    </row>
    <row r="44" spans="1:7" s="154" customFormat="1" ht="15.75">
      <c r="A44" s="153"/>
      <c r="B44" s="153"/>
      <c r="C44" s="199"/>
      <c r="D44" s="1337"/>
      <c r="F44" s="194"/>
      <c r="G44" s="1338"/>
    </row>
    <row r="45" spans="1:7" s="154" customFormat="1" ht="15.75">
      <c r="A45" s="1339"/>
      <c r="B45" s="19" t="s">
        <v>1247</v>
      </c>
      <c r="C45" s="711"/>
      <c r="D45" s="3"/>
      <c r="E45" s="2"/>
      <c r="F45" s="214"/>
      <c r="G45" s="1340"/>
    </row>
    <row r="46" spans="1:7" s="154" customFormat="1" ht="15.75">
      <c r="A46" s="1341" t="s">
        <v>1248</v>
      </c>
      <c r="B46" s="2"/>
      <c r="C46" s="7" t="s">
        <v>1249</v>
      </c>
      <c r="D46" s="2"/>
      <c r="E46" s="1342" t="str">
        <f>"Attachment H-1, Line "&amp;'[6]ATT H-1 '!A235&amp;""</f>
        <v>Attachment H-1, Line 145a</v>
      </c>
      <c r="F46" s="1340"/>
      <c r="G46" s="1346">
        <f>'ATT H-1 '!H235</f>
        <v>-3337305.5605964065</v>
      </c>
    </row>
    <row r="47" spans="1:7" s="154" customFormat="1" ht="15.75">
      <c r="A47" s="1341" t="s">
        <v>1250</v>
      </c>
      <c r="B47" s="2"/>
      <c r="C47" s="7" t="s">
        <v>1251</v>
      </c>
      <c r="D47" s="3" t="s">
        <v>1252</v>
      </c>
      <c r="E47" s="214" t="s">
        <v>1253</v>
      </c>
      <c r="F47" s="1340"/>
      <c r="G47" s="1347">
        <f>G46*(1/(1-G36))</f>
        <v>-4224437.4184764633</v>
      </c>
    </row>
    <row r="48" spans="1:7" s="154" customFormat="1" ht="15.75">
      <c r="A48" s="1341"/>
      <c r="B48" s="1341"/>
      <c r="C48" s="1343"/>
      <c r="D48" s="1344"/>
      <c r="E48" s="1342"/>
      <c r="F48" s="1345"/>
      <c r="G48" s="1340"/>
    </row>
    <row r="49" spans="1:7" ht="15.75">
      <c r="A49" s="153">
        <f>A43+1</f>
        <v>22</v>
      </c>
      <c r="B49" s="171" t="s">
        <v>266</v>
      </c>
      <c r="C49" s="154"/>
      <c r="D49" s="154"/>
      <c r="E49" s="114" t="str">
        <f>"Line "&amp;A37&amp;"*Line "&amp;A29&amp;"*(1-(Line "&amp;A24&amp;"/Line "&amp;A27&amp;"))"</f>
        <v>Line 17*Line 12*(1-(Line 8/Line 11))</v>
      </c>
      <c r="F49" s="154"/>
      <c r="G49" s="200">
        <f>+G37*G29*(1-(G24/G27))</f>
        <v>21736370.27281392</v>
      </c>
    </row>
    <row r="50" spans="1:7" ht="15.75">
      <c r="A50" s="153"/>
      <c r="B50" s="153"/>
      <c r="C50" s="158"/>
      <c r="D50" s="153"/>
      <c r="E50" s="194"/>
      <c r="F50" s="194"/>
      <c r="G50" s="201"/>
    </row>
    <row r="51" spans="1:7" ht="16.5" thickBot="1">
      <c r="A51" s="153">
        <f>A49+1</f>
        <v>23</v>
      </c>
      <c r="B51" s="176" t="s">
        <v>732</v>
      </c>
      <c r="C51" s="176"/>
      <c r="D51" s="202"/>
      <c r="E51" s="1348" t="s">
        <v>1254</v>
      </c>
      <c r="F51" s="203"/>
      <c r="G51" s="204">
        <f>+G49+G43+G47</f>
        <v>17511932.854337458</v>
      </c>
    </row>
    <row r="52" spans="1:7" ht="15.75" thickTop="1">
      <c r="A52" s="153"/>
      <c r="B52" s="153"/>
      <c r="C52" s="191"/>
      <c r="D52" s="153"/>
      <c r="E52" s="205"/>
      <c r="F52" s="206"/>
    </row>
    <row r="53" spans="1:7" ht="15">
      <c r="A53" s="153"/>
    </row>
    <row r="54" spans="1:7" ht="15">
      <c r="A54" s="153"/>
    </row>
    <row r="55" spans="1:7" ht="15">
      <c r="A55" s="153"/>
    </row>
    <row r="56" spans="1:7" ht="15">
      <c r="A56" s="153"/>
    </row>
    <row r="57" spans="1:7" ht="15">
      <c r="A57" s="153"/>
    </row>
    <row r="58" spans="1:7" ht="15">
      <c r="A58" s="153"/>
    </row>
    <row r="59" spans="1:7" ht="15">
      <c r="A59" s="153"/>
    </row>
    <row r="60" spans="1:7" ht="15">
      <c r="A60" s="153"/>
    </row>
    <row r="61" spans="1:7" ht="15">
      <c r="A61" s="153"/>
    </row>
    <row r="62" spans="1:7" ht="15">
      <c r="A62" s="153"/>
    </row>
    <row r="63" spans="1:7" ht="15">
      <c r="A63" s="153"/>
    </row>
    <row r="64" spans="1:7" ht="15">
      <c r="A64" s="153"/>
    </row>
    <row r="65" spans="1:1" ht="15">
      <c r="A65" s="153"/>
    </row>
    <row r="66" spans="1:1" ht="15">
      <c r="A66" s="153"/>
    </row>
    <row r="67" spans="1:1" ht="15">
      <c r="A67" s="153"/>
    </row>
    <row r="68" spans="1:1" ht="15">
      <c r="A68" s="153"/>
    </row>
    <row r="69" spans="1:1" ht="15">
      <c r="A69" s="153"/>
    </row>
    <row r="70" spans="1:1" ht="15">
      <c r="A70" s="153"/>
    </row>
  </sheetData>
  <mergeCells count="2">
    <mergeCell ref="A1:G1"/>
    <mergeCell ref="A3:G3"/>
  </mergeCells>
  <phoneticPr fontId="49" type="noConversion"/>
  <pageMargins left="0.75" right="0.75" top="1" bottom="1" header="0.5" footer="0.5"/>
  <pageSetup scale="5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F271"/>
  <sheetViews>
    <sheetView topLeftCell="A109" zoomScale="75" zoomScaleNormal="75" zoomScaleSheetLayoutView="75" workbookViewId="0">
      <selection activeCell="H114" sqref="H114"/>
    </sheetView>
  </sheetViews>
  <sheetFormatPr defaultColWidth="9.140625" defaultRowHeight="12.75"/>
  <cols>
    <col min="1" max="1" width="6.42578125" style="112" customWidth="1"/>
    <col min="2" max="2" width="4.28515625" style="112" customWidth="1"/>
    <col min="3" max="3" width="52.140625" style="112" customWidth="1"/>
    <col min="4" max="4" width="27.85546875" style="112" customWidth="1"/>
    <col min="5" max="5" width="16" style="112" customWidth="1"/>
    <col min="6" max="6" width="21.28515625" style="112" customWidth="1"/>
    <col min="7" max="7" width="18.140625" style="112" customWidth="1"/>
    <col min="8" max="8" width="18.7109375" style="112" customWidth="1"/>
    <col min="9" max="10" width="17.28515625" style="112" customWidth="1"/>
    <col min="11" max="11" width="18.28515625" style="271" customWidth="1"/>
    <col min="12" max="12" width="18.85546875" style="271" customWidth="1"/>
    <col min="13" max="13" width="16.5703125" style="271" customWidth="1"/>
    <col min="14" max="14" width="15.140625" style="271" customWidth="1"/>
    <col min="15" max="15" width="11.5703125" style="112" customWidth="1"/>
    <col min="16" max="17" width="15.7109375" style="112" customWidth="1"/>
    <col min="18" max="18" width="4.140625" style="112" customWidth="1"/>
    <col min="19" max="19" width="23" style="112" customWidth="1"/>
    <col min="20" max="20" width="9.140625" style="112" customWidth="1"/>
    <col min="21" max="16384" width="9.140625" style="112"/>
  </cols>
  <sheetData>
    <row r="1" spans="1:19" ht="18">
      <c r="A1" s="1522" t="str">
        <f>+'ATT H-1 '!A3</f>
        <v xml:space="preserve">Puget Sound Energy </v>
      </c>
      <c r="B1" s="1522"/>
      <c r="C1" s="1522"/>
      <c r="D1" s="1522"/>
      <c r="E1" s="1522"/>
      <c r="F1" s="1522"/>
      <c r="G1" s="1522"/>
      <c r="H1" s="1522"/>
      <c r="I1" s="1522"/>
      <c r="J1" s="1522"/>
      <c r="K1" s="1522"/>
      <c r="L1" s="1522"/>
      <c r="M1" s="1522"/>
      <c r="N1" s="1522"/>
    </row>
    <row r="2" spans="1:19">
      <c r="A2" s="85"/>
      <c r="B2"/>
      <c r="C2"/>
      <c r="D2" s="63"/>
    </row>
    <row r="3" spans="1:19" ht="15.75">
      <c r="A3" s="1526" t="s">
        <v>351</v>
      </c>
      <c r="B3" s="1526"/>
      <c r="C3" s="1526"/>
      <c r="D3" s="1526"/>
      <c r="E3" s="1526"/>
      <c r="F3" s="1526"/>
      <c r="G3" s="1526"/>
      <c r="H3" s="1526"/>
      <c r="I3" s="1526"/>
      <c r="J3" s="1526"/>
      <c r="K3" s="1526"/>
      <c r="L3" s="1526"/>
      <c r="M3" s="1526"/>
      <c r="N3" s="1526"/>
    </row>
    <row r="6" spans="1:19" s="226" customFormat="1" ht="13.5" thickBot="1">
      <c r="A6" s="122" t="s">
        <v>181</v>
      </c>
      <c r="B6" s="118"/>
      <c r="C6" s="112"/>
      <c r="D6" s="112"/>
      <c r="E6" s="112"/>
      <c r="F6" s="112"/>
      <c r="G6" s="112"/>
      <c r="H6" s="112"/>
      <c r="K6" s="271"/>
      <c r="L6" s="271"/>
      <c r="M6" s="271"/>
      <c r="N6" s="271"/>
    </row>
    <row r="7" spans="1:19" s="226" customFormat="1">
      <c r="A7" s="1538" t="s">
        <v>1080</v>
      </c>
      <c r="B7" s="1539"/>
      <c r="C7" s="1539"/>
      <c r="D7" s="1539"/>
      <c r="E7" s="1539"/>
      <c r="F7" s="1540"/>
      <c r="G7" s="879"/>
      <c r="H7" s="880"/>
      <c r="I7" s="881"/>
      <c r="J7" s="881"/>
      <c r="K7" s="1535" t="s">
        <v>139</v>
      </c>
      <c r="L7" s="1535"/>
      <c r="M7" s="1535"/>
      <c r="N7" s="1536"/>
      <c r="P7" s="1537"/>
      <c r="Q7" s="1537"/>
    </row>
    <row r="8" spans="1:19" s="226" customFormat="1" ht="31.5">
      <c r="A8" s="116"/>
      <c r="B8" s="112"/>
      <c r="C8" s="249" t="s">
        <v>591</v>
      </c>
      <c r="D8" s="112" t="s">
        <v>182</v>
      </c>
      <c r="E8" s="117"/>
      <c r="F8" s="870" t="s">
        <v>473</v>
      </c>
      <c r="G8" s="871" t="s">
        <v>970</v>
      </c>
      <c r="H8" s="870" t="s">
        <v>436</v>
      </c>
      <c r="I8" s="870" t="s">
        <v>437</v>
      </c>
      <c r="K8" s="794"/>
      <c r="N8" s="534"/>
      <c r="P8" s="53"/>
      <c r="Q8" s="53"/>
    </row>
    <row r="9" spans="1:19" s="226" customFormat="1" ht="15">
      <c r="A9" s="116"/>
      <c r="B9" s="112"/>
      <c r="C9" s="122" t="s">
        <v>641</v>
      </c>
      <c r="D9" s="296" t="s">
        <v>435</v>
      </c>
      <c r="E9" s="247">
        <v>2025</v>
      </c>
      <c r="F9" s="1424">
        <f>G9+H9+I9</f>
        <v>2348590615.3846149</v>
      </c>
      <c r="G9" s="1424">
        <f>'WKSHT5 - Plant in Service 13mo '!O165</f>
        <v>2154319307.6923075</v>
      </c>
      <c r="H9" s="1424">
        <f>'WKSHT5 - Plant in Service 13mo '!O166</f>
        <v>99258153.84615384</v>
      </c>
      <c r="I9" s="1424">
        <f>'WKSHT5 - Plant in Service 13mo '!O167</f>
        <v>95013153.84615384</v>
      </c>
      <c r="K9" s="512"/>
      <c r="N9" s="534"/>
      <c r="P9" s="793"/>
      <c r="Q9" s="794"/>
      <c r="R9" s="512"/>
    </row>
    <row r="10" spans="1:19" s="226" customFormat="1" ht="15">
      <c r="A10" s="116"/>
      <c r="B10" s="117"/>
      <c r="C10" s="118"/>
      <c r="D10" s="112"/>
      <c r="E10" s="117"/>
      <c r="F10" s="1425"/>
      <c r="G10" s="118"/>
      <c r="H10" s="250"/>
      <c r="I10" s="511"/>
      <c r="J10" s="511"/>
      <c r="K10" s="1259"/>
      <c r="N10" s="534"/>
      <c r="P10" s="280"/>
    </row>
    <row r="11" spans="1:19" s="226" customFormat="1" ht="15.75">
      <c r="A11" s="116"/>
      <c r="B11" s="112"/>
      <c r="C11" s="249" t="s">
        <v>590</v>
      </c>
      <c r="D11" s="112" t="s">
        <v>182</v>
      </c>
      <c r="E11" s="117"/>
      <c r="F11" s="1426"/>
      <c r="G11" s="149"/>
      <c r="J11" s="511"/>
      <c r="K11" s="510"/>
      <c r="N11" s="534"/>
      <c r="P11" s="502"/>
    </row>
    <row r="12" spans="1:19" s="226" customFormat="1" ht="15">
      <c r="A12" s="116"/>
      <c r="B12" s="112"/>
      <c r="C12" s="122" t="s">
        <v>184</v>
      </c>
      <c r="D12" s="296" t="s">
        <v>589</v>
      </c>
      <c r="E12" s="247">
        <f>+E$9</f>
        <v>2025</v>
      </c>
      <c r="F12" s="1424">
        <v>6163739438</v>
      </c>
      <c r="G12" s="1137" t="s">
        <v>876</v>
      </c>
      <c r="J12" s="292"/>
      <c r="K12" s="271"/>
      <c r="N12" s="534"/>
      <c r="P12" s="793"/>
      <c r="Q12" s="280"/>
      <c r="R12" s="793"/>
    </row>
    <row r="13" spans="1:19" s="226" customFormat="1" ht="15">
      <c r="A13" s="116"/>
      <c r="B13" s="112"/>
      <c r="D13" s="112"/>
      <c r="E13" s="115"/>
      <c r="F13" s="1427"/>
      <c r="G13" s="129"/>
      <c r="H13" s="129"/>
      <c r="K13" s="510"/>
      <c r="N13" s="534"/>
      <c r="P13" s="280"/>
      <c r="Q13" s="280"/>
      <c r="R13" s="280"/>
    </row>
    <row r="14" spans="1:19" s="226" customFormat="1" ht="15">
      <c r="A14" s="116"/>
      <c r="B14" s="117"/>
      <c r="C14" s="118"/>
      <c r="D14" s="112"/>
      <c r="E14" s="117"/>
      <c r="F14" s="1425"/>
      <c r="G14" s="118"/>
      <c r="H14" s="250"/>
      <c r="I14" s="511"/>
      <c r="J14" s="511"/>
      <c r="K14" s="510"/>
      <c r="L14" s="510"/>
      <c r="M14" s="510"/>
      <c r="N14" s="520"/>
      <c r="P14" s="280"/>
      <c r="Q14" s="280"/>
      <c r="R14" s="280"/>
      <c r="S14" s="221"/>
    </row>
    <row r="15" spans="1:19" s="226" customFormat="1" ht="15">
      <c r="A15" s="116"/>
      <c r="B15" s="112"/>
      <c r="C15" s="249" t="s">
        <v>185</v>
      </c>
      <c r="D15" s="112" t="s">
        <v>182</v>
      </c>
      <c r="E15" s="117"/>
      <c r="F15" s="1428"/>
      <c r="G15" s="112"/>
      <c r="H15" s="112"/>
      <c r="K15" s="510"/>
      <c r="L15" s="510"/>
      <c r="M15" s="510"/>
      <c r="N15" s="520"/>
      <c r="P15" s="280"/>
      <c r="Q15" s="280"/>
      <c r="R15" s="280"/>
      <c r="S15" s="304"/>
    </row>
    <row r="16" spans="1:19" s="226" customFormat="1" ht="15">
      <c r="A16" s="116"/>
      <c r="B16" s="112"/>
      <c r="C16" s="122" t="s">
        <v>219</v>
      </c>
      <c r="D16" s="121" t="s">
        <v>580</v>
      </c>
      <c r="E16" s="247">
        <f>+E$9</f>
        <v>2025</v>
      </c>
      <c r="F16" s="1424">
        <v>83831639</v>
      </c>
      <c r="G16" s="129"/>
      <c r="H16" s="221"/>
      <c r="I16" s="511"/>
      <c r="K16" s="271"/>
      <c r="L16" s="271"/>
      <c r="M16" s="271"/>
      <c r="N16" s="521"/>
      <c r="P16" s="514"/>
      <c r="Q16" s="510"/>
      <c r="R16" s="510"/>
      <c r="S16" s="271"/>
    </row>
    <row r="17" spans="1:19" s="226" customFormat="1" ht="15">
      <c r="A17" s="116"/>
      <c r="B17" s="112"/>
      <c r="D17" s="112"/>
      <c r="E17" s="115"/>
      <c r="F17" s="1427"/>
      <c r="G17" s="129"/>
      <c r="H17" s="304"/>
      <c r="J17" s="872"/>
      <c r="K17" s="510"/>
      <c r="L17" s="271"/>
      <c r="M17" s="271"/>
      <c r="N17" s="521"/>
      <c r="P17" s="303"/>
      <c r="Q17" s="302"/>
      <c r="R17" s="1531"/>
      <c r="S17" s="1531"/>
    </row>
    <row r="18" spans="1:19" s="226" customFormat="1" ht="15">
      <c r="A18" s="116"/>
      <c r="B18" s="112"/>
      <c r="C18" s="118"/>
      <c r="D18" s="112"/>
      <c r="E18" s="117"/>
      <c r="F18" s="1425"/>
      <c r="G18" s="118"/>
      <c r="H18" s="250"/>
      <c r="I18" s="511"/>
      <c r="J18" s="511"/>
      <c r="K18" s="510"/>
      <c r="L18" s="271"/>
      <c r="M18" s="271"/>
      <c r="N18" s="521"/>
      <c r="P18" s="303"/>
      <c r="Q18" s="302"/>
      <c r="R18" s="1531"/>
      <c r="S18" s="1531"/>
    </row>
    <row r="19" spans="1:19" s="226" customFormat="1" ht="15">
      <c r="A19" s="116"/>
      <c r="B19" s="112"/>
      <c r="C19" s="249" t="s">
        <v>220</v>
      </c>
      <c r="D19" s="112" t="s">
        <v>182</v>
      </c>
      <c r="E19" s="117"/>
      <c r="F19" s="1428"/>
      <c r="G19" s="112"/>
      <c r="H19" s="112"/>
      <c r="K19" s="510"/>
      <c r="L19" s="510"/>
      <c r="M19" s="510"/>
      <c r="N19" s="520"/>
      <c r="P19" s="791"/>
      <c r="Q19" s="302"/>
      <c r="R19" s="1531"/>
      <c r="S19" s="1531"/>
    </row>
    <row r="20" spans="1:19" s="226" customFormat="1" ht="15">
      <c r="A20" s="116"/>
      <c r="B20" s="112"/>
      <c r="C20" s="122" t="s">
        <v>221</v>
      </c>
      <c r="D20" s="121" t="s">
        <v>581</v>
      </c>
      <c r="E20" s="247">
        <f>+E$9</f>
        <v>2025</v>
      </c>
      <c r="F20" s="1424">
        <v>610018020</v>
      </c>
      <c r="G20" s="129"/>
      <c r="H20" s="221"/>
      <c r="I20" s="512"/>
      <c r="K20" s="271"/>
      <c r="L20" s="271"/>
      <c r="M20" s="271"/>
      <c r="N20" s="521"/>
    </row>
    <row r="21" spans="1:19" s="226" customFormat="1" ht="15">
      <c r="A21" s="116"/>
      <c r="B21" s="112"/>
      <c r="D21" s="112"/>
      <c r="E21" s="115"/>
      <c r="F21" s="1427"/>
      <c r="G21" s="129"/>
      <c r="H21" s="304"/>
      <c r="J21" s="872"/>
      <c r="K21" s="510"/>
      <c r="L21" s="510"/>
      <c r="M21" s="510"/>
      <c r="N21" s="520"/>
    </row>
    <row r="22" spans="1:19" s="226" customFormat="1" ht="15">
      <c r="A22" s="116"/>
      <c r="B22" s="112"/>
      <c r="C22" s="118"/>
      <c r="D22" s="248"/>
      <c r="E22" s="115"/>
      <c r="F22" s="1429"/>
      <c r="G22" s="513"/>
      <c r="H22" s="112"/>
      <c r="K22" s="271"/>
      <c r="L22" s="271"/>
      <c r="M22" s="271"/>
      <c r="N22" s="521"/>
    </row>
    <row r="23" spans="1:19" s="226" customFormat="1" ht="15">
      <c r="A23" s="116"/>
      <c r="B23" s="112"/>
      <c r="C23" s="249" t="s">
        <v>222</v>
      </c>
      <c r="D23" s="112" t="s">
        <v>182</v>
      </c>
      <c r="E23" s="117"/>
      <c r="F23" s="1428"/>
      <c r="G23" s="112"/>
      <c r="H23" s="112"/>
      <c r="K23" s="510"/>
      <c r="L23" s="510"/>
      <c r="M23" s="510"/>
      <c r="N23" s="520"/>
    </row>
    <row r="24" spans="1:19" s="226" customFormat="1" ht="15">
      <c r="A24" s="116"/>
      <c r="B24" s="112"/>
      <c r="C24" s="122" t="s">
        <v>223</v>
      </c>
      <c r="D24" s="296" t="s">
        <v>146</v>
      </c>
      <c r="E24" s="247">
        <f>+E$9</f>
        <v>2025</v>
      </c>
      <c r="F24" s="1430">
        <v>5113719240</v>
      </c>
      <c r="G24" s="129"/>
      <c r="H24" s="221"/>
      <c r="I24" s="512"/>
      <c r="K24" s="271"/>
      <c r="L24" s="271"/>
      <c r="M24" s="271"/>
      <c r="N24" s="520"/>
    </row>
    <row r="25" spans="1:19" s="226" customFormat="1">
      <c r="A25" s="116"/>
      <c r="B25" s="112"/>
      <c r="D25" s="112"/>
      <c r="E25" s="115"/>
      <c r="F25" s="288"/>
      <c r="G25" s="129"/>
      <c r="H25" s="304"/>
      <c r="J25" s="872"/>
      <c r="K25" s="510"/>
      <c r="L25" s="510"/>
      <c r="M25" s="271"/>
      <c r="N25" s="520"/>
    </row>
    <row r="26" spans="1:19" s="226" customFormat="1">
      <c r="A26" s="116"/>
      <c r="B26" s="112"/>
      <c r="C26" s="118"/>
      <c r="D26" s="112"/>
      <c r="E26" s="117"/>
      <c r="F26" s="618"/>
      <c r="G26" s="514"/>
      <c r="H26" s="250"/>
      <c r="I26" s="511"/>
      <c r="J26" s="873"/>
      <c r="K26" s="510"/>
      <c r="L26" s="510"/>
      <c r="M26" s="271"/>
      <c r="N26" s="520"/>
    </row>
    <row r="27" spans="1:19" s="226" customFormat="1">
      <c r="A27" s="116"/>
      <c r="B27" s="112"/>
      <c r="C27" s="786"/>
      <c r="D27" s="874"/>
      <c r="E27" s="787"/>
      <c r="F27" s="875"/>
      <c r="G27" s="129"/>
      <c r="H27" s="129"/>
      <c r="I27" s="129"/>
      <c r="J27" s="129"/>
      <c r="K27" s="522"/>
      <c r="L27" s="510"/>
      <c r="M27" s="271"/>
      <c r="N27" s="520"/>
    </row>
    <row r="28" spans="1:19" s="226" customFormat="1" ht="13.5" thickBot="1">
      <c r="A28" s="116"/>
      <c r="B28" s="112"/>
      <c r="C28" s="788" t="s">
        <v>800</v>
      </c>
      <c r="D28" s="789"/>
      <c r="E28" s="876"/>
      <c r="F28" s="790">
        <f>F$24+F$20+F$16+F$12+F$9</f>
        <v>14319898952.384615</v>
      </c>
      <c r="G28" s="250"/>
      <c r="H28" s="250"/>
      <c r="I28" s="250"/>
      <c r="J28" s="250"/>
      <c r="K28" s="566"/>
      <c r="L28" s="271"/>
      <c r="M28" s="271"/>
      <c r="N28" s="520"/>
    </row>
    <row r="29" spans="1:19" s="226" customFormat="1" ht="13.5" thickTop="1">
      <c r="A29" s="116"/>
      <c r="B29" s="112"/>
      <c r="C29" s="249"/>
      <c r="D29" s="248"/>
      <c r="E29" s="115"/>
      <c r="F29" s="250"/>
      <c r="G29" s="250"/>
      <c r="H29" s="250"/>
      <c r="I29" s="250"/>
      <c r="J29" s="250"/>
      <c r="K29" s="566"/>
      <c r="L29" s="271"/>
      <c r="M29" s="271"/>
      <c r="N29" s="520"/>
    </row>
    <row r="30" spans="1:19" s="226" customFormat="1" ht="25.5">
      <c r="A30" s="116"/>
      <c r="B30" s="112"/>
      <c r="C30" s="249" t="s">
        <v>549</v>
      </c>
      <c r="D30" s="296" t="s">
        <v>550</v>
      </c>
      <c r="E30" s="247">
        <f>E24</f>
        <v>2025</v>
      </c>
      <c r="F30" s="877" t="s">
        <v>969</v>
      </c>
      <c r="G30" s="878" t="s">
        <v>553</v>
      </c>
      <c r="H30" s="877" t="s">
        <v>968</v>
      </c>
      <c r="I30" s="250"/>
      <c r="J30" s="250"/>
      <c r="K30" s="566"/>
      <c r="L30" s="271"/>
      <c r="M30" s="271"/>
      <c r="N30" s="520"/>
      <c r="O30" s="793"/>
      <c r="P30" s="271"/>
    </row>
    <row r="31" spans="1:19" s="226" customFormat="1" ht="15">
      <c r="A31" s="116"/>
      <c r="B31" s="112"/>
      <c r="C31" s="514" t="s">
        <v>551</v>
      </c>
      <c r="D31" s="248"/>
      <c r="E31" s="115"/>
      <c r="F31" s="1424">
        <v>1088169507</v>
      </c>
      <c r="G31" s="1395">
        <v>0.66269999999999996</v>
      </c>
      <c r="H31" s="205">
        <f>F31*G31</f>
        <v>721129932.2888999</v>
      </c>
      <c r="I31" s="250"/>
      <c r="J31" s="250"/>
      <c r="K31" s="566"/>
      <c r="L31" s="271"/>
      <c r="M31" s="271"/>
      <c r="N31" s="520"/>
      <c r="O31" s="280"/>
      <c r="P31" s="510"/>
    </row>
    <row r="32" spans="1:19" s="226" customFormat="1">
      <c r="A32" s="116"/>
      <c r="B32" s="112"/>
      <c r="I32" s="250"/>
      <c r="J32" s="250"/>
      <c r="K32" s="566"/>
      <c r="L32" s="271"/>
      <c r="M32" s="271"/>
      <c r="N32" s="520"/>
      <c r="O32" s="792"/>
      <c r="P32" s="510"/>
    </row>
    <row r="33" spans="1:19" s="226" customFormat="1" ht="13.5" thickBot="1">
      <c r="A33" s="125"/>
      <c r="B33" s="126"/>
      <c r="C33" s="127"/>
      <c r="D33" s="144"/>
      <c r="E33" s="126"/>
      <c r="F33" s="127"/>
      <c r="G33" s="127"/>
      <c r="H33" s="305"/>
      <c r="I33" s="233"/>
      <c r="J33" s="233"/>
      <c r="K33" s="523"/>
      <c r="L33" s="523"/>
      <c r="M33" s="523"/>
      <c r="N33" s="524"/>
      <c r="O33" s="230"/>
      <c r="P33" s="510"/>
    </row>
    <row r="34" spans="1:19" s="226" customFormat="1">
      <c r="A34" s="117"/>
      <c r="B34" s="117"/>
      <c r="C34" s="118"/>
      <c r="D34" s="112"/>
      <c r="E34" s="117"/>
      <c r="F34" s="118"/>
      <c r="G34" s="118"/>
      <c r="H34" s="250"/>
      <c r="I34" s="292"/>
      <c r="J34" s="292"/>
      <c r="K34" s="510"/>
      <c r="L34" s="510"/>
      <c r="M34" s="510"/>
      <c r="N34" s="510"/>
    </row>
    <row r="35" spans="1:19" s="226" customFormat="1" ht="13.5" thickBot="1">
      <c r="A35" s="122" t="s">
        <v>224</v>
      </c>
      <c r="B35" s="112"/>
      <c r="C35" s="112"/>
      <c r="D35" s="112"/>
      <c r="E35" s="112"/>
      <c r="F35" s="112"/>
      <c r="G35" s="112"/>
      <c r="H35" s="112"/>
      <c r="K35" s="271"/>
      <c r="L35" s="271"/>
      <c r="M35" s="271"/>
      <c r="N35" s="271"/>
    </row>
    <row r="36" spans="1:19" s="226" customFormat="1">
      <c r="A36" s="1538" t="s">
        <v>1080</v>
      </c>
      <c r="B36" s="1539"/>
      <c r="C36" s="1539"/>
      <c r="D36" s="1539"/>
      <c r="E36" s="1539"/>
      <c r="F36" s="1540"/>
      <c r="G36" s="879"/>
      <c r="H36" s="663"/>
      <c r="I36" s="881"/>
      <c r="J36" s="881"/>
      <c r="K36" s="1535" t="s">
        <v>139</v>
      </c>
      <c r="L36" s="1535"/>
      <c r="M36" s="1535"/>
      <c r="N36" s="1536"/>
    </row>
    <row r="37" spans="1:19" s="226" customFormat="1" ht="31.5">
      <c r="A37" s="116"/>
      <c r="B37" s="112"/>
      <c r="C37" s="249" t="s">
        <v>592</v>
      </c>
      <c r="D37" s="112" t="s">
        <v>182</v>
      </c>
      <c r="E37" s="117"/>
      <c r="F37" s="870" t="s">
        <v>473</v>
      </c>
      <c r="G37" s="871" t="s">
        <v>970</v>
      </c>
      <c r="H37" s="870" t="s">
        <v>436</v>
      </c>
      <c r="I37" s="870" t="s">
        <v>437</v>
      </c>
      <c r="L37" s="510"/>
      <c r="M37" s="510"/>
      <c r="N37" s="520"/>
      <c r="P37" s="53"/>
      <c r="Q37" s="53"/>
    </row>
    <row r="38" spans="1:19" s="226" customFormat="1" ht="15">
      <c r="A38" s="116"/>
      <c r="B38" s="112"/>
      <c r="C38" s="120" t="s">
        <v>183</v>
      </c>
      <c r="D38" s="296" t="s">
        <v>435</v>
      </c>
      <c r="E38" s="247">
        <f>+E$9</f>
        <v>2025</v>
      </c>
      <c r="F38" s="1424">
        <f>G38+H38+I38</f>
        <v>749454373.0215385</v>
      </c>
      <c r="G38" s="1424">
        <f>'WKSHT5 - Plant in Service 13mo '!O332</f>
        <v>615867603.79076934</v>
      </c>
      <c r="H38" s="1424">
        <f>'WKSHT5 - Plant in Service 13mo '!O333</f>
        <v>79365230.769230768</v>
      </c>
      <c r="I38" s="1424">
        <f>'WKSHT5 - Plant in Service 13mo '!O334</f>
        <v>54221538.461538456</v>
      </c>
      <c r="L38" s="271"/>
      <c r="M38" s="271"/>
      <c r="N38" s="521"/>
      <c r="P38" s="793"/>
      <c r="Q38" s="793"/>
    </row>
    <row r="39" spans="1:19" s="226" customFormat="1">
      <c r="A39" s="116"/>
      <c r="B39" s="112"/>
      <c r="C39" s="122" t="s">
        <v>280</v>
      </c>
      <c r="D39" s="112"/>
      <c r="E39" s="115"/>
      <c r="F39" s="288"/>
      <c r="G39" s="129"/>
      <c r="H39" s="129"/>
      <c r="I39" s="129"/>
      <c r="J39" s="129"/>
      <c r="K39" s="522"/>
      <c r="L39" s="510"/>
      <c r="M39" s="510"/>
      <c r="N39" s="520"/>
      <c r="P39" s="795"/>
      <c r="Q39" s="795"/>
    </row>
    <row r="40" spans="1:19" s="226" customFormat="1">
      <c r="A40" s="116"/>
      <c r="B40" s="117"/>
      <c r="C40" s="118"/>
      <c r="D40" s="112"/>
      <c r="E40" s="117"/>
      <c r="F40" s="616"/>
      <c r="G40" s="118"/>
      <c r="H40" s="250"/>
      <c r="I40" s="511"/>
      <c r="J40" s="230"/>
      <c r="K40" s="510"/>
      <c r="L40" s="510"/>
      <c r="M40" s="510"/>
      <c r="N40" s="520"/>
    </row>
    <row r="41" spans="1:19" s="226" customFormat="1" ht="15.75">
      <c r="A41" s="116"/>
      <c r="B41" s="117"/>
      <c r="C41" s="118"/>
      <c r="D41" s="112"/>
      <c r="E41" s="117"/>
      <c r="F41" s="616"/>
      <c r="G41" s="118"/>
      <c r="H41" s="250"/>
      <c r="I41" s="511"/>
      <c r="J41" s="230"/>
      <c r="K41" s="510"/>
      <c r="L41" s="510"/>
      <c r="M41" s="510"/>
      <c r="N41" s="520"/>
      <c r="P41" s="53"/>
      <c r="Q41" s="53"/>
    </row>
    <row r="42" spans="1:19" s="226" customFormat="1">
      <c r="A42" s="116"/>
      <c r="B42" s="112"/>
      <c r="C42" s="249" t="s">
        <v>594</v>
      </c>
      <c r="D42" s="112" t="s">
        <v>182</v>
      </c>
      <c r="E42" s="117"/>
      <c r="F42" s="617"/>
      <c r="G42" s="149"/>
      <c r="H42" s="149"/>
      <c r="J42" s="230"/>
      <c r="K42" s="510"/>
      <c r="L42" s="510"/>
      <c r="M42" s="510"/>
      <c r="N42" s="520"/>
      <c r="P42" s="280"/>
      <c r="Q42" s="280"/>
    </row>
    <row r="43" spans="1:19" s="226" customFormat="1" ht="15">
      <c r="A43" s="116"/>
      <c r="B43" s="112"/>
      <c r="C43" s="120" t="s">
        <v>183</v>
      </c>
      <c r="D43" s="296" t="s">
        <v>593</v>
      </c>
      <c r="E43" s="247">
        <f>+E$9</f>
        <v>2025</v>
      </c>
      <c r="F43" s="1424">
        <v>2265008476</v>
      </c>
      <c r="G43" s="1137" t="s">
        <v>877</v>
      </c>
      <c r="H43" s="304"/>
      <c r="K43" s="271"/>
      <c r="L43" s="271"/>
      <c r="M43" s="271"/>
      <c r="N43" s="521"/>
      <c r="S43" s="793"/>
    </row>
    <row r="44" spans="1:19" s="226" customFormat="1" ht="15">
      <c r="A44" s="116"/>
      <c r="B44" s="112"/>
      <c r="C44" s="122" t="s">
        <v>225</v>
      </c>
      <c r="D44" s="112"/>
      <c r="E44" s="115"/>
      <c r="F44" s="1427"/>
      <c r="G44" s="129"/>
      <c r="H44" s="129"/>
      <c r="I44" s="615"/>
      <c r="J44" s="230"/>
      <c r="K44" s="510"/>
      <c r="L44" s="510"/>
      <c r="M44" s="510"/>
      <c r="N44" s="520"/>
      <c r="O44" s="304"/>
      <c r="R44" s="512"/>
    </row>
    <row r="45" spans="1:19" s="226" customFormat="1" ht="15">
      <c r="A45" s="116"/>
      <c r="B45" s="117"/>
      <c r="C45" s="118"/>
      <c r="D45" s="112"/>
      <c r="E45" s="117"/>
      <c r="F45" s="1425"/>
      <c r="G45" s="118"/>
      <c r="H45" s="250"/>
      <c r="J45" s="230"/>
      <c r="K45" s="510"/>
      <c r="L45" s="510"/>
      <c r="M45" s="510"/>
      <c r="N45" s="520"/>
      <c r="O45" s="221"/>
    </row>
    <row r="46" spans="1:19" s="226" customFormat="1" ht="15">
      <c r="A46" s="116"/>
      <c r="B46" s="112"/>
      <c r="C46" s="249" t="s">
        <v>226</v>
      </c>
      <c r="D46" s="112" t="s">
        <v>182</v>
      </c>
      <c r="E46" s="117"/>
      <c r="F46" s="1428"/>
      <c r="G46" s="112"/>
      <c r="H46" s="112"/>
      <c r="J46" s="230"/>
      <c r="K46" s="510"/>
      <c r="L46" s="510"/>
      <c r="M46" s="510"/>
      <c r="N46" s="520"/>
      <c r="S46" s="1246"/>
    </row>
    <row r="47" spans="1:19" s="226" customFormat="1" ht="15">
      <c r="A47" s="116"/>
      <c r="B47" s="112"/>
      <c r="C47" s="120" t="s">
        <v>183</v>
      </c>
      <c r="D47" s="121" t="s">
        <v>894</v>
      </c>
      <c r="E47" s="247">
        <f>+E$9</f>
        <v>2025</v>
      </c>
      <c r="F47" s="1424">
        <v>38908089</v>
      </c>
      <c r="G47" s="129"/>
      <c r="H47" s="304"/>
      <c r="K47" s="271"/>
      <c r="L47" s="271"/>
      <c r="M47" s="271"/>
      <c r="N47" s="521"/>
      <c r="Q47" s="794"/>
      <c r="S47" s="1246"/>
    </row>
    <row r="48" spans="1:19" s="226" customFormat="1" ht="15">
      <c r="A48" s="116"/>
      <c r="B48" s="112"/>
      <c r="C48" s="122" t="s">
        <v>277</v>
      </c>
      <c r="D48" s="112"/>
      <c r="E48" s="115"/>
      <c r="F48" s="1427"/>
      <c r="G48" s="129"/>
      <c r="H48" s="221"/>
      <c r="K48" s="510"/>
      <c r="L48" s="510"/>
      <c r="M48" s="510"/>
      <c r="N48" s="520"/>
      <c r="O48" s="304"/>
      <c r="Q48" s="794"/>
      <c r="S48" s="1246"/>
    </row>
    <row r="49" spans="1:19" s="226" customFormat="1" ht="15">
      <c r="A49" s="116"/>
      <c r="B49" s="112"/>
      <c r="C49" s="118"/>
      <c r="D49" s="112"/>
      <c r="E49" s="117"/>
      <c r="F49" s="1425"/>
      <c r="G49" s="118"/>
      <c r="H49" s="250"/>
      <c r="I49" s="511"/>
      <c r="J49" s="1326"/>
      <c r="K49" s="510"/>
      <c r="L49" s="510"/>
      <c r="M49" s="510"/>
      <c r="N49" s="520"/>
      <c r="O49" s="221"/>
      <c r="P49" s="794"/>
      <c r="Q49" s="1310"/>
      <c r="S49" s="1246"/>
    </row>
    <row r="50" spans="1:19" s="226" customFormat="1" ht="15">
      <c r="A50" s="116"/>
      <c r="B50" s="112"/>
      <c r="C50" s="249" t="s">
        <v>227</v>
      </c>
      <c r="D50" s="112" t="s">
        <v>182</v>
      </c>
      <c r="E50" s="117"/>
      <c r="F50" s="1428"/>
      <c r="G50" s="1390"/>
      <c r="H50" s="112"/>
      <c r="J50" s="1327"/>
      <c r="K50" s="510"/>
      <c r="L50" s="510"/>
      <c r="M50" s="510"/>
      <c r="N50" s="520"/>
      <c r="P50" s="794"/>
      <c r="Q50" s="794"/>
    </row>
    <row r="51" spans="1:19" s="226" customFormat="1" ht="15">
      <c r="A51" s="116"/>
      <c r="B51" s="112"/>
      <c r="C51" s="120" t="s">
        <v>183</v>
      </c>
      <c r="D51" s="121" t="s">
        <v>433</v>
      </c>
      <c r="E51" s="247">
        <f>+E$9</f>
        <v>2025</v>
      </c>
      <c r="F51" s="1424">
        <v>250412291</v>
      </c>
      <c r="G51" s="1391"/>
      <c r="H51" s="304"/>
      <c r="J51" s="1327"/>
      <c r="K51" s="271"/>
      <c r="L51" s="271"/>
      <c r="M51" s="271"/>
      <c r="N51" s="521"/>
      <c r="P51" s="794"/>
      <c r="Q51" s="794"/>
    </row>
    <row r="52" spans="1:19" s="226" customFormat="1" ht="15">
      <c r="A52" s="116"/>
      <c r="B52" s="112"/>
      <c r="C52" s="122" t="s">
        <v>911</v>
      </c>
      <c r="D52" s="112"/>
      <c r="E52" s="115"/>
      <c r="F52" s="1427"/>
      <c r="G52" s="1391"/>
      <c r="H52" s="221"/>
      <c r="I52" s="1327"/>
      <c r="J52" s="1327"/>
      <c r="K52" s="510"/>
      <c r="L52" s="280"/>
      <c r="M52" s="510"/>
      <c r="N52" s="520"/>
      <c r="P52" s="283"/>
      <c r="Q52" s="794"/>
    </row>
    <row r="53" spans="1:19" s="226" customFormat="1" ht="15">
      <c r="A53" s="116"/>
      <c r="B53" s="112"/>
      <c r="C53" s="118"/>
      <c r="D53" s="248"/>
      <c r="E53" s="115"/>
      <c r="F53" s="1429"/>
      <c r="G53" s="1392"/>
      <c r="H53" s="112"/>
      <c r="I53" s="1327"/>
      <c r="J53" s="1327"/>
      <c r="K53" s="271"/>
      <c r="L53" s="793"/>
      <c r="M53" s="271"/>
      <c r="N53" s="521"/>
      <c r="P53" s="794"/>
      <c r="Q53" s="794"/>
    </row>
    <row r="54" spans="1:19" s="226" customFormat="1" ht="15">
      <c r="A54" s="116"/>
      <c r="B54" s="112"/>
      <c r="C54" s="249" t="s">
        <v>228</v>
      </c>
      <c r="D54" s="112" t="s">
        <v>182</v>
      </c>
      <c r="E54" s="117"/>
      <c r="F54" s="1428"/>
      <c r="G54" s="221"/>
      <c r="H54" s="112"/>
      <c r="I54" s="1327"/>
      <c r="J54" s="1327"/>
      <c r="K54" s="510"/>
      <c r="L54" s="280"/>
      <c r="M54" s="510"/>
      <c r="N54" s="520"/>
      <c r="P54" s="794"/>
      <c r="Q54" s="794"/>
    </row>
    <row r="55" spans="1:19" s="226" customFormat="1" ht="15">
      <c r="A55" s="116"/>
      <c r="B55" s="112"/>
      <c r="C55" s="120" t="s">
        <v>183</v>
      </c>
      <c r="D55" s="296" t="s">
        <v>145</v>
      </c>
      <c r="E55" s="247">
        <f>+E$9</f>
        <v>2025</v>
      </c>
      <c r="F55" s="1431">
        <f>1050974897+315706331+4212856+784792944+448184106</f>
        <v>2603871134</v>
      </c>
      <c r="G55" s="129"/>
      <c r="H55" s="304"/>
      <c r="I55" s="1397"/>
      <c r="J55" s="515"/>
      <c r="K55" s="884"/>
      <c r="L55" s="1387"/>
      <c r="M55" s="271"/>
      <c r="N55" s="525"/>
      <c r="P55" s="1310"/>
      <c r="Q55" s="794"/>
    </row>
    <row r="56" spans="1:19" s="226" customFormat="1" ht="15">
      <c r="A56" s="116"/>
      <c r="B56" s="112"/>
      <c r="C56" s="122" t="s">
        <v>229</v>
      </c>
      <c r="D56" s="112"/>
      <c r="E56" s="115"/>
      <c r="F56" s="1432"/>
      <c r="G56" s="129"/>
      <c r="H56" s="221"/>
      <c r="K56" s="510"/>
      <c r="L56" s="280"/>
      <c r="M56" s="271"/>
      <c r="N56" s="525"/>
      <c r="P56" s="1310"/>
      <c r="Q56" s="1310"/>
    </row>
    <row r="57" spans="1:19" s="226" customFormat="1" ht="15">
      <c r="A57" s="116"/>
      <c r="B57" s="112"/>
      <c r="C57" s="118"/>
      <c r="D57" s="112"/>
      <c r="E57" s="117"/>
      <c r="F57" s="1425"/>
      <c r="G57" s="129"/>
      <c r="H57" s="250"/>
      <c r="I57" s="511"/>
      <c r="J57" s="873"/>
      <c r="K57" s="510"/>
      <c r="L57" s="280"/>
      <c r="M57" s="271"/>
      <c r="N57" s="525"/>
      <c r="P57" s="1310"/>
      <c r="Q57" s="1310"/>
    </row>
    <row r="58" spans="1:19" s="226" customFormat="1" ht="15">
      <c r="A58" s="116"/>
      <c r="B58" s="112"/>
      <c r="C58" s="122"/>
      <c r="E58" s="115"/>
      <c r="F58" s="1433"/>
      <c r="G58" s="129"/>
      <c r="H58" s="129"/>
      <c r="I58" s="377"/>
      <c r="J58" s="129"/>
      <c r="K58" s="522"/>
      <c r="L58" s="566"/>
      <c r="M58" s="271"/>
      <c r="N58" s="525"/>
      <c r="P58" s="1310"/>
      <c r="Q58" s="1310"/>
    </row>
    <row r="59" spans="1:19" s="226" customFormat="1" ht="16.5" thickBot="1">
      <c r="A59" s="116"/>
      <c r="B59" s="112"/>
      <c r="C59" s="788" t="s">
        <v>799</v>
      </c>
      <c r="D59" s="885"/>
      <c r="E59" s="876"/>
      <c r="F59" s="1434">
        <f>+F$55+F$51+F$47+F$43+F$38</f>
        <v>5907654363.0215387</v>
      </c>
      <c r="G59" s="250"/>
      <c r="H59" s="250"/>
      <c r="I59" s="250"/>
      <c r="J59" s="250"/>
      <c r="K59" s="566"/>
      <c r="L59" s="271"/>
      <c r="M59" s="271"/>
      <c r="N59" s="525"/>
      <c r="P59" s="1310"/>
    </row>
    <row r="60" spans="1:19" s="226" customFormat="1" ht="13.5" thickTop="1">
      <c r="A60" s="116"/>
      <c r="B60" s="112"/>
      <c r="C60" s="249"/>
      <c r="D60" s="248"/>
      <c r="E60" s="115"/>
      <c r="F60" s="614"/>
      <c r="G60" s="250"/>
      <c r="H60" s="250"/>
      <c r="I60" s="250"/>
      <c r="J60" s="250"/>
      <c r="K60" s="566"/>
      <c r="L60" s="271"/>
      <c r="M60" s="271"/>
      <c r="N60" s="525"/>
    </row>
    <row r="61" spans="1:19" s="226" customFormat="1" ht="25.5">
      <c r="A61" s="116"/>
      <c r="B61" s="112"/>
      <c r="C61" s="249" t="s">
        <v>549</v>
      </c>
      <c r="D61" s="296" t="s">
        <v>550</v>
      </c>
      <c r="E61" s="247">
        <f>E55</f>
        <v>2025</v>
      </c>
      <c r="F61" s="877" t="s">
        <v>969</v>
      </c>
      <c r="G61" s="878" t="s">
        <v>553</v>
      </c>
      <c r="H61" s="877" t="s">
        <v>968</v>
      </c>
      <c r="I61" s="250"/>
      <c r="J61" s="250"/>
      <c r="K61" s="566"/>
      <c r="L61" s="271"/>
      <c r="M61" s="271"/>
      <c r="N61" s="525"/>
    </row>
    <row r="62" spans="1:19" s="226" customFormat="1" ht="15">
      <c r="A62" s="116"/>
      <c r="B62" s="112"/>
      <c r="C62" s="514" t="s">
        <v>552</v>
      </c>
      <c r="D62" s="248"/>
      <c r="E62" s="115"/>
      <c r="F62" s="1424">
        <v>444379967</v>
      </c>
      <c r="G62" s="1395">
        <v>0.66269999999999996</v>
      </c>
      <c r="H62" s="205">
        <f>F62*G62</f>
        <v>294490604.13089997</v>
      </c>
      <c r="I62" s="250"/>
      <c r="J62" s="250"/>
      <c r="K62" s="566"/>
      <c r="L62" s="271"/>
      <c r="M62" s="271"/>
      <c r="N62" s="525"/>
    </row>
    <row r="63" spans="1:19" s="226" customFormat="1" ht="13.5" thickBot="1">
      <c r="A63" s="231"/>
      <c r="B63" s="233"/>
      <c r="C63" s="232"/>
      <c r="D63" s="886"/>
      <c r="E63" s="233"/>
      <c r="F63" s="232"/>
      <c r="G63" s="232"/>
      <c r="H63" s="306"/>
      <c r="I63" s="233"/>
      <c r="J63" s="233"/>
      <c r="K63" s="523"/>
      <c r="L63" s="523"/>
      <c r="M63" s="523"/>
      <c r="N63" s="524"/>
      <c r="P63" s="112"/>
    </row>
    <row r="64" spans="1:19" s="226" customFormat="1">
      <c r="A64" s="117"/>
      <c r="B64" s="117"/>
      <c r="C64" s="118"/>
      <c r="D64" s="112"/>
      <c r="E64" s="123"/>
      <c r="F64" s="118"/>
      <c r="G64" s="118"/>
      <c r="H64" s="129"/>
      <c r="I64" s="117"/>
      <c r="J64" s="117"/>
      <c r="K64" s="510"/>
      <c r="L64" s="510"/>
      <c r="M64" s="510"/>
      <c r="N64" s="510"/>
      <c r="P64" s="1225"/>
    </row>
    <row r="65" spans="1:18" s="226" customFormat="1" ht="13.5" thickBot="1">
      <c r="A65" s="122" t="s">
        <v>645</v>
      </c>
      <c r="B65" s="243"/>
      <c r="C65" s="112"/>
      <c r="D65" s="130"/>
      <c r="E65" s="887"/>
      <c r="F65" s="888"/>
      <c r="G65" s="888"/>
      <c r="H65" s="130"/>
      <c r="I65" s="130"/>
      <c r="J65" s="130"/>
      <c r="K65" s="130"/>
      <c r="L65" s="130"/>
      <c r="M65" s="130"/>
      <c r="N65" s="130"/>
      <c r="P65" s="1225"/>
    </row>
    <row r="66" spans="1:18" s="226" customFormat="1">
      <c r="A66" s="1532" t="s">
        <v>1080</v>
      </c>
      <c r="B66" s="1533"/>
      <c r="C66" s="1533"/>
      <c r="D66" s="1533"/>
      <c r="E66" s="1533"/>
      <c r="F66" s="1534"/>
      <c r="G66" s="662"/>
      <c r="H66" s="889" t="s">
        <v>163</v>
      </c>
      <c r="I66" s="890" t="s">
        <v>162</v>
      </c>
      <c r="J66" s="890" t="s">
        <v>164</v>
      </c>
      <c r="K66" s="890" t="s">
        <v>139</v>
      </c>
      <c r="L66" s="890"/>
      <c r="M66" s="891"/>
      <c r="N66" s="892"/>
      <c r="P66" s="1225"/>
    </row>
    <row r="67" spans="1:18" s="226" customFormat="1">
      <c r="A67" s="131"/>
      <c r="B67" s="242" t="s">
        <v>838</v>
      </c>
      <c r="C67" s="130"/>
      <c r="D67" s="130"/>
      <c r="E67" s="243"/>
      <c r="F67" s="134"/>
      <c r="G67" s="893"/>
      <c r="H67" s="893"/>
      <c r="I67" s="130"/>
      <c r="J67" s="130"/>
      <c r="K67" s="358"/>
      <c r="L67" s="358"/>
      <c r="M67" s="359"/>
      <c r="N67" s="360"/>
      <c r="P67" s="1225"/>
    </row>
    <row r="68" spans="1:18" s="226" customFormat="1">
      <c r="A68" s="131"/>
      <c r="B68" s="130"/>
      <c r="C68" s="132" t="s">
        <v>277</v>
      </c>
      <c r="D68" s="130"/>
      <c r="E68" s="243"/>
      <c r="F68" s="244" t="s">
        <v>230</v>
      </c>
      <c r="G68" s="243"/>
      <c r="H68" s="1393">
        <v>38908089</v>
      </c>
      <c r="I68" s="1394"/>
      <c r="J68" s="135">
        <f>H68-I68</f>
        <v>38908089</v>
      </c>
      <c r="K68" s="894"/>
      <c r="L68" s="894"/>
      <c r="M68" s="895"/>
      <c r="N68" s="896"/>
      <c r="P68" s="1225"/>
    </row>
    <row r="69" spans="1:18" s="226" customFormat="1">
      <c r="A69" s="131"/>
      <c r="B69" s="133" t="s">
        <v>789</v>
      </c>
      <c r="C69" s="132"/>
      <c r="D69" s="130"/>
      <c r="E69" s="243"/>
      <c r="F69" s="245"/>
      <c r="G69" s="289"/>
      <c r="H69" s="893"/>
      <c r="I69" s="130"/>
      <c r="J69" s="130"/>
      <c r="K69" s="136"/>
      <c r="L69" s="136"/>
      <c r="M69" s="897"/>
      <c r="N69" s="898"/>
      <c r="O69" s="279"/>
      <c r="P69" s="1225"/>
    </row>
    <row r="70" spans="1:18" s="226" customFormat="1">
      <c r="A70" s="131"/>
      <c r="B70" s="130"/>
      <c r="C70" s="132" t="s">
        <v>806</v>
      </c>
      <c r="D70" s="130"/>
      <c r="E70" s="243"/>
      <c r="F70" s="134" t="s">
        <v>231</v>
      </c>
      <c r="G70" s="130"/>
      <c r="H70" s="1393">
        <v>0</v>
      </c>
      <c r="I70" s="1394"/>
      <c r="J70" s="135">
        <f>+H70-I70</f>
        <v>0</v>
      </c>
      <c r="K70" s="899"/>
      <c r="L70" s="899"/>
      <c r="M70" s="895"/>
      <c r="N70" s="896"/>
      <c r="O70" s="280"/>
      <c r="P70" s="108"/>
    </row>
    <row r="71" spans="1:18" s="226" customFormat="1">
      <c r="A71" s="131"/>
      <c r="B71" s="133" t="s">
        <v>750</v>
      </c>
      <c r="C71" s="132"/>
      <c r="D71" s="130"/>
      <c r="E71" s="243"/>
      <c r="F71" s="134"/>
      <c r="G71" s="130"/>
      <c r="H71" s="893"/>
      <c r="I71" s="130"/>
      <c r="J71" s="130"/>
      <c r="K71" s="358"/>
      <c r="L71" s="358"/>
      <c r="M71" s="358"/>
      <c r="N71" s="361"/>
      <c r="O71" s="792"/>
      <c r="P71" s="108"/>
    </row>
    <row r="72" spans="1:18" s="226" customFormat="1" ht="13.5" thickBot="1">
      <c r="A72" s="900"/>
      <c r="B72" s="901"/>
      <c r="C72" s="902" t="s">
        <v>805</v>
      </c>
      <c r="D72" s="246"/>
      <c r="E72" s="903"/>
      <c r="F72" s="904" t="s">
        <v>232</v>
      </c>
      <c r="G72" s="246"/>
      <c r="H72" s="1398">
        <v>2705229</v>
      </c>
      <c r="I72" s="1399"/>
      <c r="J72" s="905">
        <v>0</v>
      </c>
      <c r="K72" s="906"/>
      <c r="L72" s="906"/>
      <c r="M72" s="528"/>
      <c r="N72" s="529"/>
      <c r="P72" s="276"/>
    </row>
    <row r="73" spans="1:18" ht="15.75">
      <c r="A73" s="137"/>
      <c r="B73" s="138"/>
      <c r="C73" s="139"/>
      <c r="D73" s="140"/>
      <c r="E73" s="137"/>
      <c r="F73" s="140"/>
      <c r="G73" s="140"/>
      <c r="H73" s="135"/>
      <c r="I73" s="135"/>
      <c r="J73" s="135"/>
      <c r="K73" s="136"/>
      <c r="L73" s="136"/>
      <c r="M73" s="136"/>
      <c r="N73" s="136"/>
      <c r="P73" s="999"/>
    </row>
    <row r="74" spans="1:18" ht="13.5" thickBot="1">
      <c r="A74" s="122" t="s">
        <v>646</v>
      </c>
      <c r="O74" s="130"/>
      <c r="P74" s="276"/>
      <c r="Q74" s="130"/>
      <c r="R74" s="130"/>
    </row>
    <row r="75" spans="1:18" ht="39" thickBot="1">
      <c r="A75" s="1545" t="s">
        <v>1080</v>
      </c>
      <c r="B75" s="1546"/>
      <c r="C75" s="1546"/>
      <c r="D75" s="1546"/>
      <c r="E75" s="1546"/>
      <c r="F75" s="1547"/>
      <c r="G75" s="907"/>
      <c r="H75" s="908" t="s">
        <v>233</v>
      </c>
      <c r="I75" s="909" t="s">
        <v>234</v>
      </c>
      <c r="J75" s="909" t="s">
        <v>235</v>
      </c>
      <c r="K75" s="1548" t="s">
        <v>139</v>
      </c>
      <c r="L75" s="1549"/>
      <c r="M75" s="1549"/>
      <c r="N75" s="1550"/>
      <c r="P75" s="999"/>
    </row>
    <row r="76" spans="1:18" s="226" customFormat="1">
      <c r="A76" s="237">
        <f>'ATT H-1 '!A78</f>
        <v>44</v>
      </c>
      <c r="B76" s="141"/>
      <c r="C76" s="238" t="s">
        <v>93</v>
      </c>
      <c r="D76" s="239"/>
      <c r="E76" s="240" t="s">
        <v>888</v>
      </c>
      <c r="F76" s="641" t="s">
        <v>847</v>
      </c>
      <c r="G76" s="1331"/>
      <c r="H76" s="1078">
        <v>49562134</v>
      </c>
      <c r="I76" s="1078">
        <v>19344351</v>
      </c>
      <c r="J76" s="275">
        <f>+(I76+H76)/2</f>
        <v>34453242.5</v>
      </c>
      <c r="K76" s="362"/>
      <c r="L76" s="882"/>
      <c r="M76" s="882"/>
      <c r="N76" s="883"/>
      <c r="O76" s="1310"/>
      <c r="P76" s="276"/>
    </row>
    <row r="77" spans="1:18">
      <c r="A77" s="116"/>
      <c r="B77" s="117"/>
      <c r="C77" s="122" t="s">
        <v>301</v>
      </c>
      <c r="E77" s="118"/>
      <c r="F77" s="119"/>
      <c r="G77" s="1332"/>
      <c r="H77" s="1079">
        <f>436565+460720+460994+714663+1870639+1005331</f>
        <v>4948912</v>
      </c>
      <c r="I77" s="1079">
        <f>460720+460994+714663+1870639+1005331+5114823</f>
        <v>9627170</v>
      </c>
      <c r="J77" s="447"/>
      <c r="K77" s="272"/>
      <c r="L77" s="510"/>
      <c r="M77" s="510"/>
      <c r="N77" s="520"/>
      <c r="O77" s="1225"/>
      <c r="P77" s="276"/>
    </row>
    <row r="78" spans="1:18" ht="15.75" customHeight="1" thickBot="1">
      <c r="A78" s="218"/>
      <c r="B78" s="149"/>
      <c r="C78" s="149"/>
      <c r="D78" s="149"/>
      <c r="F78" s="234"/>
      <c r="G78" s="1332"/>
      <c r="H78" s="910">
        <v>0</v>
      </c>
      <c r="I78" s="910">
        <v>0</v>
      </c>
      <c r="J78" s="447"/>
      <c r="K78" s="1544"/>
      <c r="L78" s="1544"/>
      <c r="M78" s="1544"/>
      <c r="N78" s="520"/>
      <c r="O78" s="1225"/>
      <c r="P78" s="276"/>
    </row>
    <row r="79" spans="1:18" s="226" customFormat="1" ht="13.5" thickBot="1">
      <c r="A79" s="217"/>
      <c r="B79" s="144"/>
      <c r="C79" s="144"/>
      <c r="D79" s="144"/>
      <c r="E79" s="144"/>
      <c r="F79" s="241" t="s">
        <v>165</v>
      </c>
      <c r="G79" s="1333"/>
      <c r="H79" s="517">
        <f>+H77</f>
        <v>4948912</v>
      </c>
      <c r="I79" s="517">
        <f>I77</f>
        <v>9627170</v>
      </c>
      <c r="J79" s="253">
        <f>+(I79+H79)/2</f>
        <v>7288041</v>
      </c>
      <c r="K79" s="526"/>
      <c r="L79" s="526"/>
      <c r="M79" s="526"/>
      <c r="N79" s="527"/>
      <c r="O79" s="1310"/>
      <c r="P79" s="276"/>
    </row>
    <row r="80" spans="1:18">
      <c r="O80" s="1311"/>
      <c r="P80" s="276"/>
      <c r="Q80" s="136"/>
      <c r="R80" s="136"/>
    </row>
    <row r="81" spans="1:16" ht="13.5" thickBot="1">
      <c r="A81" s="122" t="s">
        <v>236</v>
      </c>
      <c r="O81" s="1225"/>
      <c r="P81" s="276"/>
    </row>
    <row r="82" spans="1:16" s="226" customFormat="1">
      <c r="A82" s="1532" t="s">
        <v>1080</v>
      </c>
      <c r="B82" s="1533"/>
      <c r="C82" s="1533"/>
      <c r="D82" s="1533"/>
      <c r="E82" s="1533"/>
      <c r="F82" s="1534"/>
      <c r="G82" s="662"/>
      <c r="H82" s="911" t="s">
        <v>163</v>
      </c>
      <c r="I82" s="362" t="s">
        <v>237</v>
      </c>
      <c r="J82" s="362" t="s">
        <v>238</v>
      </c>
      <c r="K82" s="1541" t="s">
        <v>139</v>
      </c>
      <c r="L82" s="1535"/>
      <c r="M82" s="1535"/>
      <c r="N82" s="1536"/>
      <c r="O82" s="1310"/>
      <c r="P82" s="276"/>
    </row>
    <row r="83" spans="1:16" s="226" customFormat="1">
      <c r="A83" s="116">
        <f>'ATT H-1 '!A115</f>
        <v>66</v>
      </c>
      <c r="B83" s="143" t="s">
        <v>358</v>
      </c>
      <c r="C83" s="112"/>
      <c r="D83" s="112"/>
      <c r="E83" s="115"/>
      <c r="F83" s="119"/>
      <c r="G83" s="112"/>
      <c r="H83" s="150"/>
      <c r="I83" s="112"/>
      <c r="J83" s="112"/>
      <c r="K83" s="271"/>
      <c r="L83" s="271"/>
      <c r="M83" s="271"/>
      <c r="N83" s="521"/>
      <c r="O83" s="1310"/>
      <c r="P83" s="276"/>
    </row>
    <row r="84" spans="1:16" s="226" customFormat="1">
      <c r="A84" s="116"/>
      <c r="B84" s="117"/>
      <c r="C84" s="271" t="s">
        <v>1065</v>
      </c>
      <c r="D84" s="112"/>
      <c r="E84" s="115"/>
      <c r="F84" s="119"/>
      <c r="G84" s="112"/>
      <c r="H84" s="1335">
        <v>0</v>
      </c>
      <c r="I84" s="1007">
        <v>0</v>
      </c>
      <c r="J84" s="151">
        <f>+H84-I84</f>
        <v>0</v>
      </c>
      <c r="K84" s="271" t="s">
        <v>353</v>
      </c>
      <c r="L84" s="271"/>
      <c r="M84" s="271"/>
      <c r="N84" s="521"/>
      <c r="O84" s="512"/>
      <c r="P84" s="276"/>
    </row>
    <row r="85" spans="1:16" s="226" customFormat="1">
      <c r="A85" s="116"/>
      <c r="B85" s="117"/>
      <c r="C85" s="112" t="s">
        <v>239</v>
      </c>
      <c r="D85" s="112"/>
      <c r="E85" s="115"/>
      <c r="F85" s="119" t="s">
        <v>609</v>
      </c>
      <c r="G85" s="112"/>
      <c r="H85" s="1336">
        <v>29255012</v>
      </c>
      <c r="I85" s="1126">
        <v>102343</v>
      </c>
      <c r="J85" s="151">
        <f>+H85-I85</f>
        <v>29152669</v>
      </c>
      <c r="K85" s="271" t="s">
        <v>240</v>
      </c>
      <c r="L85" s="271"/>
      <c r="M85" s="271"/>
      <c r="N85" s="521"/>
      <c r="P85" s="276"/>
    </row>
    <row r="86" spans="1:16" s="226" customFormat="1">
      <c r="A86" s="116"/>
      <c r="B86" s="117"/>
      <c r="C86" s="112" t="s">
        <v>241</v>
      </c>
      <c r="D86" s="112"/>
      <c r="E86" s="115"/>
      <c r="F86" s="119"/>
      <c r="G86" s="112"/>
      <c r="H86" s="516"/>
      <c r="I86" s="1403">
        <f>I85-I84</f>
        <v>102343</v>
      </c>
      <c r="J86" s="112"/>
      <c r="K86" s="272"/>
      <c r="L86" s="510"/>
      <c r="M86" s="510"/>
      <c r="N86" s="520"/>
      <c r="P86" s="112"/>
    </row>
    <row r="87" spans="1:16" s="226" customFormat="1">
      <c r="A87" s="150"/>
      <c r="B87" s="112"/>
      <c r="C87" s="112"/>
      <c r="D87" s="112"/>
      <c r="E87" s="115"/>
      <c r="F87" s="119"/>
      <c r="G87" s="112"/>
      <c r="H87" s="150"/>
      <c r="I87" s="112"/>
      <c r="J87" s="112"/>
      <c r="K87" s="272"/>
      <c r="L87" s="510"/>
      <c r="M87" s="510"/>
      <c r="N87" s="520"/>
      <c r="P87" s="112"/>
    </row>
    <row r="88" spans="1:16" ht="13.5" thickBot="1">
      <c r="A88" s="125"/>
      <c r="B88" s="126"/>
      <c r="C88" s="127"/>
      <c r="D88" s="144"/>
      <c r="E88" s="126"/>
      <c r="F88" s="145"/>
      <c r="G88" s="290"/>
      <c r="H88" s="274"/>
      <c r="I88" s="146"/>
      <c r="J88" s="147"/>
      <c r="K88" s="528"/>
      <c r="L88" s="528"/>
      <c r="M88" s="528"/>
      <c r="N88" s="529"/>
    </row>
    <row r="89" spans="1:16">
      <c r="P89" s="1232"/>
    </row>
    <row r="90" spans="1:16" ht="13.5" thickBot="1">
      <c r="A90" s="122" t="s">
        <v>472</v>
      </c>
    </row>
    <row r="91" spans="1:16" ht="25.5" customHeight="1">
      <c r="A91" s="1532" t="s">
        <v>1080</v>
      </c>
      <c r="B91" s="1533"/>
      <c r="C91" s="1533"/>
      <c r="D91" s="1533"/>
      <c r="E91" s="1533"/>
      <c r="F91" s="1534"/>
      <c r="G91" s="662"/>
      <c r="H91" s="911" t="s">
        <v>847</v>
      </c>
      <c r="I91" s="362"/>
      <c r="J91" s="362"/>
      <c r="K91" s="1541" t="s">
        <v>139</v>
      </c>
      <c r="L91" s="1535"/>
      <c r="M91" s="1535"/>
      <c r="N91" s="1536"/>
    </row>
    <row r="92" spans="1:16">
      <c r="A92" s="116"/>
      <c r="B92" s="143" t="s">
        <v>358</v>
      </c>
      <c r="E92" s="115"/>
      <c r="F92" s="119"/>
      <c r="H92" s="116" t="s">
        <v>278</v>
      </c>
      <c r="K92" s="1544"/>
      <c r="L92" s="1531"/>
      <c r="M92" s="1531"/>
      <c r="N92" s="1554"/>
    </row>
    <row r="93" spans="1:16" ht="13.5" thickBot="1">
      <c r="A93" s="125">
        <f>+'ATT H-1 '!A119</f>
        <v>70</v>
      </c>
      <c r="B93" s="126"/>
      <c r="C93" s="127" t="s">
        <v>471</v>
      </c>
      <c r="D93" s="144"/>
      <c r="E93" s="126"/>
      <c r="F93" s="128" t="s">
        <v>836</v>
      </c>
      <c r="G93" s="127"/>
      <c r="H93" s="1067">
        <v>0</v>
      </c>
      <c r="I93" s="1068">
        <v>0</v>
      </c>
      <c r="J93" s="126"/>
      <c r="K93" s="1552"/>
      <c r="L93" s="1552"/>
      <c r="M93" s="1552"/>
      <c r="N93" s="1553"/>
      <c r="P93" s="1225"/>
    </row>
    <row r="94" spans="1:16">
      <c r="P94" s="1225"/>
    </row>
    <row r="95" spans="1:16" s="276" customFormat="1" ht="13.5" thickBot="1">
      <c r="A95" s="468" t="s">
        <v>647</v>
      </c>
      <c r="P95" s="1225"/>
    </row>
    <row r="96" spans="1:16" s="276" customFormat="1">
      <c r="A96" s="980" t="s">
        <v>1080</v>
      </c>
      <c r="B96" s="981"/>
      <c r="C96" s="981"/>
      <c r="D96" s="981"/>
      <c r="E96" s="981"/>
      <c r="F96" s="982" t="s">
        <v>163</v>
      </c>
      <c r="G96" s="983" t="s">
        <v>97</v>
      </c>
      <c r="H96" s="983" t="s">
        <v>847</v>
      </c>
      <c r="I96" s="984" t="s">
        <v>980</v>
      </c>
      <c r="J96" s="984" t="s">
        <v>436</v>
      </c>
      <c r="K96" s="984" t="s">
        <v>981</v>
      </c>
      <c r="L96" s="985"/>
      <c r="M96" s="986" t="s">
        <v>139</v>
      </c>
      <c r="N96" s="987"/>
      <c r="P96" s="1225"/>
    </row>
    <row r="97" spans="1:32" s="276" customFormat="1">
      <c r="A97" s="988"/>
      <c r="B97" s="468"/>
      <c r="C97" s="468"/>
      <c r="D97" s="468"/>
      <c r="E97" s="468"/>
      <c r="F97" s="989"/>
      <c r="G97" s="990"/>
      <c r="H97" s="990"/>
      <c r="L97" s="423"/>
      <c r="M97" s="991"/>
      <c r="N97" s="992"/>
      <c r="P97" s="1225"/>
    </row>
    <row r="98" spans="1:32" s="276" customFormat="1" ht="15.75">
      <c r="A98" s="988"/>
      <c r="B98" s="468"/>
      <c r="C98" s="468" t="s">
        <v>982</v>
      </c>
      <c r="D98" s="468"/>
      <c r="E98" s="468"/>
      <c r="F98" s="989"/>
      <c r="G98" s="990"/>
      <c r="H98" s="1435">
        <f>+I98+J98+K98</f>
        <v>69544.18484379747</v>
      </c>
      <c r="I98" s="1436">
        <f>+'WKSHT4 - Monthly Tx System Peak'!C25</f>
        <v>52120.18484379747</v>
      </c>
      <c r="J98" s="1436">
        <f>'WKSHT4 - Monthly Tx System Peak'!C73</f>
        <v>8952</v>
      </c>
      <c r="K98" s="1436">
        <f>+'WKSHT4 - Monthly Tx System Peak'!C50</f>
        <v>8472</v>
      </c>
      <c r="L98" s="276" t="s">
        <v>102</v>
      </c>
      <c r="M98" s="991"/>
      <c r="N98" s="992"/>
      <c r="P98" s="1225"/>
    </row>
    <row r="99" spans="1:32" s="276" customFormat="1" ht="15.75">
      <c r="A99" s="988"/>
      <c r="B99" s="468"/>
      <c r="C99" s="468" t="s">
        <v>983</v>
      </c>
      <c r="D99" s="468"/>
      <c r="E99" s="468"/>
      <c r="F99" s="989"/>
      <c r="G99" s="990"/>
      <c r="H99" s="1435">
        <f>+I99+J99+K99</f>
        <v>28041.419843651413</v>
      </c>
      <c r="I99" s="1436">
        <f>+'WKSHT4 - Monthly Tx System Peak'!C25-'WKSHT4 - Monthly Tx System Peak'!F25</f>
        <v>10617.419843651413</v>
      </c>
      <c r="J99" s="1436">
        <f>'WKSHT4 - Monthly Tx System Peak'!H73</f>
        <v>8952</v>
      </c>
      <c r="K99" s="1436">
        <f>+'WKSHT4 - Monthly Tx System Peak'!H50+'WKSHT4 - Monthly Tx System Peak'!I50</f>
        <v>8472</v>
      </c>
      <c r="L99" s="276" t="s">
        <v>102</v>
      </c>
      <c r="M99" s="991"/>
      <c r="N99" s="992"/>
      <c r="P99" s="1225"/>
    </row>
    <row r="100" spans="1:32" s="276" customFormat="1" ht="15.75">
      <c r="A100" s="988"/>
      <c r="B100" s="468"/>
      <c r="C100" s="468" t="s">
        <v>97</v>
      </c>
      <c r="D100" s="468"/>
      <c r="E100" s="468"/>
      <c r="F100" s="989"/>
      <c r="G100" s="990"/>
      <c r="H100" s="1435"/>
      <c r="I100" s="1437">
        <f>+I98/I99</f>
        <v>4.9089313233631096</v>
      </c>
      <c r="J100" s="1438">
        <f>+J98/J99</f>
        <v>1</v>
      </c>
      <c r="K100" s="1437">
        <f>+K98/K99</f>
        <v>1</v>
      </c>
      <c r="L100" s="276" t="s">
        <v>102</v>
      </c>
      <c r="M100" s="991"/>
      <c r="N100" s="992"/>
      <c r="P100" s="1225"/>
    </row>
    <row r="101" spans="1:32" s="276" customFormat="1">
      <c r="A101" s="993"/>
      <c r="B101" s="471" t="s">
        <v>781</v>
      </c>
      <c r="C101" s="469"/>
      <c r="E101" s="994"/>
      <c r="F101" s="995"/>
      <c r="G101" s="996"/>
      <c r="H101" s="997"/>
      <c r="N101" s="998"/>
      <c r="P101" s="1225"/>
      <c r="Q101" s="999"/>
    </row>
    <row r="102" spans="1:32" s="276" customFormat="1" ht="15">
      <c r="A102" s="913"/>
      <c r="B102" s="608">
        <v>1</v>
      </c>
      <c r="C102" s="609" t="s">
        <v>920</v>
      </c>
      <c r="D102" s="608"/>
      <c r="E102" s="914"/>
      <c r="F102" s="1439">
        <v>1792826</v>
      </c>
      <c r="G102" s="1000" t="s">
        <v>984</v>
      </c>
      <c r="H102" s="1442">
        <f>+K102+J102+I102</f>
        <v>4446302.0571689699</v>
      </c>
      <c r="I102" s="1443">
        <f>+I$99/$H$99*$F102*I$100</f>
        <v>3332299.9703212762</v>
      </c>
      <c r="J102" s="1443">
        <f t="shared" ref="I102:K103" si="0">+J$99/$H$99*$F102*J$100</f>
        <v>572345.42478538537</v>
      </c>
      <c r="K102" s="1443">
        <f t="shared" si="0"/>
        <v>541656.6620623084</v>
      </c>
      <c r="L102" s="608" t="s">
        <v>985</v>
      </c>
      <c r="N102" s="915"/>
      <c r="O102" s="471"/>
      <c r="P102" s="1225"/>
    </row>
    <row r="103" spans="1:32" s="276" customFormat="1" ht="15">
      <c r="A103" s="913"/>
      <c r="B103" s="608">
        <v>2</v>
      </c>
      <c r="C103" s="609" t="s">
        <v>98</v>
      </c>
      <c r="D103" s="608"/>
      <c r="E103" s="914"/>
      <c r="F103" s="1439">
        <v>98562</v>
      </c>
      <c r="G103" s="1000" t="s">
        <v>984</v>
      </c>
      <c r="H103" s="1442">
        <f>+I103+J103+K103</f>
        <v>244438.90447744957</v>
      </c>
      <c r="I103" s="1443">
        <f t="shared" si="0"/>
        <v>183195.77564961999</v>
      </c>
      <c r="J103" s="1443">
        <f t="shared" si="0"/>
        <v>31465.133681515745</v>
      </c>
      <c r="K103" s="1443">
        <f t="shared" si="0"/>
        <v>29777.995146313828</v>
      </c>
      <c r="L103" s="793" t="s">
        <v>986</v>
      </c>
      <c r="N103" s="915"/>
      <c r="O103" s="471"/>
      <c r="P103" s="1225"/>
    </row>
    <row r="104" spans="1:32" s="276" customFormat="1" ht="13.5" customHeight="1">
      <c r="A104" s="913"/>
      <c r="B104" s="608">
        <v>3</v>
      </c>
      <c r="C104" s="608" t="s">
        <v>924</v>
      </c>
      <c r="D104" s="608"/>
      <c r="E104" s="914"/>
      <c r="F104" s="1440"/>
      <c r="G104" s="1001" t="s">
        <v>987</v>
      </c>
      <c r="H104" s="1442"/>
      <c r="I104" s="1444"/>
      <c r="J104" s="1444"/>
      <c r="K104" s="1444"/>
      <c r="L104" s="608" t="s">
        <v>988</v>
      </c>
      <c r="N104" s="916"/>
      <c r="P104" s="1225"/>
    </row>
    <row r="105" spans="1:32" s="276" customFormat="1" ht="15">
      <c r="A105" s="913"/>
      <c r="B105" s="608">
        <v>4</v>
      </c>
      <c r="C105" s="609" t="s">
        <v>921</v>
      </c>
      <c r="D105" s="608"/>
      <c r="E105" s="914"/>
      <c r="F105" s="1439"/>
      <c r="G105" s="1001" t="s">
        <v>987</v>
      </c>
      <c r="H105" s="1442"/>
      <c r="I105" s="1444"/>
      <c r="J105" s="1444"/>
      <c r="K105" s="1445"/>
      <c r="L105" s="608"/>
      <c r="M105" s="608"/>
      <c r="N105" s="917"/>
      <c r="P105" s="1225"/>
    </row>
    <row r="106" spans="1:32" s="276" customFormat="1" ht="15">
      <c r="A106" s="913"/>
      <c r="B106" s="608">
        <v>5</v>
      </c>
      <c r="C106" s="608" t="s">
        <v>922</v>
      </c>
      <c r="D106" s="608"/>
      <c r="E106" s="914"/>
      <c r="F106" s="1439"/>
      <c r="G106" s="1001" t="s">
        <v>987</v>
      </c>
      <c r="H106" s="1442"/>
      <c r="I106" s="1444"/>
      <c r="J106" s="1444"/>
      <c r="K106" s="1445"/>
      <c r="L106" s="608"/>
      <c r="M106" s="608"/>
      <c r="N106" s="917"/>
      <c r="P106" s="1225"/>
    </row>
    <row r="107" spans="1:32" s="276" customFormat="1" ht="15">
      <c r="A107" s="913"/>
      <c r="B107" s="608">
        <v>6</v>
      </c>
      <c r="C107" s="609" t="s">
        <v>923</v>
      </c>
      <c r="D107" s="608"/>
      <c r="E107" s="914"/>
      <c r="F107" s="1439"/>
      <c r="G107" s="1001" t="s">
        <v>987</v>
      </c>
      <c r="H107" s="1442"/>
      <c r="I107" s="1444"/>
      <c r="J107" s="1444"/>
      <c r="K107" s="1445"/>
      <c r="L107" s="608"/>
      <c r="M107" s="608"/>
      <c r="N107" s="917"/>
      <c r="P107" s="1225"/>
    </row>
    <row r="108" spans="1:32" s="276" customFormat="1" ht="15">
      <c r="A108" s="913"/>
      <c r="B108" s="608">
        <v>7</v>
      </c>
      <c r="C108" s="609" t="s">
        <v>925</v>
      </c>
      <c r="D108" s="608"/>
      <c r="E108" s="914"/>
      <c r="F108" s="1441">
        <f>22409860-F102-F103</f>
        <v>20518472</v>
      </c>
      <c r="G108" s="1001" t="s">
        <v>989</v>
      </c>
      <c r="H108" s="1446"/>
      <c r="I108" s="1447"/>
      <c r="J108" s="1447"/>
      <c r="K108" s="1448"/>
      <c r="M108" s="608"/>
      <c r="N108" s="917"/>
      <c r="P108" s="1225"/>
    </row>
    <row r="109" spans="1:32" s="276" customFormat="1" ht="13.5" thickBot="1">
      <c r="A109" s="918">
        <f>+'ATT H-1 '!A126</f>
        <v>75</v>
      </c>
      <c r="B109" s="610">
        <v>8</v>
      </c>
      <c r="C109" s="611" t="s">
        <v>901</v>
      </c>
      <c r="D109" s="611" t="s">
        <v>610</v>
      </c>
      <c r="E109" s="612"/>
      <c r="F109" s="1002">
        <f>SUM(F102:F108)</f>
        <v>22409860</v>
      </c>
      <c r="G109" s="919"/>
      <c r="H109" s="1003">
        <f>SUM(H102:H108)</f>
        <v>4690740.961646419</v>
      </c>
      <c r="I109" s="1003">
        <f>SUM(I102:I108)</f>
        <v>3515495.7459708964</v>
      </c>
      <c r="J109" s="1003">
        <f>SUM(J102:J108)</f>
        <v>603810.55846690107</v>
      </c>
      <c r="K109" s="1003">
        <f>SUM(K102:K108)</f>
        <v>571434.6572086222</v>
      </c>
      <c r="L109" s="943"/>
      <c r="M109" s="1003"/>
      <c r="N109" s="1004"/>
      <c r="P109" s="1225"/>
    </row>
    <row r="110" spans="1:32" s="276" customFormat="1">
      <c r="A110" s="1005"/>
      <c r="B110" s="1006"/>
      <c r="C110" s="609"/>
      <c r="D110" s="609"/>
      <c r="E110" s="1005"/>
      <c r="F110" s="1007"/>
      <c r="G110" s="1008"/>
      <c r="H110" s="1009"/>
      <c r="I110" s="1009"/>
      <c r="J110" s="1009"/>
      <c r="K110" s="1009"/>
      <c r="L110" s="793"/>
      <c r="M110" s="1009"/>
      <c r="N110" s="1009"/>
      <c r="P110" s="112"/>
    </row>
    <row r="111" spans="1:32" ht="13.5" thickBot="1">
      <c r="A111" s="122" t="s">
        <v>648</v>
      </c>
      <c r="AE111" s="276"/>
      <c r="AF111" s="271"/>
    </row>
    <row r="112" spans="1:32" ht="25.5">
      <c r="A112" s="1532" t="s">
        <v>1080</v>
      </c>
      <c r="B112" s="1533"/>
      <c r="C112" s="1533"/>
      <c r="D112" s="1533"/>
      <c r="E112" s="1533"/>
      <c r="F112" s="1534"/>
      <c r="G112" s="662"/>
      <c r="H112" s="911" t="s">
        <v>163</v>
      </c>
      <c r="I112" s="362" t="s">
        <v>166</v>
      </c>
      <c r="J112" s="362" t="s">
        <v>644</v>
      </c>
      <c r="K112" s="362" t="s">
        <v>167</v>
      </c>
      <c r="L112" s="1541" t="s">
        <v>139</v>
      </c>
      <c r="M112" s="1541"/>
      <c r="N112" s="1551"/>
      <c r="AE112" s="276"/>
      <c r="AF112" s="271"/>
    </row>
    <row r="113" spans="1:14">
      <c r="A113" s="116"/>
      <c r="B113" s="143" t="s">
        <v>781</v>
      </c>
      <c r="E113" s="115"/>
      <c r="F113" s="119"/>
      <c r="H113" s="150"/>
      <c r="K113" s="112"/>
      <c r="N113" s="521"/>
    </row>
    <row r="114" spans="1:14" ht="13.5" thickBot="1">
      <c r="A114" s="971" t="s">
        <v>519</v>
      </c>
      <c r="B114" s="148"/>
      <c r="C114" s="127" t="s">
        <v>902</v>
      </c>
      <c r="D114" s="144"/>
      <c r="E114" s="920"/>
      <c r="F114" s="128" t="s">
        <v>582</v>
      </c>
      <c r="G114" s="127"/>
      <c r="H114" s="274">
        <v>179274</v>
      </c>
      <c r="I114" s="454">
        <v>0</v>
      </c>
      <c r="J114" s="1256">
        <v>0</v>
      </c>
      <c r="K114" s="126">
        <v>0</v>
      </c>
      <c r="L114" s="796"/>
      <c r="M114" s="796" t="s">
        <v>658</v>
      </c>
      <c r="N114" s="797"/>
    </row>
    <row r="117" spans="1:14" ht="13.5" thickBot="1">
      <c r="A117" s="122" t="s">
        <v>649</v>
      </c>
    </row>
    <row r="118" spans="1:14" ht="51">
      <c r="A118" s="1532" t="s">
        <v>1080</v>
      </c>
      <c r="B118" s="1533"/>
      <c r="C118" s="1533"/>
      <c r="D118" s="1533"/>
      <c r="E118" s="1533"/>
      <c r="F118" s="1534"/>
      <c r="G118" s="662"/>
      <c r="H118" s="911" t="str">
        <f>+C120</f>
        <v>Excluded Transmission Facilities - Colstrip Facilities</v>
      </c>
      <c r="I118" s="1541" t="s">
        <v>170</v>
      </c>
      <c r="J118" s="1542"/>
      <c r="K118" s="1542"/>
      <c r="L118" s="1542"/>
      <c r="M118" s="1542"/>
      <c r="N118" s="1543"/>
    </row>
    <row r="119" spans="1:14">
      <c r="A119" s="218"/>
      <c r="B119" s="122" t="s">
        <v>783</v>
      </c>
      <c r="C119" s="143"/>
      <c r="D119" s="143"/>
      <c r="E119" s="912"/>
      <c r="F119" s="921"/>
      <c r="G119" s="922"/>
      <c r="H119" s="150"/>
      <c r="N119" s="521"/>
    </row>
    <row r="120" spans="1:14">
      <c r="A120" s="116">
        <f>'ATT H-1 '!A259</f>
        <v>158</v>
      </c>
      <c r="B120" s="117"/>
      <c r="C120" s="118" t="s">
        <v>256</v>
      </c>
      <c r="D120" s="143" t="s">
        <v>871</v>
      </c>
      <c r="E120" s="123"/>
      <c r="F120" s="124"/>
      <c r="G120" s="118"/>
      <c r="H120" s="923">
        <f>'WKSHT3 - All GIFs'!C8</f>
        <v>4440000</v>
      </c>
      <c r="I120" s="1544" t="s">
        <v>242</v>
      </c>
      <c r="J120" s="1555"/>
      <c r="K120" s="1555"/>
      <c r="L120" s="1555"/>
      <c r="M120" s="1555"/>
      <c r="N120" s="1556"/>
    </row>
    <row r="121" spans="1:14">
      <c r="A121" s="116"/>
      <c r="B121" s="117"/>
      <c r="C121" s="118" t="s">
        <v>257</v>
      </c>
      <c r="D121" s="143" t="s">
        <v>871</v>
      </c>
      <c r="E121" s="123"/>
      <c r="F121" s="124"/>
      <c r="G121" s="118"/>
      <c r="H121" s="923">
        <f>'WKSHT3 - All GIFs'!C87</f>
        <v>199415000</v>
      </c>
      <c r="I121" s="272"/>
      <c r="J121" s="113"/>
      <c r="K121" s="510"/>
      <c r="L121" s="510"/>
      <c r="M121" s="510"/>
      <c r="N121" s="520"/>
    </row>
    <row r="122" spans="1:14">
      <c r="A122" s="116"/>
      <c r="B122" s="117"/>
      <c r="C122" s="514" t="s">
        <v>992</v>
      </c>
      <c r="D122" s="143" t="s">
        <v>871</v>
      </c>
      <c r="E122" s="123"/>
      <c r="F122" s="124"/>
      <c r="G122" s="118"/>
      <c r="H122" s="923">
        <v>0</v>
      </c>
      <c r="I122" s="272"/>
      <c r="J122" s="113"/>
      <c r="K122" s="510"/>
      <c r="L122" s="510"/>
      <c r="M122" s="510"/>
      <c r="N122" s="520"/>
    </row>
    <row r="123" spans="1:14">
      <c r="A123" s="116"/>
      <c r="B123" s="117"/>
      <c r="C123" s="118" t="s">
        <v>847</v>
      </c>
      <c r="D123" s="143"/>
      <c r="E123" s="123"/>
      <c r="F123" s="124"/>
      <c r="G123" s="118"/>
      <c r="H123" s="924">
        <f>SUM(H120:H122)</f>
        <v>203855000</v>
      </c>
      <c r="I123" s="272"/>
      <c r="J123" s="113"/>
      <c r="K123" s="510"/>
      <c r="L123" s="510"/>
      <c r="M123" s="510"/>
      <c r="N123" s="520"/>
    </row>
    <row r="124" spans="1:14" ht="13.5" thickBot="1">
      <c r="A124" s="217"/>
      <c r="B124" s="144"/>
      <c r="C124" s="144"/>
      <c r="D124" s="144"/>
      <c r="E124" s="144"/>
      <c r="F124" s="925"/>
      <c r="G124" s="144"/>
      <c r="H124" s="217"/>
      <c r="I124" s="144"/>
      <c r="J124" s="144"/>
      <c r="K124" s="526"/>
      <c r="L124" s="926" t="s">
        <v>171</v>
      </c>
      <c r="M124" s="526"/>
      <c r="N124" s="527"/>
    </row>
    <row r="125" spans="1:14">
      <c r="L125" s="143"/>
    </row>
    <row r="126" spans="1:14" ht="13.5" thickBot="1">
      <c r="A126" s="122" t="s">
        <v>869</v>
      </c>
    </row>
    <row r="127" spans="1:14" ht="49.5" customHeight="1">
      <c r="A127" s="1532" t="s">
        <v>1080</v>
      </c>
      <c r="B127" s="1533"/>
      <c r="C127" s="1533"/>
      <c r="D127" s="1533"/>
      <c r="E127" s="1533"/>
      <c r="F127" s="1534"/>
      <c r="G127" s="801"/>
      <c r="H127" s="362" t="s">
        <v>233</v>
      </c>
      <c r="I127" s="362" t="s">
        <v>234</v>
      </c>
      <c r="J127" s="362" t="s">
        <v>235</v>
      </c>
      <c r="K127" s="362" t="s">
        <v>873</v>
      </c>
      <c r="L127" s="362" t="s">
        <v>279</v>
      </c>
      <c r="M127" s="362" t="s">
        <v>139</v>
      </c>
      <c r="N127" s="883"/>
    </row>
    <row r="128" spans="1:14">
      <c r="A128" s="218">
        <f>+'ATT H-1 '!A72</f>
        <v>41</v>
      </c>
      <c r="B128" s="143" t="s">
        <v>720</v>
      </c>
      <c r="E128" s="115"/>
      <c r="F128" s="119"/>
      <c r="G128" s="150"/>
      <c r="H128" s="151"/>
      <c r="I128" s="151" t="s">
        <v>169</v>
      </c>
      <c r="J128" s="151"/>
      <c r="K128" s="530"/>
      <c r="L128" s="530"/>
      <c r="N128" s="521"/>
    </row>
    <row r="129" spans="1:15">
      <c r="A129" s="116"/>
      <c r="B129" s="112" t="s">
        <v>872</v>
      </c>
      <c r="D129" s="142"/>
      <c r="E129" s="115"/>
      <c r="F129" s="119"/>
      <c r="G129" s="150"/>
      <c r="K129" s="927"/>
      <c r="N129" s="521"/>
      <c r="O129" s="271"/>
    </row>
    <row r="130" spans="1:15">
      <c r="A130" s="116"/>
      <c r="B130" s="143"/>
      <c r="C130" s="976" t="s">
        <v>408</v>
      </c>
      <c r="E130" s="115"/>
      <c r="F130" s="119"/>
      <c r="G130" s="150"/>
      <c r="H130" s="1315">
        <v>15805497.640000001</v>
      </c>
      <c r="I130" s="1315">
        <v>17964898.460000001</v>
      </c>
      <c r="J130" s="1191"/>
      <c r="K130" s="1194"/>
      <c r="L130" s="1195"/>
      <c r="M130" s="1195"/>
      <c r="N130" s="521"/>
      <c r="O130" s="271"/>
    </row>
    <row r="131" spans="1:15">
      <c r="A131" s="116"/>
      <c r="B131" s="143"/>
      <c r="C131" s="976" t="s">
        <v>430</v>
      </c>
      <c r="E131" s="115"/>
      <c r="F131" s="119"/>
      <c r="G131" s="150"/>
      <c r="H131" s="1315">
        <v>463809.99</v>
      </c>
      <c r="I131" s="1315">
        <v>451287.24</v>
      </c>
      <c r="J131" s="1191"/>
      <c r="K131" s="1194"/>
      <c r="L131" s="1195"/>
      <c r="M131" s="1195"/>
      <c r="N131" s="521"/>
      <c r="O131" s="271"/>
    </row>
    <row r="132" spans="1:15">
      <c r="A132" s="116"/>
      <c r="B132" s="143"/>
      <c r="C132" s="1191"/>
      <c r="D132" s="142"/>
      <c r="E132" s="115"/>
      <c r="F132" s="119"/>
      <c r="G132" s="150"/>
      <c r="H132" s="1196"/>
      <c r="I132" s="1196"/>
      <c r="J132" s="1196"/>
      <c r="K132" s="1194"/>
      <c r="L132" s="1195"/>
      <c r="M132" s="1195"/>
      <c r="N132" s="521"/>
      <c r="O132" s="271"/>
    </row>
    <row r="133" spans="1:15">
      <c r="A133" s="116"/>
      <c r="B133" s="143"/>
      <c r="C133" s="1191" t="s">
        <v>847</v>
      </c>
      <c r="E133" s="112" t="s">
        <v>268</v>
      </c>
      <c r="F133" s="119"/>
      <c r="G133" s="150"/>
      <c r="H133" s="1197">
        <f>SUM(H130:H131)</f>
        <v>16269307.630000001</v>
      </c>
      <c r="I133" s="1197">
        <f>SUM(I130:I131)</f>
        <v>18416185.699999999</v>
      </c>
      <c r="J133" s="1198">
        <f>(I133+H133)/2</f>
        <v>17342746.664999999</v>
      </c>
      <c r="K133" s="1199">
        <v>1</v>
      </c>
      <c r="L133" s="1070">
        <f>+J133*K133</f>
        <v>17342746.664999999</v>
      </c>
      <c r="M133" s="1195" t="s">
        <v>431</v>
      </c>
      <c r="N133" s="521"/>
      <c r="O133" s="271"/>
    </row>
    <row r="134" spans="1:15">
      <c r="A134" s="116"/>
      <c r="B134" s="143"/>
      <c r="C134" s="1191"/>
      <c r="E134" s="115"/>
      <c r="F134" s="119"/>
      <c r="G134" s="150"/>
      <c r="H134" s="1197"/>
      <c r="I134" s="1197"/>
      <c r="J134" s="1197"/>
      <c r="K134" s="1194"/>
      <c r="L134" s="1200"/>
      <c r="M134" s="1195"/>
      <c r="N134" s="521"/>
    </row>
    <row r="135" spans="1:15" ht="16.5" customHeight="1">
      <c r="A135" s="116"/>
      <c r="B135" s="112" t="s">
        <v>362</v>
      </c>
      <c r="C135" s="1191"/>
      <c r="D135" s="142"/>
      <c r="E135" s="115"/>
      <c r="F135" s="119"/>
      <c r="G135" s="150"/>
      <c r="H135" s="1197"/>
      <c r="I135" s="1197"/>
      <c r="J135" s="1197"/>
      <c r="K135" s="1195"/>
      <c r="L135" s="1195"/>
      <c r="M135" s="1195"/>
      <c r="N135" s="521"/>
    </row>
    <row r="136" spans="1:15">
      <c r="A136" s="116"/>
      <c r="C136" s="976" t="s">
        <v>258</v>
      </c>
      <c r="D136" s="41"/>
      <c r="E136" s="445"/>
      <c r="F136" s="119"/>
      <c r="G136" s="150"/>
      <c r="H136" s="1193">
        <v>7630663.7400000002</v>
      </c>
      <c r="I136" s="1193">
        <v>8852526.3399999999</v>
      </c>
      <c r="J136" s="1198">
        <f t="shared" ref="J136:J148" si="1">(I136+H136)/2</f>
        <v>8241595.04</v>
      </c>
      <c r="K136" s="1201"/>
      <c r="L136" s="1200"/>
      <c r="M136" s="1195"/>
      <c r="N136" s="521"/>
    </row>
    <row r="137" spans="1:15" ht="16.5" customHeight="1">
      <c r="A137" s="116"/>
      <c r="C137" s="976" t="s">
        <v>259</v>
      </c>
      <c r="D137" s="41"/>
      <c r="E137" s="445"/>
      <c r="F137" s="119"/>
      <c r="G137" s="150"/>
      <c r="H137" s="1193">
        <v>21722478.09</v>
      </c>
      <c r="I137" s="1193">
        <v>35114173.530000001</v>
      </c>
      <c r="J137" s="1198">
        <f t="shared" si="1"/>
        <v>28418325.810000002</v>
      </c>
      <c r="K137" s="1201"/>
      <c r="L137" s="1200"/>
      <c r="M137" s="1195"/>
      <c r="N137" s="521"/>
    </row>
    <row r="138" spans="1:15" ht="16.5" customHeight="1">
      <c r="A138" s="116"/>
      <c r="B138" s="143"/>
      <c r="C138" s="976" t="s">
        <v>1322</v>
      </c>
      <c r="E138" s="115"/>
      <c r="F138" s="119"/>
      <c r="G138" s="150"/>
      <c r="H138" s="1193">
        <v>2810384.71</v>
      </c>
      <c r="I138" s="1193">
        <v>2388224</v>
      </c>
      <c r="J138" s="1198">
        <f t="shared" si="1"/>
        <v>2599304.355</v>
      </c>
      <c r="K138" s="1201"/>
      <c r="L138" s="1200"/>
      <c r="M138" s="1195"/>
      <c r="N138" s="521"/>
    </row>
    <row r="139" spans="1:15" ht="16.5" customHeight="1">
      <c r="A139" s="116"/>
      <c r="B139" s="143"/>
      <c r="C139" s="976" t="s">
        <v>1261</v>
      </c>
      <c r="D139" s="503"/>
      <c r="E139" s="115"/>
      <c r="F139" s="119"/>
      <c r="G139" s="150"/>
      <c r="H139" s="1193">
        <v>2664000</v>
      </c>
      <c r="I139" s="1193">
        <v>2523000</v>
      </c>
      <c r="J139" s="1198">
        <f t="shared" si="1"/>
        <v>2593500</v>
      </c>
      <c r="K139" s="1201"/>
      <c r="L139" s="1200"/>
      <c r="M139" s="1195"/>
      <c r="N139" s="521"/>
    </row>
    <row r="140" spans="1:15" ht="16.5" customHeight="1">
      <c r="A140" s="116"/>
      <c r="B140" s="143"/>
      <c r="C140" s="976" t="s">
        <v>1262</v>
      </c>
      <c r="D140" s="503"/>
      <c r="E140" s="115"/>
      <c r="F140" s="119"/>
      <c r="G140" s="150"/>
      <c r="H140" s="1193">
        <v>9182310.9299999997</v>
      </c>
      <c r="I140" s="1193">
        <v>9918513.0399999991</v>
      </c>
      <c r="J140" s="1198">
        <f t="shared" si="1"/>
        <v>9550411.9849999994</v>
      </c>
      <c r="K140" s="1201"/>
      <c r="L140" s="1200"/>
      <c r="M140" s="1195"/>
      <c r="N140" s="521"/>
    </row>
    <row r="141" spans="1:15" ht="16.5" customHeight="1">
      <c r="A141" s="116"/>
      <c r="B141" s="143"/>
      <c r="C141" s="976" t="s">
        <v>1263</v>
      </c>
      <c r="D141" s="504"/>
      <c r="E141" s="115"/>
      <c r="F141" s="119"/>
      <c r="G141" s="150"/>
      <c r="H141" s="1193">
        <v>2081675.99</v>
      </c>
      <c r="I141" s="1193">
        <v>2669140.46</v>
      </c>
      <c r="J141" s="1198">
        <f t="shared" si="1"/>
        <v>2375408.2250000001</v>
      </c>
      <c r="K141" s="1201"/>
      <c r="L141" s="1200"/>
      <c r="M141" s="1195"/>
      <c r="N141" s="521"/>
    </row>
    <row r="142" spans="1:15" ht="16.5" customHeight="1">
      <c r="A142" s="116"/>
      <c r="B142" s="143"/>
      <c r="C142" s="976" t="s">
        <v>84</v>
      </c>
      <c r="D142" s="504"/>
      <c r="E142" s="115"/>
      <c r="F142" s="119"/>
      <c r="G142" s="150"/>
      <c r="H142" s="1193">
        <v>-235000</v>
      </c>
      <c r="I142" s="1193"/>
      <c r="J142" s="1198">
        <f t="shared" si="1"/>
        <v>-117500</v>
      </c>
      <c r="K142" s="1201"/>
      <c r="L142" s="1200"/>
      <c r="M142" s="1195"/>
      <c r="N142" s="521"/>
    </row>
    <row r="143" spans="1:15" ht="16.5" customHeight="1">
      <c r="A143" s="116"/>
      <c r="B143" s="143"/>
      <c r="C143" s="976" t="s">
        <v>85</v>
      </c>
      <c r="D143" s="504"/>
      <c r="E143" s="115"/>
      <c r="F143" s="119"/>
      <c r="G143" s="150"/>
      <c r="H143" s="1193">
        <v>25951435.050000001</v>
      </c>
      <c r="I143" s="1193">
        <v>23053516.68</v>
      </c>
      <c r="J143" s="1198">
        <f t="shared" si="1"/>
        <v>24502475.865000002</v>
      </c>
      <c r="K143" s="1201"/>
      <c r="L143" s="1200"/>
      <c r="M143" s="1195"/>
      <c r="N143" s="521"/>
    </row>
    <row r="144" spans="1:15" ht="16.5" customHeight="1">
      <c r="A144" s="116"/>
      <c r="B144" s="143"/>
      <c r="C144" s="1192" t="s">
        <v>86</v>
      </c>
      <c r="E144" s="115"/>
      <c r="F144" s="119"/>
      <c r="G144" s="150"/>
      <c r="H144" s="1193">
        <v>1976363.78</v>
      </c>
      <c r="I144" s="1193">
        <v>1578656.62</v>
      </c>
      <c r="J144" s="1198">
        <f t="shared" si="1"/>
        <v>1777510.2000000002</v>
      </c>
      <c r="K144" s="1201"/>
      <c r="L144" s="1200"/>
      <c r="M144" s="1195"/>
      <c r="N144" s="521"/>
    </row>
    <row r="145" spans="1:15" ht="16.5" customHeight="1">
      <c r="A145" s="116"/>
      <c r="B145" s="143"/>
      <c r="C145" s="1192" t="s">
        <v>520</v>
      </c>
      <c r="E145" s="115"/>
      <c r="F145" s="119"/>
      <c r="G145" s="150"/>
      <c r="H145" s="1193">
        <v>-195703851.97999999</v>
      </c>
      <c r="I145" s="1193">
        <v>-266441415.97999999</v>
      </c>
      <c r="J145" s="1198">
        <f t="shared" si="1"/>
        <v>-231072633.97999999</v>
      </c>
      <c r="K145" s="1201"/>
      <c r="L145" s="1200"/>
      <c r="M145" s="1195"/>
      <c r="N145" s="521"/>
    </row>
    <row r="146" spans="1:15" ht="16.5" customHeight="1">
      <c r="A146" s="116"/>
      <c r="B146" s="143"/>
      <c r="C146" s="1192"/>
      <c r="E146" s="115"/>
      <c r="F146" s="119"/>
      <c r="G146" s="150"/>
      <c r="H146" s="1193"/>
      <c r="I146" s="1193"/>
      <c r="J146" s="1198">
        <f t="shared" si="1"/>
        <v>0</v>
      </c>
      <c r="K146" s="1201"/>
      <c r="L146" s="1200"/>
      <c r="M146" s="1195"/>
      <c r="N146" s="521"/>
    </row>
    <row r="147" spans="1:15" ht="16.5" customHeight="1">
      <c r="A147" s="116"/>
      <c r="B147" s="143"/>
      <c r="C147" s="1283"/>
      <c r="E147" s="115"/>
      <c r="F147" s="119"/>
      <c r="G147" s="150"/>
      <c r="H147" s="1193"/>
      <c r="I147" s="1193"/>
      <c r="J147" s="1198">
        <f t="shared" si="1"/>
        <v>0</v>
      </c>
      <c r="K147" s="1201"/>
      <c r="L147" s="1200"/>
      <c r="M147" s="1195"/>
      <c r="N147" s="521"/>
    </row>
    <row r="148" spans="1:15" ht="16.5" customHeight="1">
      <c r="A148" s="116"/>
      <c r="B148" s="143"/>
      <c r="C148" s="1192"/>
      <c r="E148" s="115"/>
      <c r="F148" s="119"/>
      <c r="G148" s="150"/>
      <c r="H148" s="1202"/>
      <c r="I148" s="1202"/>
      <c r="J148" s="1198">
        <f t="shared" si="1"/>
        <v>0</v>
      </c>
      <c r="K148" s="1201"/>
      <c r="L148" s="1200"/>
      <c r="M148" s="1195"/>
      <c r="N148" s="521"/>
    </row>
    <row r="149" spans="1:15" ht="16.5" customHeight="1">
      <c r="A149" s="116"/>
      <c r="B149" s="143"/>
      <c r="C149" s="1191"/>
      <c r="E149" s="119" t="s">
        <v>267</v>
      </c>
      <c r="F149" s="119"/>
      <c r="G149" s="150"/>
      <c r="H149" s="1197">
        <f>SUM(H136:H148)</f>
        <v>-121919539.68999998</v>
      </c>
      <c r="I149" s="1197">
        <f>SUM(I136:I148)</f>
        <v>-180343665.30999997</v>
      </c>
      <c r="J149" s="1198">
        <f>(I149+H149)/2</f>
        <v>-151131602.49999997</v>
      </c>
      <c r="K149" s="1199">
        <f>+'ATT H-1 '!H13</f>
        <v>9.4526491474223637E-2</v>
      </c>
      <c r="L149" s="1070">
        <f>+J149*K149</f>
        <v>-14285940.135202004</v>
      </c>
      <c r="M149" s="1195"/>
      <c r="N149" s="521"/>
      <c r="O149" s="271"/>
    </row>
    <row r="150" spans="1:15" ht="16.5" customHeight="1">
      <c r="A150" s="116"/>
      <c r="B150" s="143"/>
      <c r="C150" s="1191"/>
      <c r="E150" s="115"/>
      <c r="F150" s="119"/>
      <c r="G150" s="150"/>
      <c r="H150" s="1197"/>
      <c r="I150" s="1197"/>
      <c r="J150" s="1197"/>
      <c r="K150" s="1199"/>
      <c r="L150" s="1200"/>
      <c r="M150" s="1195"/>
      <c r="N150" s="521"/>
      <c r="O150" s="271"/>
    </row>
    <row r="151" spans="1:15" ht="16.5" customHeight="1">
      <c r="A151" s="116"/>
      <c r="B151" s="112" t="s">
        <v>168</v>
      </c>
      <c r="C151" s="1191"/>
      <c r="E151" s="115"/>
      <c r="F151" s="119"/>
      <c r="G151" s="150"/>
      <c r="H151" s="1197"/>
      <c r="I151" s="1197"/>
      <c r="J151" s="1197"/>
      <c r="K151" s="1195"/>
      <c r="L151" s="1195"/>
      <c r="M151" s="1195"/>
      <c r="N151" s="521"/>
      <c r="O151" s="271"/>
    </row>
    <row r="152" spans="1:15" ht="16.5" customHeight="1">
      <c r="A152" s="116"/>
      <c r="B152" s="143"/>
      <c r="C152" s="1191" t="s">
        <v>1175</v>
      </c>
      <c r="E152" s="115" t="s">
        <v>269</v>
      </c>
      <c r="F152" s="119"/>
      <c r="G152" s="150"/>
      <c r="H152" s="1197">
        <v>55504.02</v>
      </c>
      <c r="I152" s="1197">
        <v>22899.46</v>
      </c>
      <c r="J152" s="1198">
        <f t="shared" ref="J152:J194" si="2">(I152+H152)/2</f>
        <v>39201.74</v>
      </c>
      <c r="K152" s="1195"/>
      <c r="L152" s="1195"/>
      <c r="M152" s="1203"/>
      <c r="N152" s="521"/>
      <c r="O152" s="271"/>
    </row>
    <row r="153" spans="1:15" ht="16.5" customHeight="1">
      <c r="A153" s="116"/>
      <c r="B153" s="143"/>
      <c r="C153" s="1191" t="s">
        <v>1176</v>
      </c>
      <c r="E153" s="115"/>
      <c r="F153" s="119"/>
      <c r="G153" s="150"/>
      <c r="H153" s="1197">
        <v>130868.56</v>
      </c>
      <c r="I153" s="1197">
        <v>302004.38</v>
      </c>
      <c r="J153" s="1198">
        <f t="shared" si="2"/>
        <v>216436.47</v>
      </c>
      <c r="K153" s="1199"/>
      <c r="L153" s="1200"/>
      <c r="M153" s="1203"/>
      <c r="N153" s="521"/>
    </row>
    <row r="154" spans="1:15" ht="16.5" customHeight="1">
      <c r="A154" s="116"/>
      <c r="B154" s="143"/>
      <c r="C154" s="1191" t="s">
        <v>1202</v>
      </c>
      <c r="E154" s="115"/>
      <c r="F154" s="119"/>
      <c r="G154" s="150"/>
      <c r="H154" s="1197">
        <v>1409924.92</v>
      </c>
      <c r="I154" s="1197">
        <v>1396776.22</v>
      </c>
      <c r="J154" s="1198">
        <f t="shared" si="2"/>
        <v>1403350.5699999998</v>
      </c>
      <c r="K154" s="1199"/>
      <c r="L154" s="1200"/>
      <c r="M154" s="1203"/>
      <c r="N154" s="521"/>
    </row>
    <row r="155" spans="1:15" ht="16.5" customHeight="1">
      <c r="A155" s="116"/>
      <c r="B155" s="143"/>
      <c r="C155" s="1191" t="s">
        <v>1264</v>
      </c>
      <c r="E155" s="115"/>
      <c r="F155" s="119"/>
      <c r="G155" s="150"/>
      <c r="H155" s="1197">
        <v>33114.35</v>
      </c>
      <c r="I155" s="1197">
        <v>33577.31</v>
      </c>
      <c r="J155" s="1198">
        <f t="shared" si="2"/>
        <v>33345.83</v>
      </c>
      <c r="K155" s="1199"/>
      <c r="L155" s="1200"/>
      <c r="M155" s="1203"/>
      <c r="N155" s="521"/>
    </row>
    <row r="156" spans="1:15" ht="16.5" customHeight="1">
      <c r="A156" s="116"/>
      <c r="B156" s="143"/>
      <c r="C156" s="1191" t="s">
        <v>1177</v>
      </c>
      <c r="E156" s="115"/>
      <c r="F156" s="119"/>
      <c r="G156" s="150"/>
      <c r="H156" s="1197">
        <v>370386.63</v>
      </c>
      <c r="I156" s="1197">
        <v>378789.75</v>
      </c>
      <c r="J156" s="1198">
        <f t="shared" si="2"/>
        <v>374588.19</v>
      </c>
      <c r="K156" s="1199"/>
      <c r="L156" s="1200"/>
      <c r="M156" s="1203"/>
      <c r="N156" s="521"/>
    </row>
    <row r="157" spans="1:15" ht="16.5" customHeight="1">
      <c r="A157" s="116"/>
      <c r="B157" s="143"/>
      <c r="C157" s="1191" t="s">
        <v>1178</v>
      </c>
      <c r="E157" s="115"/>
      <c r="F157" s="119"/>
      <c r="G157" s="150"/>
      <c r="H157" s="1197">
        <v>125757.35</v>
      </c>
      <c r="I157" s="1197">
        <v>155023.35</v>
      </c>
      <c r="J157" s="1198">
        <f t="shared" si="2"/>
        <v>140390.35</v>
      </c>
      <c r="K157" s="1199"/>
      <c r="L157" s="1200"/>
      <c r="M157" s="1203"/>
      <c r="N157" s="521"/>
    </row>
    <row r="158" spans="1:15" ht="16.5" customHeight="1">
      <c r="A158" s="116"/>
      <c r="B158" s="143"/>
      <c r="C158" s="1191" t="s">
        <v>1179</v>
      </c>
      <c r="E158" s="115"/>
      <c r="F158" s="119"/>
      <c r="G158" s="150"/>
      <c r="H158" s="1197">
        <v>125757.35</v>
      </c>
      <c r="I158" s="1197">
        <v>155023.35</v>
      </c>
      <c r="J158" s="1198">
        <f t="shared" si="2"/>
        <v>140390.35</v>
      </c>
      <c r="K158" s="1199"/>
      <c r="L158" s="1200"/>
      <c r="M158" s="1203"/>
      <c r="N158" s="521"/>
    </row>
    <row r="159" spans="1:15" ht="16.5" customHeight="1">
      <c r="A159" s="116"/>
      <c r="B159" s="143"/>
      <c r="C159" s="1191" t="s">
        <v>1180</v>
      </c>
      <c r="E159" s="115"/>
      <c r="F159" s="119"/>
      <c r="G159" s="150"/>
      <c r="H159" s="1197">
        <v>29543.9</v>
      </c>
      <c r="I159" s="1197">
        <v>45339.25</v>
      </c>
      <c r="J159" s="1198">
        <f t="shared" si="2"/>
        <v>37441.574999999997</v>
      </c>
      <c r="K159" s="1195"/>
      <c r="L159" s="1200"/>
      <c r="M159" s="1203"/>
      <c r="N159" s="521"/>
    </row>
    <row r="160" spans="1:15" ht="16.5" customHeight="1">
      <c r="A160" s="116"/>
      <c r="B160" s="143"/>
      <c r="C160" s="1191" t="s">
        <v>1181</v>
      </c>
      <c r="E160" s="115"/>
      <c r="F160" s="119"/>
      <c r="G160" s="150"/>
      <c r="H160" s="1197">
        <v>29543.9</v>
      </c>
      <c r="I160" s="1197">
        <v>45339.25</v>
      </c>
      <c r="J160" s="1198">
        <f t="shared" si="2"/>
        <v>37441.574999999997</v>
      </c>
      <c r="K160" s="1195"/>
      <c r="L160" s="1200"/>
      <c r="M160" s="1203"/>
      <c r="N160" s="521"/>
    </row>
    <row r="161" spans="1:16" ht="16.5" customHeight="1">
      <c r="A161" s="116"/>
      <c r="B161" s="143"/>
      <c r="C161" s="1191" t="s">
        <v>1182</v>
      </c>
      <c r="E161" s="115"/>
      <c r="F161" s="119"/>
      <c r="G161" s="150"/>
      <c r="H161" s="1197">
        <v>7343601.7699999996</v>
      </c>
      <c r="I161" s="1197">
        <v>7302189.4400000004</v>
      </c>
      <c r="J161" s="1198">
        <f t="shared" si="2"/>
        <v>7322895.6050000004</v>
      </c>
      <c r="K161" s="1195"/>
      <c r="L161" s="1200"/>
      <c r="M161" s="1203"/>
      <c r="N161" s="521"/>
    </row>
    <row r="162" spans="1:16" ht="16.5" customHeight="1">
      <c r="A162" s="116"/>
      <c r="B162" s="143"/>
      <c r="C162" s="1195" t="s">
        <v>1265</v>
      </c>
      <c r="E162" s="115"/>
      <c r="F162" s="119"/>
      <c r="G162" s="150"/>
      <c r="H162" s="1197">
        <v>418566.31</v>
      </c>
      <c r="I162" s="1197">
        <v>431123.29</v>
      </c>
      <c r="J162" s="1198">
        <f t="shared" si="2"/>
        <v>424844.79999999999</v>
      </c>
      <c r="K162" s="1195"/>
      <c r="L162" s="1200"/>
      <c r="M162" s="1203"/>
      <c r="N162" s="521"/>
    </row>
    <row r="163" spans="1:16" ht="16.5" customHeight="1">
      <c r="A163" s="116"/>
      <c r="B163" s="143"/>
      <c r="C163" s="1191" t="s">
        <v>1266</v>
      </c>
      <c r="E163" s="115"/>
      <c r="F163" s="119"/>
      <c r="G163" s="150"/>
      <c r="H163" s="1197">
        <v>123963.65</v>
      </c>
      <c r="I163" s="1197">
        <v>127682.54</v>
      </c>
      <c r="J163" s="1198">
        <f t="shared" si="2"/>
        <v>125823.095</v>
      </c>
      <c r="K163" s="1195"/>
      <c r="L163" s="1200"/>
      <c r="M163" s="1203"/>
      <c r="N163" s="521"/>
    </row>
    <row r="164" spans="1:16" ht="16.5" customHeight="1">
      <c r="A164" s="116"/>
      <c r="B164" s="143"/>
      <c r="C164" s="1191" t="s">
        <v>1267</v>
      </c>
      <c r="E164" s="115"/>
      <c r="F164" s="119"/>
      <c r="G164" s="150"/>
      <c r="H164" s="1197">
        <v>123963.56</v>
      </c>
      <c r="I164" s="1197">
        <v>127682.45</v>
      </c>
      <c r="J164" s="1198">
        <f t="shared" si="2"/>
        <v>125823.005</v>
      </c>
      <c r="K164" s="1195"/>
      <c r="L164" s="1200"/>
      <c r="M164" s="1203"/>
      <c r="N164" s="521"/>
    </row>
    <row r="165" spans="1:16" ht="16.5" customHeight="1">
      <c r="A165" s="116"/>
      <c r="B165" s="143"/>
      <c r="C165" s="1191" t="s">
        <v>1268</v>
      </c>
      <c r="E165" s="115"/>
      <c r="F165" s="119"/>
      <c r="G165" s="150"/>
      <c r="H165" s="1197">
        <v>541666.71</v>
      </c>
      <c r="I165" s="1197">
        <v>541666.75</v>
      </c>
      <c r="J165" s="1198">
        <f t="shared" si="2"/>
        <v>541666.73</v>
      </c>
      <c r="K165" s="1195"/>
      <c r="L165" s="1200"/>
      <c r="M165" s="1203"/>
      <c r="N165" s="521"/>
    </row>
    <row r="166" spans="1:16" ht="16.5" customHeight="1">
      <c r="A166" s="116"/>
      <c r="B166" s="143"/>
      <c r="C166" s="1191" t="s">
        <v>1183</v>
      </c>
      <c r="E166" s="115"/>
      <c r="F166" s="119"/>
      <c r="G166" s="150"/>
      <c r="H166" s="1197">
        <v>437540.56</v>
      </c>
      <c r="I166" s="1197">
        <v>484483.18</v>
      </c>
      <c r="J166" s="1198">
        <f t="shared" si="2"/>
        <v>461011.87</v>
      </c>
      <c r="K166" s="1195"/>
      <c r="L166" s="1200"/>
      <c r="M166" s="1203"/>
      <c r="N166" s="521"/>
    </row>
    <row r="167" spans="1:16" ht="16.5" customHeight="1">
      <c r="A167" s="116"/>
      <c r="B167" s="143"/>
      <c r="C167" s="1191" t="s">
        <v>1184</v>
      </c>
      <c r="E167" s="115"/>
      <c r="F167" s="119"/>
      <c r="G167" s="150"/>
      <c r="H167" s="1197">
        <v>201565.96</v>
      </c>
      <c r="I167" s="1197">
        <v>239423.55</v>
      </c>
      <c r="J167" s="1198">
        <f t="shared" si="2"/>
        <v>220494.755</v>
      </c>
      <c r="K167" s="1195"/>
      <c r="L167" s="1200"/>
      <c r="M167" s="1203"/>
      <c r="N167" s="521"/>
    </row>
    <row r="168" spans="1:16" ht="16.5" customHeight="1">
      <c r="A168" s="116"/>
      <c r="B168" s="143"/>
      <c r="C168" s="1191" t="s">
        <v>1185</v>
      </c>
      <c r="E168" s="115"/>
      <c r="F168" s="119"/>
      <c r="G168" s="150"/>
      <c r="H168" s="1197">
        <v>209559.49</v>
      </c>
      <c r="I168" s="1197">
        <v>206552.12</v>
      </c>
      <c r="J168" s="1198">
        <f t="shared" si="2"/>
        <v>208055.80499999999</v>
      </c>
      <c r="K168" s="1195"/>
      <c r="L168" s="1200"/>
      <c r="M168" s="1203"/>
      <c r="N168" s="521"/>
    </row>
    <row r="169" spans="1:16" ht="16.5" customHeight="1">
      <c r="A169" s="116"/>
      <c r="B169" s="143"/>
      <c r="C169" s="1191" t="s">
        <v>1186</v>
      </c>
      <c r="E169" s="115"/>
      <c r="F169" s="119"/>
      <c r="G169" s="150"/>
      <c r="H169" s="1197">
        <v>98038.47</v>
      </c>
      <c r="I169" s="1197">
        <v>78675.14</v>
      </c>
      <c r="J169" s="1198">
        <f t="shared" si="2"/>
        <v>88356.804999999993</v>
      </c>
      <c r="K169" s="1195"/>
      <c r="L169" s="1200"/>
      <c r="M169" s="1203"/>
      <c r="N169" s="521"/>
    </row>
    <row r="170" spans="1:16" ht="16.5" customHeight="1">
      <c r="A170" s="116"/>
      <c r="B170" s="143"/>
      <c r="C170" s="1191" t="s">
        <v>1187</v>
      </c>
      <c r="E170" s="115"/>
      <c r="F170" s="119"/>
      <c r="G170" s="150"/>
      <c r="H170" s="1197">
        <v>146073.85999999999</v>
      </c>
      <c r="I170" s="1197">
        <v>180861.02</v>
      </c>
      <c r="J170" s="1198">
        <f t="shared" si="2"/>
        <v>163467.44</v>
      </c>
      <c r="K170" s="1195"/>
      <c r="L170" s="1200"/>
      <c r="M170" s="1203"/>
      <c r="N170" s="521"/>
      <c r="P170"/>
    </row>
    <row r="171" spans="1:16" ht="16.5" customHeight="1">
      <c r="A171" s="116"/>
      <c r="B171" s="143"/>
      <c r="C171" s="1191" t="s">
        <v>1308</v>
      </c>
      <c r="E171" s="115"/>
      <c r="F171" s="119"/>
      <c r="G171" s="150"/>
      <c r="H171" s="1197">
        <v>38970.620000000003</v>
      </c>
      <c r="I171" s="1197">
        <v>40470.99</v>
      </c>
      <c r="J171" s="1198">
        <f t="shared" si="2"/>
        <v>39720.805</v>
      </c>
      <c r="K171" s="1195"/>
      <c r="L171" s="1200"/>
      <c r="M171" s="1203"/>
      <c r="N171" s="521"/>
      <c r="P171"/>
    </row>
    <row r="172" spans="1:16" ht="16.5" customHeight="1">
      <c r="A172" s="116"/>
      <c r="B172" s="143"/>
      <c r="C172" s="1191" t="s">
        <v>1188</v>
      </c>
      <c r="E172" s="115"/>
      <c r="F172" s="119"/>
      <c r="G172" s="150"/>
      <c r="H172" s="1197">
        <v>50401.37</v>
      </c>
      <c r="I172" s="1197">
        <v>48873.23</v>
      </c>
      <c r="J172" s="1198">
        <f t="shared" si="2"/>
        <v>49637.3</v>
      </c>
      <c r="K172" s="1195"/>
      <c r="L172" s="1200"/>
      <c r="M172" s="1203"/>
      <c r="N172" s="521"/>
    </row>
    <row r="173" spans="1:16" ht="16.5" customHeight="1">
      <c r="A173" s="116"/>
      <c r="B173" s="143"/>
      <c r="C173" s="1191" t="s">
        <v>1189</v>
      </c>
      <c r="E173" s="115"/>
      <c r="F173" s="119"/>
      <c r="G173" s="150"/>
      <c r="H173" s="1197">
        <v>504078.62</v>
      </c>
      <c r="I173" s="1197">
        <v>491234.72</v>
      </c>
      <c r="J173" s="1198">
        <f t="shared" si="2"/>
        <v>497656.67</v>
      </c>
      <c r="K173" s="1195"/>
      <c r="L173" s="1200"/>
      <c r="M173" s="1203"/>
      <c r="N173" s="521"/>
    </row>
    <row r="174" spans="1:16" ht="16.5" customHeight="1">
      <c r="A174" s="116"/>
      <c r="B174" s="143"/>
      <c r="C174" s="1191" t="s">
        <v>1190</v>
      </c>
      <c r="E174" s="115"/>
      <c r="F174" s="119"/>
      <c r="G174" s="150"/>
      <c r="H174" s="1197">
        <v>149833.69</v>
      </c>
      <c r="I174" s="1197">
        <v>155602.29</v>
      </c>
      <c r="J174" s="1198">
        <f t="shared" si="2"/>
        <v>152717.99</v>
      </c>
      <c r="K174" s="1195"/>
      <c r="L174" s="1200"/>
      <c r="M174" s="1203"/>
      <c r="N174" s="521"/>
    </row>
    <row r="175" spans="1:16" ht="16.5" customHeight="1">
      <c r="A175" s="116"/>
      <c r="C175" s="1191" t="s">
        <v>1191</v>
      </c>
      <c r="D175" s="41"/>
      <c r="E175" s="445"/>
      <c r="F175" s="119"/>
      <c r="G175" s="150"/>
      <c r="H175" s="1197">
        <v>91756.26</v>
      </c>
      <c r="I175" s="1197">
        <v>95288.88</v>
      </c>
      <c r="J175" s="1198">
        <f t="shared" si="2"/>
        <v>93522.57</v>
      </c>
      <c r="K175" s="1195"/>
      <c r="L175" s="1200"/>
      <c r="M175" s="1203"/>
      <c r="N175" s="521"/>
    </row>
    <row r="176" spans="1:16" ht="16.5" customHeight="1">
      <c r="A176" s="116"/>
      <c r="C176" s="1191" t="s">
        <v>1192</v>
      </c>
      <c r="D176" s="41"/>
      <c r="E176" s="445"/>
      <c r="F176" s="119"/>
      <c r="G176" s="150"/>
      <c r="H176" s="1197">
        <v>17221.38</v>
      </c>
      <c r="I176" s="1197">
        <v>17884.400000000001</v>
      </c>
      <c r="J176" s="1198">
        <f t="shared" si="2"/>
        <v>17552.89</v>
      </c>
      <c r="K176" s="1195"/>
      <c r="L176" s="1200"/>
      <c r="M176" s="1203"/>
      <c r="N176" s="521"/>
    </row>
    <row r="177" spans="1:14" ht="16.5" customHeight="1">
      <c r="A177" s="116"/>
      <c r="C177" s="1191" t="s">
        <v>1193</v>
      </c>
      <c r="D177" s="41"/>
      <c r="E177" s="445"/>
      <c r="F177" s="119"/>
      <c r="G177" s="150"/>
      <c r="H177" s="1197">
        <v>2625832.44</v>
      </c>
      <c r="I177" s="1197">
        <v>2722757.31</v>
      </c>
      <c r="J177" s="1198">
        <f t="shared" si="2"/>
        <v>2674294.875</v>
      </c>
      <c r="K177" s="1195"/>
      <c r="L177" s="1200"/>
      <c r="M177" s="1203"/>
      <c r="N177" s="521"/>
    </row>
    <row r="178" spans="1:14" ht="16.5" customHeight="1">
      <c r="A178" s="116"/>
      <c r="C178" s="1191" t="s">
        <v>1194</v>
      </c>
      <c r="D178" s="41"/>
      <c r="E178" s="445"/>
      <c r="F178" s="119"/>
      <c r="G178" s="150"/>
      <c r="H178" s="1197">
        <v>112093.59</v>
      </c>
      <c r="I178" s="1197">
        <v>35779.870000000003</v>
      </c>
      <c r="J178" s="1198">
        <f t="shared" si="2"/>
        <v>73936.73</v>
      </c>
      <c r="K178" s="1195"/>
      <c r="L178" s="1200"/>
      <c r="M178" s="1203"/>
      <c r="N178" s="521"/>
    </row>
    <row r="179" spans="1:14" ht="16.5" customHeight="1">
      <c r="A179" s="116"/>
      <c r="C179" s="1191" t="s">
        <v>1195</v>
      </c>
      <c r="D179" s="41"/>
      <c r="E179" s="445"/>
      <c r="F179" s="119"/>
      <c r="G179" s="150"/>
      <c r="H179" s="1197">
        <v>81818.53</v>
      </c>
      <c r="I179" s="1197">
        <v>84968.54</v>
      </c>
      <c r="J179" s="1198">
        <f t="shared" si="2"/>
        <v>83393.535000000003</v>
      </c>
      <c r="K179" s="1195"/>
      <c r="L179" s="1200"/>
      <c r="M179" s="1203"/>
      <c r="N179" s="521"/>
    </row>
    <row r="180" spans="1:14" ht="16.5" customHeight="1">
      <c r="A180" s="116"/>
      <c r="C180" s="1191" t="s">
        <v>1196</v>
      </c>
      <c r="D180" s="41"/>
      <c r="E180" s="445"/>
      <c r="F180" s="119"/>
      <c r="G180" s="150"/>
      <c r="H180" s="1197">
        <v>241479.74</v>
      </c>
      <c r="I180" s="1197">
        <v>250776.71</v>
      </c>
      <c r="J180" s="1198">
        <f t="shared" si="2"/>
        <v>246128.22499999998</v>
      </c>
      <c r="K180" s="1195"/>
      <c r="L180" s="1200"/>
      <c r="M180" s="1203"/>
      <c r="N180" s="521"/>
    </row>
    <row r="181" spans="1:14" ht="16.5" customHeight="1">
      <c r="A181" s="116"/>
      <c r="C181" s="1191" t="s">
        <v>1197</v>
      </c>
      <c r="D181" s="41"/>
      <c r="E181" s="445"/>
      <c r="F181" s="119"/>
      <c r="G181" s="150"/>
      <c r="H181" s="1197">
        <v>2795195.71</v>
      </c>
      <c r="I181" s="1197">
        <v>2457826.5</v>
      </c>
      <c r="J181" s="1198">
        <f t="shared" si="2"/>
        <v>2626511.105</v>
      </c>
      <c r="K181" s="1195"/>
      <c r="L181" s="1200"/>
      <c r="M181" s="1203"/>
      <c r="N181" s="521"/>
    </row>
    <row r="182" spans="1:14" ht="16.5" customHeight="1">
      <c r="A182" s="116"/>
      <c r="C182" s="1191" t="s">
        <v>1198</v>
      </c>
      <c r="D182" s="41"/>
      <c r="E182" s="445"/>
      <c r="F182" s="119"/>
      <c r="G182" s="150"/>
      <c r="H182" s="1197">
        <v>241097.24</v>
      </c>
      <c r="I182" s="1197">
        <v>272952.45</v>
      </c>
      <c r="J182" s="1198">
        <f t="shared" si="2"/>
        <v>257024.845</v>
      </c>
      <c r="K182" s="1195"/>
      <c r="L182" s="1200"/>
      <c r="M182" s="1203"/>
      <c r="N182" s="521"/>
    </row>
    <row r="183" spans="1:14" ht="16.5" customHeight="1">
      <c r="A183" s="116"/>
      <c r="C183" s="1191" t="s">
        <v>1199</v>
      </c>
      <c r="D183" s="41"/>
      <c r="E183" s="445"/>
      <c r="F183" s="119"/>
      <c r="G183" s="150"/>
      <c r="H183" s="1197">
        <v>150716.17000000001</v>
      </c>
      <c r="I183" s="1197">
        <v>194664.72</v>
      </c>
      <c r="J183" s="1198">
        <f t="shared" si="2"/>
        <v>172690.44500000001</v>
      </c>
      <c r="K183" s="1195"/>
      <c r="L183" s="1200"/>
      <c r="M183" s="1203"/>
      <c r="N183" s="521"/>
    </row>
    <row r="184" spans="1:14" ht="16.5" customHeight="1">
      <c r="A184" s="116"/>
      <c r="C184" s="1191" t="s">
        <v>1200</v>
      </c>
      <c r="F184" s="446"/>
      <c r="G184" s="116"/>
      <c r="H184" s="1197">
        <v>143184.44</v>
      </c>
      <c r="I184" s="1197">
        <v>93363.06</v>
      </c>
      <c r="J184" s="1198">
        <f t="shared" si="2"/>
        <v>118273.75</v>
      </c>
      <c r="K184" s="1195"/>
      <c r="L184" s="1204"/>
      <c r="M184" s="1195"/>
      <c r="N184" s="521"/>
    </row>
    <row r="185" spans="1:14" ht="16.5" customHeight="1">
      <c r="A185" s="116"/>
      <c r="C185" s="1191" t="s">
        <v>1201</v>
      </c>
      <c r="F185" s="446"/>
      <c r="G185" s="116"/>
      <c r="H185" s="1193">
        <v>51768.09</v>
      </c>
      <c r="I185" s="1193">
        <v>45397.21</v>
      </c>
      <c r="J185" s="1198">
        <f t="shared" si="2"/>
        <v>48582.649999999994</v>
      </c>
      <c r="K185" s="1195"/>
      <c r="L185" s="1204"/>
      <c r="M185" s="1195"/>
      <c r="N185" s="521"/>
    </row>
    <row r="186" spans="1:14" ht="16.5" customHeight="1">
      <c r="A186" s="116"/>
      <c r="C186" s="1191" t="s">
        <v>1309</v>
      </c>
      <c r="F186" s="446"/>
      <c r="G186" s="116"/>
      <c r="H186" s="1193">
        <v>2025.3</v>
      </c>
      <c r="I186" s="1193">
        <v>2025.3</v>
      </c>
      <c r="J186" s="1198">
        <f t="shared" si="2"/>
        <v>2025.3</v>
      </c>
      <c r="K186" s="1195"/>
      <c r="L186" s="1204"/>
      <c r="M186" s="1195"/>
      <c r="N186" s="521"/>
    </row>
    <row r="187" spans="1:14" ht="16.5" customHeight="1">
      <c r="A187" s="116"/>
      <c r="C187" s="1191" t="s">
        <v>1269</v>
      </c>
      <c r="F187" s="446"/>
      <c r="G187" s="116"/>
      <c r="H187" s="1193">
        <v>524150.25</v>
      </c>
      <c r="I187" s="1193">
        <v>596654.23</v>
      </c>
      <c r="J187" s="1198">
        <f t="shared" si="2"/>
        <v>560402.24</v>
      </c>
      <c r="K187" s="1195"/>
      <c r="L187" s="1204"/>
      <c r="M187" s="1195"/>
      <c r="N187" s="521"/>
    </row>
    <row r="188" spans="1:14" ht="16.5" customHeight="1">
      <c r="A188" s="116"/>
      <c r="C188" s="1191" t="s">
        <v>1203</v>
      </c>
      <c r="F188" s="446"/>
      <c r="G188" s="116"/>
      <c r="H188" s="1193">
        <v>206441.32</v>
      </c>
      <c r="I188" s="1193">
        <v>223349.69</v>
      </c>
      <c r="J188" s="1198">
        <f t="shared" si="2"/>
        <v>214895.505</v>
      </c>
      <c r="K188" s="1195"/>
      <c r="L188" s="1204"/>
      <c r="M188" s="1195"/>
      <c r="N188" s="521"/>
    </row>
    <row r="189" spans="1:14" ht="16.5" customHeight="1">
      <c r="A189" s="116"/>
      <c r="C189" s="1191" t="s">
        <v>1310</v>
      </c>
      <c r="F189" s="446"/>
      <c r="G189" s="116"/>
      <c r="H189" s="1193">
        <v>62130.95</v>
      </c>
      <c r="I189" s="1193">
        <v>81337.09</v>
      </c>
      <c r="J189" s="1198">
        <f t="shared" si="2"/>
        <v>71734.01999999999</v>
      </c>
      <c r="K189" s="1195"/>
      <c r="L189" s="1204"/>
      <c r="M189" s="1195"/>
      <c r="N189" s="521"/>
    </row>
    <row r="190" spans="1:14" ht="16.5" customHeight="1">
      <c r="A190" s="116"/>
      <c r="C190" s="1191" t="s">
        <v>1362</v>
      </c>
      <c r="F190" s="446"/>
      <c r="G190" s="116"/>
      <c r="H190" s="1193"/>
      <c r="I190" s="1193">
        <v>50000</v>
      </c>
      <c r="J190" s="1198">
        <f t="shared" si="2"/>
        <v>25000</v>
      </c>
      <c r="K190" s="1195"/>
      <c r="L190" s="1204"/>
      <c r="M190" s="1195"/>
      <c r="N190" s="521"/>
    </row>
    <row r="191" spans="1:14" ht="16.5" customHeight="1">
      <c r="A191" s="116"/>
      <c r="C191" s="1195" t="s">
        <v>1323</v>
      </c>
      <c r="F191" s="446"/>
      <c r="G191" s="116"/>
      <c r="H191" s="1193">
        <v>82201.64</v>
      </c>
      <c r="I191" s="1193">
        <v>85366.399999999994</v>
      </c>
      <c r="J191" s="1198">
        <f t="shared" si="2"/>
        <v>83784.01999999999</v>
      </c>
      <c r="K191" s="1195"/>
      <c r="L191" s="1204"/>
      <c r="M191" s="1195"/>
      <c r="N191" s="521"/>
    </row>
    <row r="192" spans="1:14" ht="16.5" customHeight="1">
      <c r="A192" s="116"/>
      <c r="C192" s="1191" t="s">
        <v>1324</v>
      </c>
      <c r="F192" s="446"/>
      <c r="G192" s="116"/>
      <c r="H192" s="1193">
        <v>519802.37</v>
      </c>
      <c r="I192" s="1193">
        <v>655568.43999999994</v>
      </c>
      <c r="J192" s="1198">
        <f t="shared" si="2"/>
        <v>587685.40500000003</v>
      </c>
      <c r="K192" s="1195"/>
      <c r="L192" s="1204"/>
      <c r="M192" s="1195"/>
      <c r="N192" s="521"/>
    </row>
    <row r="193" spans="1:16" ht="16.5" customHeight="1">
      <c r="A193" s="116"/>
      <c r="C193" s="1191" t="s">
        <v>1341</v>
      </c>
      <c r="F193" s="446"/>
      <c r="G193" s="116"/>
      <c r="H193" s="1193">
        <v>2996.6</v>
      </c>
      <c r="I193" s="1193">
        <v>3731.97</v>
      </c>
      <c r="J193" s="1198">
        <f t="shared" si="2"/>
        <v>3364.2849999999999</v>
      </c>
      <c r="K193" s="1195"/>
      <c r="L193" s="1204"/>
      <c r="M193" s="1195"/>
      <c r="N193" s="521"/>
    </row>
    <row r="194" spans="1:16" ht="16.5" customHeight="1">
      <c r="A194" s="116"/>
      <c r="C194" s="1191" t="s">
        <v>1361</v>
      </c>
      <c r="F194" s="446"/>
      <c r="G194" s="116"/>
      <c r="H194" s="1193"/>
      <c r="I194" s="1193">
        <v>-13502.01</v>
      </c>
      <c r="J194" s="1198">
        <f t="shared" si="2"/>
        <v>-6751.0050000000001</v>
      </c>
      <c r="K194" s="1195"/>
      <c r="L194" s="1204"/>
      <c r="M194" s="1195"/>
      <c r="N194" s="521"/>
    </row>
    <row r="195" spans="1:16" ht="16.5" customHeight="1">
      <c r="A195" s="116"/>
      <c r="C195" s="285"/>
      <c r="F195" s="446"/>
      <c r="G195" s="116"/>
      <c r="H195" s="1193"/>
      <c r="I195" s="1193"/>
      <c r="J195" s="1198"/>
      <c r="K195" s="1195"/>
      <c r="L195" s="1204"/>
      <c r="M195" s="1195"/>
      <c r="N195" s="521"/>
    </row>
    <row r="196" spans="1:16" ht="16.5" customHeight="1">
      <c r="A196" s="286"/>
      <c r="F196" s="287"/>
      <c r="G196" s="286"/>
      <c r="H196" s="1205">
        <f>SUM(H152:H195)</f>
        <v>20650137.640000004</v>
      </c>
      <c r="I196" s="1205">
        <f>SUM(I152:I195)</f>
        <v>20947483.789999999</v>
      </c>
      <c r="J196" s="1316">
        <f>SUM(J152:J193)</f>
        <v>20805561.719999999</v>
      </c>
      <c r="K196" s="1206">
        <v>0</v>
      </c>
      <c r="L196" s="1207">
        <f>+J196*K196</f>
        <v>0</v>
      </c>
      <c r="M196" s="1208"/>
      <c r="N196" s="1071"/>
    </row>
    <row r="197" spans="1:16" ht="16.5" customHeight="1" thickBot="1">
      <c r="A197" s="929"/>
      <c r="B197" s="639"/>
      <c r="C197" s="639"/>
      <c r="D197" s="639"/>
      <c r="E197" s="639"/>
      <c r="F197" s="930"/>
      <c r="G197" s="1224"/>
      <c r="H197" s="147"/>
      <c r="I197" s="147"/>
      <c r="J197" s="147"/>
      <c r="K197" s="931"/>
      <c r="L197" s="1069">
        <f>(+L196+L149+L133)</f>
        <v>3056806.5297979955</v>
      </c>
      <c r="M197" s="932"/>
      <c r="N197" s="933"/>
    </row>
    <row r="198" spans="1:16" ht="16.5" customHeight="1"/>
    <row r="199" spans="1:16" ht="16.5" customHeight="1" thickBot="1">
      <c r="A199" s="122" t="s">
        <v>791</v>
      </c>
      <c r="B199" s="41"/>
      <c r="C199"/>
      <c r="D199" s="445"/>
      <c r="E199" s="445"/>
    </row>
    <row r="200" spans="1:16" ht="26.25" customHeight="1">
      <c r="A200" s="934" t="s">
        <v>1080</v>
      </c>
      <c r="B200" s="662"/>
      <c r="C200" s="662"/>
      <c r="D200" s="239"/>
      <c r="E200" s="239"/>
      <c r="F200" s="641"/>
      <c r="G200" s="239"/>
      <c r="H200" s="911"/>
      <c r="I200" s="362"/>
      <c r="J200" s="362" t="s">
        <v>415</v>
      </c>
      <c r="K200" s="362" t="s">
        <v>873</v>
      </c>
      <c r="L200" s="362" t="s">
        <v>279</v>
      </c>
      <c r="M200" s="362" t="s">
        <v>139</v>
      </c>
      <c r="N200" s="883"/>
    </row>
    <row r="201" spans="1:16" ht="16.5" customHeight="1">
      <c r="A201" s="152">
        <f>+'ATT H-1 '!A75</f>
        <v>42</v>
      </c>
      <c r="B201" s="122" t="s">
        <v>791</v>
      </c>
      <c r="C201" s="143"/>
      <c r="F201" s="119"/>
      <c r="H201" s="935"/>
      <c r="I201" s="122"/>
      <c r="J201" s="248"/>
      <c r="L201" s="149"/>
      <c r="N201" s="521"/>
    </row>
    <row r="202" spans="1:16" ht="16.5" customHeight="1">
      <c r="A202" s="116"/>
      <c r="B202" s="117"/>
      <c r="C202" s="112" t="s">
        <v>129</v>
      </c>
      <c r="D202" s="112" t="s">
        <v>870</v>
      </c>
      <c r="F202" s="119"/>
      <c r="H202" s="602"/>
      <c r="I202" s="603"/>
      <c r="J202" s="936">
        <f>'WKSHT2 - Prepaid'!W22</f>
        <v>57015166.590000004</v>
      </c>
      <c r="K202" s="937">
        <f>+'ATT H-1 '!H13</f>
        <v>9.4526491474223637E-2</v>
      </c>
      <c r="L202" s="531">
        <f>+J202*K202</f>
        <v>5389443.6585710756</v>
      </c>
      <c r="M202" s="510"/>
      <c r="N202" s="520"/>
    </row>
    <row r="203" spans="1:16" ht="16.5" customHeight="1">
      <c r="A203" s="116"/>
      <c r="B203" s="117"/>
      <c r="C203" s="112" t="s">
        <v>126</v>
      </c>
      <c r="D203" s="112" t="s">
        <v>870</v>
      </c>
      <c r="F203" s="119"/>
      <c r="H203" s="602"/>
      <c r="I203" s="603"/>
      <c r="J203" s="222">
        <f>'WKSHT2 - Prepaid'!V6</f>
        <v>783653.78</v>
      </c>
      <c r="K203" s="937">
        <f>+'ATT H-1 '!H26</f>
        <v>0.20462766097688967</v>
      </c>
      <c r="L203" s="531">
        <f>+J203*K203</f>
        <v>160357.24001709808</v>
      </c>
      <c r="M203" s="514"/>
      <c r="N203" s="532"/>
    </row>
    <row r="204" spans="1:16" ht="16.5" customHeight="1">
      <c r="A204" s="116"/>
      <c r="B204" s="117"/>
      <c r="C204" s="112" t="s">
        <v>270</v>
      </c>
      <c r="D204" s="112" t="s">
        <v>870</v>
      </c>
      <c r="F204" s="119"/>
      <c r="H204" s="602"/>
      <c r="I204" s="603"/>
      <c r="J204" s="222">
        <f>'WKSHT2 - Prepaid'!U27</f>
        <v>0</v>
      </c>
      <c r="K204" s="937">
        <v>1</v>
      </c>
      <c r="L204" s="531">
        <f>+J204*K204</f>
        <v>0</v>
      </c>
      <c r="M204" s="514"/>
      <c r="N204" s="532"/>
    </row>
    <row r="205" spans="1:16">
      <c r="A205" s="116"/>
      <c r="B205" s="117"/>
      <c r="C205" s="112" t="s">
        <v>271</v>
      </c>
      <c r="D205" s="112" t="s">
        <v>870</v>
      </c>
      <c r="F205" s="119"/>
      <c r="H205" s="602"/>
      <c r="I205" s="603"/>
      <c r="J205" s="222">
        <f>'WKSHT2 - Prepaid'!T38</f>
        <v>27842335.476153847</v>
      </c>
      <c r="K205" s="937">
        <v>0</v>
      </c>
      <c r="L205" s="531">
        <f>+J205*K205</f>
        <v>0</v>
      </c>
      <c r="M205" s="514"/>
      <c r="N205" s="532"/>
    </row>
    <row r="206" spans="1:16" customFormat="1">
      <c r="A206" s="116"/>
      <c r="B206" s="117"/>
      <c r="C206" s="112"/>
      <c r="D206" s="112"/>
      <c r="E206" s="112"/>
      <c r="F206" s="119"/>
      <c r="G206" s="112"/>
      <c r="H206" s="150"/>
      <c r="I206" s="112"/>
      <c r="J206" s="938"/>
      <c r="K206" s="271"/>
      <c r="L206" s="939"/>
      <c r="M206" s="533"/>
      <c r="N206" s="520"/>
      <c r="P206" s="112"/>
    </row>
    <row r="207" spans="1:16" customFormat="1" ht="13.5" thickBot="1">
      <c r="A207" s="125"/>
      <c r="B207" s="126"/>
      <c r="C207" s="926"/>
      <c r="D207" s="144"/>
      <c r="E207" s="144"/>
      <c r="F207" s="925"/>
      <c r="G207" s="144"/>
      <c r="H207" s="940"/>
      <c r="I207" s="941"/>
      <c r="J207" s="941"/>
      <c r="K207" s="942"/>
      <c r="L207" s="943">
        <f>SUM(L202:L205)</f>
        <v>5549800.898588174</v>
      </c>
      <c r="M207" s="523"/>
      <c r="N207" s="524"/>
      <c r="P207" s="112"/>
    </row>
    <row r="208" spans="1:16">
      <c r="A208" s="364"/>
      <c r="B208" s="364"/>
      <c r="C208" s="364"/>
      <c r="D208" s="364"/>
      <c r="E208" s="364"/>
      <c r="F208" s="365"/>
      <c r="G208" s="365"/>
      <c r="H208" s="640"/>
      <c r="I208" s="271"/>
      <c r="J208" s="271"/>
      <c r="L208" s="143"/>
    </row>
    <row r="209" spans="1:17" ht="13.5" thickBot="1">
      <c r="A209" s="122" t="s">
        <v>243</v>
      </c>
    </row>
    <row r="210" spans="1:17">
      <c r="A210" s="934" t="s">
        <v>1080</v>
      </c>
      <c r="B210" s="662"/>
      <c r="C210" s="662"/>
      <c r="D210" s="239"/>
      <c r="E210" s="239"/>
      <c r="F210" s="239"/>
      <c r="G210" s="239"/>
      <c r="H210" s="362"/>
      <c r="I210" s="362"/>
      <c r="J210" s="362"/>
      <c r="K210" s="362"/>
      <c r="L210" s="362"/>
      <c r="M210" s="362"/>
      <c r="N210" s="882"/>
      <c r="O210" s="239"/>
      <c r="P210" s="239"/>
      <c r="Q210" s="641"/>
    </row>
    <row r="211" spans="1:17">
      <c r="A211" s="152">
        <v>45</v>
      </c>
      <c r="B211" s="122" t="s">
        <v>789</v>
      </c>
      <c r="C211" s="143"/>
      <c r="D211"/>
      <c r="E211"/>
      <c r="F211"/>
      <c r="G211"/>
      <c r="H211"/>
      <c r="I211"/>
      <c r="J211"/>
      <c r="K211"/>
      <c r="L211"/>
      <c r="M211"/>
      <c r="N211"/>
      <c r="O211"/>
      <c r="P211"/>
      <c r="Q211" s="642" t="s">
        <v>708</v>
      </c>
    </row>
    <row r="212" spans="1:17">
      <c r="A212" s="150"/>
      <c r="D212" s="944">
        <v>45657</v>
      </c>
      <c r="E212" s="944">
        <v>45658</v>
      </c>
      <c r="F212" s="944">
        <v>45690</v>
      </c>
      <c r="G212" s="944">
        <v>45722</v>
      </c>
      <c r="H212" s="944">
        <v>45754</v>
      </c>
      <c r="I212" s="944">
        <v>45786</v>
      </c>
      <c r="J212" s="944">
        <v>45818</v>
      </c>
      <c r="K212" s="944">
        <v>45850</v>
      </c>
      <c r="L212" s="944">
        <v>45882</v>
      </c>
      <c r="M212" s="944">
        <v>45914</v>
      </c>
      <c r="N212" s="944">
        <v>45946</v>
      </c>
      <c r="O212" s="944">
        <v>45978</v>
      </c>
      <c r="P212" s="944">
        <v>46010</v>
      </c>
      <c r="Q212" s="945" t="s">
        <v>79</v>
      </c>
    </row>
    <row r="213" spans="1:17" ht="17.25" customHeight="1">
      <c r="A213" s="620" t="s">
        <v>410</v>
      </c>
      <c r="B213" s="271"/>
      <c r="D213" s="1449">
        <v>96444.85</v>
      </c>
      <c r="E213" s="1449">
        <v>70880.899999999994</v>
      </c>
      <c r="F213" s="1449">
        <v>247406.06</v>
      </c>
      <c r="G213" s="1449">
        <v>272499.07</v>
      </c>
      <c r="H213" s="1449">
        <v>245941.11</v>
      </c>
      <c r="I213" s="1449">
        <v>89580.52</v>
      </c>
      <c r="J213" s="1449">
        <v>142243.74</v>
      </c>
      <c r="K213" s="1449">
        <v>102969.18</v>
      </c>
      <c r="L213" s="1449">
        <v>65421.62</v>
      </c>
      <c r="M213" s="1449">
        <v>-86618.77</v>
      </c>
      <c r="N213" s="1449">
        <v>-223397.14</v>
      </c>
      <c r="O213" s="1449">
        <v>72257.649999999994</v>
      </c>
      <c r="P213" s="1449">
        <v>12547.03</v>
      </c>
      <c r="Q213" s="1450">
        <f>AVERAGE(D213:P213)</f>
        <v>85244.293846153858</v>
      </c>
    </row>
    <row r="214" spans="1:17" ht="17.25" customHeight="1">
      <c r="A214" s="621" t="s">
        <v>411</v>
      </c>
      <c r="B214" s="364"/>
      <c r="D214" s="1449">
        <v>1301893</v>
      </c>
      <c r="E214" s="1449">
        <v>1433372.5754032196</v>
      </c>
      <c r="F214" s="1449">
        <v>1498143.7049920536</v>
      </c>
      <c r="G214" s="1449">
        <v>1583908.9553345134</v>
      </c>
      <c r="H214" s="1449">
        <v>1739097.7969853408</v>
      </c>
      <c r="I214" s="1449">
        <v>1705038.3124117355</v>
      </c>
      <c r="J214" s="1449">
        <v>1675604.6267225</v>
      </c>
      <c r="K214" s="1449">
        <v>1678510.2973881231</v>
      </c>
      <c r="L214" s="1449">
        <v>1643785.7268032527</v>
      </c>
      <c r="M214" s="1449">
        <v>1644238.6145544345</v>
      </c>
      <c r="N214" s="1449">
        <v>1675136.7109030215</v>
      </c>
      <c r="O214" s="1449">
        <v>1632910.8544092414</v>
      </c>
      <c r="P214" s="1449">
        <v>1656189.0426255937</v>
      </c>
      <c r="Q214" s="1450">
        <f>AVERAGE(D214:P214)</f>
        <v>1605217.7091179253</v>
      </c>
    </row>
    <row r="215" spans="1:17" ht="17.25" customHeight="1" thickBot="1">
      <c r="A215" s="622" t="s">
        <v>847</v>
      </c>
      <c r="B215" s="623"/>
      <c r="C215" s="144"/>
      <c r="D215" s="1451">
        <f t="shared" ref="D215:N215" si="3">SUM(D213:D214)</f>
        <v>1398337.85</v>
      </c>
      <c r="E215" s="1451">
        <f t="shared" si="3"/>
        <v>1504253.4754032195</v>
      </c>
      <c r="F215" s="1451">
        <f t="shared" si="3"/>
        <v>1745549.7649920536</v>
      </c>
      <c r="G215" s="1451">
        <f t="shared" si="3"/>
        <v>1856408.0253345135</v>
      </c>
      <c r="H215" s="1451">
        <f t="shared" si="3"/>
        <v>1985038.9069853406</v>
      </c>
      <c r="I215" s="1451">
        <f t="shared" si="3"/>
        <v>1794618.8324117356</v>
      </c>
      <c r="J215" s="1451">
        <f t="shared" si="3"/>
        <v>1817848.3667225</v>
      </c>
      <c r="K215" s="1451">
        <f t="shared" si="3"/>
        <v>1781479.4773881231</v>
      </c>
      <c r="L215" s="1451">
        <f t="shared" si="3"/>
        <v>1709207.3468032528</v>
      </c>
      <c r="M215" s="1451">
        <f t="shared" si="3"/>
        <v>1557619.8445544345</v>
      </c>
      <c r="N215" s="1451">
        <f t="shared" si="3"/>
        <v>1451739.5709030214</v>
      </c>
      <c r="O215" s="1451">
        <f>SUM(O213:O214)</f>
        <v>1705168.5044092413</v>
      </c>
      <c r="P215" s="1451">
        <f>SUM(P213:P214)</f>
        <v>1668736.0726255937</v>
      </c>
      <c r="Q215" s="1452">
        <f>AVERAGE(D215:P215)</f>
        <v>1690462.0029640794</v>
      </c>
    </row>
    <row r="216" spans="1:17">
      <c r="A216" s="117"/>
      <c r="B216" s="117"/>
      <c r="C216" s="143"/>
      <c r="H216" s="946"/>
      <c r="I216" s="946"/>
      <c r="J216" s="938"/>
      <c r="K216" s="946"/>
      <c r="L216" s="946"/>
      <c r="M216" s="510"/>
      <c r="N216" s="510"/>
      <c r="P216" s="228"/>
    </row>
    <row r="217" spans="1:17" ht="13.5" thickBot="1">
      <c r="A217" s="122" t="s">
        <v>650</v>
      </c>
      <c r="P217" s="228"/>
    </row>
    <row r="218" spans="1:17">
      <c r="A218" s="1532" t="s">
        <v>1080</v>
      </c>
      <c r="B218" s="1533"/>
      <c r="C218" s="1533"/>
      <c r="D218" s="1533"/>
      <c r="E218" s="1533"/>
      <c r="F218" s="1534"/>
      <c r="G218" s="662"/>
      <c r="H218" s="911"/>
      <c r="I218" s="1541" t="s">
        <v>173</v>
      </c>
      <c r="J218" s="1542"/>
      <c r="K218" s="1542"/>
      <c r="L218" s="1542"/>
      <c r="M218" s="1542"/>
      <c r="N218" s="1543"/>
      <c r="P218" s="1234"/>
    </row>
    <row r="219" spans="1:17" ht="44.25" customHeight="1">
      <c r="A219" s="152"/>
      <c r="B219" s="122" t="s">
        <v>140</v>
      </c>
      <c r="C219" s="143"/>
      <c r="D219" s="122"/>
      <c r="E219" s="115"/>
      <c r="F219" s="947"/>
      <c r="G219" s="248"/>
      <c r="H219" s="948" t="s">
        <v>233</v>
      </c>
      <c r="I219" s="272" t="s">
        <v>234</v>
      </c>
      <c r="J219" s="272" t="s">
        <v>971</v>
      </c>
      <c r="N219" s="521"/>
      <c r="P219" s="228"/>
    </row>
    <row r="220" spans="1:17" ht="17.25" customHeight="1">
      <c r="A220" s="218">
        <f>+'ATT H-1 '!A96</f>
        <v>55</v>
      </c>
      <c r="B220" s="149"/>
      <c r="C220" s="143" t="str">
        <f>+'ATT H-1 '!C96</f>
        <v>Outstanding Network Credits</v>
      </c>
      <c r="D220" s="117"/>
      <c r="E220" s="117"/>
      <c r="F220" s="124"/>
      <c r="G220" s="118"/>
      <c r="H220" s="152"/>
      <c r="I220" s="1544" t="s">
        <v>172</v>
      </c>
      <c r="J220" s="1555"/>
      <c r="K220" s="1555"/>
      <c r="L220" s="1555"/>
      <c r="M220" s="1555"/>
      <c r="N220" s="1556"/>
      <c r="P220" s="228"/>
    </row>
    <row r="221" spans="1:17" ht="17.25" customHeight="1">
      <c r="A221" s="150"/>
      <c r="C221" s="112" t="s">
        <v>183</v>
      </c>
      <c r="D221" s="114" t="s">
        <v>363</v>
      </c>
      <c r="E221" s="1230" t="s">
        <v>1342</v>
      </c>
      <c r="F221" s="1064">
        <v>0</v>
      </c>
      <c r="G221" s="129"/>
      <c r="H221" s="949">
        <f>+F221</f>
        <v>0</v>
      </c>
      <c r="I221" s="117"/>
      <c r="J221" s="115"/>
      <c r="K221" s="510"/>
      <c r="L221" s="510"/>
      <c r="M221" s="510"/>
      <c r="N221" s="520"/>
      <c r="P221" s="228"/>
    </row>
    <row r="222" spans="1:17" ht="17.25" customHeight="1">
      <c r="A222" s="116"/>
      <c r="C222" s="120" t="s">
        <v>183</v>
      </c>
      <c r="D222" s="121" t="s">
        <v>363</v>
      </c>
      <c r="E222" s="1231" t="s">
        <v>1343</v>
      </c>
      <c r="F222" s="1065">
        <v>0</v>
      </c>
      <c r="G222" s="129"/>
      <c r="H222" s="150"/>
      <c r="I222" s="221">
        <f>+F222</f>
        <v>0</v>
      </c>
      <c r="J222" s="221"/>
      <c r="N222" s="521"/>
      <c r="P222" s="228"/>
    </row>
    <row r="223" spans="1:17" ht="17.25" customHeight="1">
      <c r="A223" s="116"/>
      <c r="C223" s="118" t="s">
        <v>272</v>
      </c>
      <c r="E223" s="115"/>
      <c r="F223" s="235">
        <f>AVERAGE(F221:F222)</f>
        <v>0</v>
      </c>
      <c r="G223" s="129"/>
      <c r="H223" s="950"/>
      <c r="I223" s="221"/>
      <c r="J223" s="221">
        <f>+F223</f>
        <v>0</v>
      </c>
      <c r="K223" s="510"/>
      <c r="L223" s="510"/>
      <c r="M223" s="510"/>
      <c r="N223" s="520"/>
    </row>
    <row r="224" spans="1:17" ht="17.25" customHeight="1">
      <c r="A224" s="116"/>
      <c r="C224" s="118"/>
      <c r="E224" s="115"/>
      <c r="F224" s="235"/>
      <c r="G224" s="129"/>
      <c r="H224" s="950"/>
      <c r="I224" s="221"/>
      <c r="J224" s="221"/>
      <c r="K224" s="510"/>
      <c r="L224" s="510"/>
      <c r="M224" s="510"/>
      <c r="N224" s="520"/>
    </row>
    <row r="225" spans="1:17" ht="17.25" customHeight="1">
      <c r="A225" s="218">
        <f>+'ATT H-1 '!A97</f>
        <v>56</v>
      </c>
      <c r="B225" s="143"/>
      <c r="C225" s="122" t="s">
        <v>273</v>
      </c>
      <c r="E225" s="115"/>
      <c r="F225" s="235"/>
      <c r="G225" s="129"/>
      <c r="H225" s="950"/>
      <c r="I225" s="221"/>
      <c r="J225" s="221"/>
      <c r="K225" s="510"/>
      <c r="L225" s="510"/>
      <c r="M225" s="510"/>
      <c r="N225" s="520"/>
    </row>
    <row r="226" spans="1:17" ht="15">
      <c r="A226" s="150"/>
      <c r="C226" s="112" t="s">
        <v>183</v>
      </c>
      <c r="D226" s="114" t="s">
        <v>363</v>
      </c>
      <c r="E226" s="1230" t="s">
        <v>1342</v>
      </c>
      <c r="F226" s="1064">
        <v>0</v>
      </c>
      <c r="G226" s="129"/>
      <c r="H226" s="923">
        <f>+F226</f>
        <v>0</v>
      </c>
      <c r="I226" s="928"/>
      <c r="J226" s="221"/>
      <c r="K226" s="510"/>
      <c r="L226" s="510"/>
      <c r="M226" s="510"/>
      <c r="N226" s="520"/>
    </row>
    <row r="227" spans="1:17" ht="15">
      <c r="A227" s="116"/>
      <c r="C227" s="120" t="s">
        <v>183</v>
      </c>
      <c r="D227" s="121" t="s">
        <v>363</v>
      </c>
      <c r="E227" s="1231" t="s">
        <v>1343</v>
      </c>
      <c r="F227" s="1065">
        <v>0</v>
      </c>
      <c r="G227" s="129"/>
      <c r="H227" s="949"/>
      <c r="I227" s="910">
        <f>+F227</f>
        <v>0</v>
      </c>
      <c r="J227" s="221"/>
      <c r="K227" s="510"/>
      <c r="L227" s="510"/>
      <c r="M227" s="510"/>
      <c r="N227" s="520"/>
      <c r="Q227" s="1232"/>
    </row>
    <row r="228" spans="1:17">
      <c r="A228" s="150"/>
      <c r="B228" s="117"/>
      <c r="C228" s="118" t="str">
        <f>+C223</f>
        <v>Average Beginning and End of Year</v>
      </c>
      <c r="D228" s="117"/>
      <c r="E228" s="117"/>
      <c r="F228" s="235">
        <f>AVERAGE(F226:F227)</f>
        <v>0</v>
      </c>
      <c r="G228" s="129"/>
      <c r="H228" s="218"/>
      <c r="I228" s="149"/>
      <c r="J228" s="221">
        <f>+F228</f>
        <v>0</v>
      </c>
      <c r="N228" s="521"/>
    </row>
    <row r="229" spans="1:17" ht="13.5" thickBot="1">
      <c r="A229" s="125"/>
      <c r="B229" s="126"/>
      <c r="C229" s="126"/>
      <c r="D229" s="126"/>
      <c r="E229" s="126"/>
      <c r="F229" s="236"/>
      <c r="G229" s="126"/>
      <c r="H229" s="217"/>
      <c r="I229" s="144"/>
      <c r="J229" s="144"/>
      <c r="K229" s="526"/>
      <c r="L229" s="926"/>
      <c r="M229" s="526"/>
      <c r="N229" s="527"/>
    </row>
    <row r="230" spans="1:17">
      <c r="A230" s="117"/>
      <c r="B230" s="117"/>
      <c r="C230" s="117"/>
      <c r="D230" s="117"/>
      <c r="E230" s="117"/>
      <c r="F230" s="117"/>
      <c r="G230" s="117"/>
      <c r="L230" s="143"/>
    </row>
    <row r="231" spans="1:17" ht="13.5" thickBot="1">
      <c r="A231" s="122" t="s">
        <v>651</v>
      </c>
      <c r="O231" s="271"/>
    </row>
    <row r="232" spans="1:17" ht="25.5">
      <c r="A232" s="1532" t="s">
        <v>1080</v>
      </c>
      <c r="B232" s="1533"/>
      <c r="C232" s="1533"/>
      <c r="D232" s="1533"/>
      <c r="E232" s="1533"/>
      <c r="F232" s="1533"/>
      <c r="G232" s="951"/>
      <c r="H232" s="911" t="str">
        <f>+C234</f>
        <v>Interest on Network Credits</v>
      </c>
      <c r="I232" s="1541" t="s">
        <v>244</v>
      </c>
      <c r="J232" s="1542"/>
      <c r="K232" s="1542"/>
      <c r="L232" s="1542"/>
      <c r="M232" s="1542"/>
      <c r="N232" s="1543"/>
    </row>
    <row r="233" spans="1:17">
      <c r="A233" s="116"/>
      <c r="B233" s="122"/>
      <c r="C233" s="117"/>
      <c r="D233" s="117"/>
      <c r="E233" s="117"/>
      <c r="F233" s="117"/>
      <c r="G233" s="798"/>
      <c r="H233" s="218" t="s">
        <v>245</v>
      </c>
      <c r="N233" s="521"/>
    </row>
    <row r="234" spans="1:17">
      <c r="A234" s="149">
        <f>+'ATT H-1 '!A267</f>
        <v>164</v>
      </c>
      <c r="B234" s="149"/>
      <c r="C234" s="122" t="str">
        <f>+'ATT H-1 '!C267</f>
        <v>Interest on Network Credits</v>
      </c>
      <c r="D234" s="117"/>
      <c r="E234" s="117"/>
      <c r="F234" s="118"/>
      <c r="G234" s="799"/>
      <c r="H234" s="1066">
        <v>0</v>
      </c>
      <c r="I234" s="1544" t="s">
        <v>172</v>
      </c>
      <c r="J234" s="1555"/>
      <c r="K234" s="1555"/>
      <c r="L234" s="1555"/>
      <c r="M234" s="1555"/>
      <c r="N234" s="1556"/>
    </row>
    <row r="235" spans="1:17">
      <c r="A235" s="116"/>
      <c r="B235" s="117"/>
      <c r="C235" s="117"/>
      <c r="D235" s="117"/>
      <c r="E235" s="117"/>
      <c r="F235" s="117"/>
      <c r="G235" s="798"/>
      <c r="H235" s="150"/>
      <c r="N235" s="521"/>
    </row>
    <row r="236" spans="1:17">
      <c r="G236" s="952"/>
      <c r="H236" s="150"/>
      <c r="J236" s="117"/>
      <c r="K236" s="364"/>
      <c r="L236" s="364"/>
      <c r="M236" s="364"/>
      <c r="N236" s="532"/>
      <c r="O236" s="271"/>
    </row>
    <row r="237" spans="1:17" ht="13.5" thickBot="1">
      <c r="A237" s="125"/>
      <c r="B237" s="126"/>
      <c r="C237" s="126"/>
      <c r="D237" s="126"/>
      <c r="E237" s="126"/>
      <c r="F237" s="126"/>
      <c r="G237" s="800"/>
      <c r="H237" s="217"/>
      <c r="I237" s="144"/>
      <c r="J237" s="144"/>
      <c r="K237" s="526"/>
      <c r="L237" s="926" t="s">
        <v>171</v>
      </c>
      <c r="M237" s="526"/>
      <c r="N237" s="527"/>
    </row>
    <row r="238" spans="1:17">
      <c r="A238" s="117"/>
      <c r="B238" s="117"/>
      <c r="C238" s="117"/>
      <c r="D238" s="117"/>
      <c r="E238" s="117"/>
      <c r="F238" s="117"/>
      <c r="G238" s="117"/>
      <c r="L238" s="143"/>
    </row>
    <row r="240" spans="1:17" ht="16.5" thickBot="1">
      <c r="A240" s="122" t="s">
        <v>246</v>
      </c>
      <c r="B240" s="56"/>
      <c r="C240" s="251"/>
      <c r="D240" s="56"/>
      <c r="E240" s="56"/>
      <c r="F240" s="56"/>
      <c r="G240" s="56"/>
      <c r="H240" s="47"/>
      <c r="I240" s="547"/>
      <c r="J240" s="74"/>
      <c r="K240" s="47"/>
      <c r="L240" s="47"/>
      <c r="M240" s="47"/>
    </row>
    <row r="241" spans="1:14" ht="31.5">
      <c r="A241" s="801">
        <f>'ATT H-1 '!A110</f>
        <v>63</v>
      </c>
      <c r="B241" s="662"/>
      <c r="C241" s="972" t="s">
        <v>246</v>
      </c>
      <c r="D241" s="624" t="s">
        <v>248</v>
      </c>
      <c r="E241" s="624"/>
      <c r="F241" s="637" t="s">
        <v>249</v>
      </c>
      <c r="G241" s="635" t="s">
        <v>252</v>
      </c>
      <c r="H241" s="635" t="s">
        <v>251</v>
      </c>
      <c r="I241" s="635" t="s">
        <v>253</v>
      </c>
      <c r="J241" s="625"/>
      <c r="K241" s="635" t="s">
        <v>250</v>
      </c>
      <c r="L241" s="626"/>
      <c r="M241" s="625"/>
      <c r="N241" s="627"/>
    </row>
    <row r="242" spans="1:14" ht="15.75">
      <c r="A242" s="628"/>
      <c r="B242" s="56"/>
      <c r="C242" s="251" t="s">
        <v>434</v>
      </c>
      <c r="D242" s="1453">
        <v>189556676.88</v>
      </c>
      <c r="E242" s="548"/>
      <c r="F242" s="1454">
        <v>7296</v>
      </c>
      <c r="G242" s="1454">
        <v>0</v>
      </c>
      <c r="H242" s="1454">
        <v>31299.11</v>
      </c>
      <c r="I242" s="1454"/>
      <c r="J242" s="1455"/>
      <c r="K242" s="1293">
        <f>D242-F242-G242-H242-I242</f>
        <v>189518081.76999998</v>
      </c>
      <c r="L242" s="74"/>
      <c r="M242" s="47"/>
      <c r="N242" s="629"/>
    </row>
    <row r="243" spans="1:14" ht="15.75">
      <c r="A243" s="628"/>
      <c r="B243" s="56"/>
      <c r="C243" s="251" t="s">
        <v>436</v>
      </c>
      <c r="D243" s="1453">
        <v>5538984.2400000002</v>
      </c>
      <c r="E243" s="548"/>
      <c r="F243" s="1456"/>
      <c r="G243" s="1456"/>
      <c r="H243" s="1456"/>
      <c r="I243" s="1456">
        <v>470699.24</v>
      </c>
      <c r="J243" s="1455"/>
      <c r="K243" s="1293">
        <f>D243-F243-G243-H243-I243</f>
        <v>5068285</v>
      </c>
      <c r="L243" s="74"/>
      <c r="M243" s="47"/>
      <c r="N243" s="629"/>
    </row>
    <row r="244" spans="1:14" ht="15.75">
      <c r="A244" s="628"/>
      <c r="B244" s="56"/>
      <c r="C244" s="251" t="s">
        <v>437</v>
      </c>
      <c r="D244" s="1453">
        <v>1817207</v>
      </c>
      <c r="E244" s="548"/>
      <c r="F244" s="1456">
        <v>1817207</v>
      </c>
      <c r="G244" s="1456"/>
      <c r="H244" s="1456"/>
      <c r="I244" s="1456"/>
      <c r="J244" s="1455"/>
      <c r="K244" s="1293">
        <f>D244-F244-G244-H244-I244</f>
        <v>0</v>
      </c>
      <c r="L244" s="74"/>
      <c r="M244" s="47"/>
      <c r="N244" s="629"/>
    </row>
    <row r="245" spans="1:14" ht="15.75">
      <c r="A245" s="628"/>
      <c r="B245" s="56"/>
      <c r="C245" s="251"/>
      <c r="D245" s="549"/>
      <c r="E245" s="548"/>
      <c r="F245" s="636">
        <v>1824503</v>
      </c>
      <c r="G245" s="636">
        <v>0</v>
      </c>
      <c r="H245" s="636">
        <v>31299.11</v>
      </c>
      <c r="I245" s="636">
        <v>470699.24</v>
      </c>
      <c r="J245" s="1455"/>
      <c r="K245" s="1294"/>
      <c r="L245" s="74"/>
      <c r="M245" s="47"/>
      <c r="N245" s="629"/>
    </row>
    <row r="246" spans="1:14" ht="16.5" thickBot="1">
      <c r="A246" s="630"/>
      <c r="B246" s="631"/>
      <c r="C246" s="632" t="s">
        <v>247</v>
      </c>
      <c r="D246" s="633">
        <f>SUM(D242:D245)</f>
        <v>196912868.12</v>
      </c>
      <c r="E246" s="634"/>
      <c r="F246" s="638">
        <f>SUM(F242:F245)</f>
        <v>3649006</v>
      </c>
      <c r="G246" s="638">
        <f>SUM(G242:G245)</f>
        <v>0</v>
      </c>
      <c r="H246" s="638">
        <f>SUM(H242:H245)</f>
        <v>62598.22</v>
      </c>
      <c r="I246" s="638">
        <f>SUM(I242:I245)</f>
        <v>941398.48</v>
      </c>
      <c r="J246" s="1457"/>
      <c r="K246" s="1295">
        <f>SUM(K242:K245)</f>
        <v>194586366.76999998</v>
      </c>
      <c r="L246" s="953"/>
      <c r="M246" s="954"/>
      <c r="N246" s="955"/>
    </row>
    <row r="247" spans="1:14" ht="15.75">
      <c r="A247" s="56"/>
      <c r="B247" s="56"/>
      <c r="C247" s="251"/>
      <c r="D247" s="56"/>
      <c r="E247" s="56"/>
      <c r="F247" s="56"/>
      <c r="G247" s="56"/>
      <c r="H247" s="47"/>
      <c r="I247" s="47"/>
      <c r="J247" s="956"/>
      <c r="K247" s="74"/>
      <c r="L247" s="47"/>
      <c r="M247" s="47"/>
      <c r="N247" s="47"/>
    </row>
    <row r="248" spans="1:14" ht="16.5" thickBot="1">
      <c r="A248" s="1329" t="s">
        <v>1229</v>
      </c>
      <c r="B248" s="631"/>
      <c r="C248" s="632"/>
      <c r="D248" s="631"/>
      <c r="E248" s="631"/>
      <c r="F248" s="631"/>
      <c r="G248" s="631"/>
      <c r="H248" s="954"/>
      <c r="I248" s="1225"/>
      <c r="J248" s="1225"/>
      <c r="K248" s="1225"/>
      <c r="L248" s="108"/>
    </row>
    <row r="249" spans="1:14">
      <c r="A249" s="980" t="s">
        <v>1080</v>
      </c>
      <c r="B249" s="276"/>
      <c r="C249" s="276"/>
      <c r="D249" s="276"/>
      <c r="E249" s="276"/>
      <c r="F249" s="1330" t="s">
        <v>873</v>
      </c>
      <c r="G249" s="276"/>
      <c r="H249" s="108"/>
      <c r="I249" s="271"/>
      <c r="J249" s="271"/>
    </row>
    <row r="250" spans="1:14">
      <c r="A250" s="276"/>
      <c r="B250" s="276"/>
      <c r="C250" s="276"/>
      <c r="D250" s="276"/>
      <c r="E250" s="1330" t="s">
        <v>847</v>
      </c>
      <c r="F250" s="1330" t="s">
        <v>126</v>
      </c>
      <c r="G250" s="276"/>
      <c r="H250" s="1330" t="s">
        <v>165</v>
      </c>
      <c r="I250" s="1225"/>
      <c r="J250" s="1225"/>
      <c r="K250" s="108"/>
      <c r="L250" s="108"/>
    </row>
    <row r="251" spans="1:14" ht="15">
      <c r="A251" s="276"/>
      <c r="B251" s="276"/>
      <c r="C251" s="276" t="s">
        <v>1300</v>
      </c>
      <c r="D251" s="276" t="s">
        <v>1237</v>
      </c>
      <c r="E251" s="25">
        <f>-('WKSHT7 - EDIT'!K11+'WKSHT7 - EDIT'!K12)</f>
        <v>-21378567.333693266</v>
      </c>
      <c r="F251" s="1458">
        <f>'ATT H-1 '!H23</f>
        <v>0.17753258065739708</v>
      </c>
      <c r="G251" s="1342"/>
      <c r="H251" s="25">
        <f>E251*F251</f>
        <v>-3795392.229508494</v>
      </c>
      <c r="L251" s="108"/>
    </row>
    <row r="252" spans="1:14" ht="15">
      <c r="A252" s="276"/>
      <c r="B252" s="276"/>
      <c r="C252" s="276" t="s">
        <v>1238</v>
      </c>
      <c r="D252" s="276"/>
      <c r="E252" s="1453">
        <v>2580296.344568463</v>
      </c>
      <c r="F252" s="1459">
        <f>F251</f>
        <v>0.17753258065739708</v>
      </c>
      <c r="G252" s="1342"/>
      <c r="H252" s="25">
        <f>E252*F252</f>
        <v>458086.66891208751</v>
      </c>
      <c r="L252" s="108"/>
    </row>
    <row r="253" spans="1:14" ht="15">
      <c r="A253" s="276"/>
      <c r="B253" s="276"/>
      <c r="C253" s="276"/>
      <c r="D253" s="276"/>
      <c r="E253" s="25"/>
      <c r="F253" s="1460"/>
      <c r="G253" s="1342"/>
      <c r="H253" s="25"/>
      <c r="L253" s="108"/>
    </row>
    <row r="254" spans="1:14" ht="15">
      <c r="A254" s="276" t="s">
        <v>1230</v>
      </c>
      <c r="B254" s="276"/>
      <c r="C254" s="276" t="s">
        <v>1246</v>
      </c>
      <c r="D254" s="276"/>
      <c r="E254" s="1346">
        <f>SUM(E251:E253)</f>
        <v>-18798270.989124805</v>
      </c>
      <c r="F254" s="1342"/>
      <c r="G254" s="1342"/>
      <c r="H254" s="1346">
        <f>SUM(H251:H253)</f>
        <v>-3337305.5605964065</v>
      </c>
      <c r="L254" s="108"/>
    </row>
    <row r="255" spans="1:14">
      <c r="A255" s="276"/>
      <c r="B255" s="276"/>
      <c r="C255" s="276"/>
      <c r="D255" s="276"/>
      <c r="E255" s="276"/>
      <c r="F255" s="276"/>
      <c r="G255" s="276"/>
      <c r="H255" s="276"/>
      <c r="J255" s="271"/>
      <c r="L255" s="108"/>
    </row>
    <row r="256" spans="1:14" ht="28.5" customHeight="1">
      <c r="C256" s="1557" t="s">
        <v>1239</v>
      </c>
      <c r="D256" s="1557"/>
      <c r="E256" s="1557"/>
      <c r="L256" s="108"/>
    </row>
    <row r="257" spans="9:12">
      <c r="I257" s="221"/>
      <c r="L257" s="108"/>
    </row>
    <row r="258" spans="9:12">
      <c r="L258" s="108"/>
    </row>
    <row r="259" spans="9:12">
      <c r="L259" s="108"/>
    </row>
    <row r="260" spans="9:12">
      <c r="J260" s="271"/>
      <c r="L260" s="108"/>
    </row>
    <row r="261" spans="9:12">
      <c r="J261" s="271"/>
      <c r="L261" s="108"/>
    </row>
    <row r="262" spans="9:12">
      <c r="L262" s="108"/>
    </row>
    <row r="263" spans="9:12">
      <c r="L263" s="108"/>
    </row>
    <row r="264" spans="9:12">
      <c r="J264" s="271"/>
      <c r="L264" s="108"/>
    </row>
    <row r="265" spans="9:12">
      <c r="J265" s="271"/>
      <c r="L265" s="108"/>
    </row>
    <row r="266" spans="9:12">
      <c r="J266" s="271"/>
      <c r="L266" s="108"/>
    </row>
    <row r="267" spans="9:12">
      <c r="J267" s="271"/>
      <c r="L267" s="108"/>
    </row>
    <row r="268" spans="9:12">
      <c r="J268" s="271"/>
      <c r="L268" s="108"/>
    </row>
    <row r="269" spans="9:12">
      <c r="J269" s="271"/>
      <c r="L269" s="108"/>
    </row>
    <row r="270" spans="9:12">
      <c r="L270" s="108"/>
    </row>
    <row r="271" spans="9:12">
      <c r="K271" s="112"/>
    </row>
  </sheetData>
  <mergeCells count="33">
    <mergeCell ref="C256:E256"/>
    <mergeCell ref="I234:N234"/>
    <mergeCell ref="I220:N220"/>
    <mergeCell ref="A232:F232"/>
    <mergeCell ref="I232:N232"/>
    <mergeCell ref="A1:N1"/>
    <mergeCell ref="A3:N3"/>
    <mergeCell ref="A7:F7"/>
    <mergeCell ref="K7:N7"/>
    <mergeCell ref="A218:F218"/>
    <mergeCell ref="A127:F127"/>
    <mergeCell ref="I218:N218"/>
    <mergeCell ref="I120:N120"/>
    <mergeCell ref="P7:Q7"/>
    <mergeCell ref="A36:F36"/>
    <mergeCell ref="A118:F118"/>
    <mergeCell ref="I118:N118"/>
    <mergeCell ref="A82:F82"/>
    <mergeCell ref="A112:F112"/>
    <mergeCell ref="K78:M78"/>
    <mergeCell ref="K91:N91"/>
    <mergeCell ref="A75:F75"/>
    <mergeCell ref="K75:N75"/>
    <mergeCell ref="L112:N112"/>
    <mergeCell ref="K93:N93"/>
    <mergeCell ref="K82:N82"/>
    <mergeCell ref="A91:F91"/>
    <mergeCell ref="K92:N92"/>
    <mergeCell ref="R17:S17"/>
    <mergeCell ref="A66:F66"/>
    <mergeCell ref="K36:N36"/>
    <mergeCell ref="R18:S18"/>
    <mergeCell ref="R19:S19"/>
  </mergeCells>
  <phoneticPr fontId="49" type="noConversion"/>
  <pageMargins left="0.25" right="0.25" top="0.75" bottom="0.75" header="0.3" footer="0.3"/>
  <pageSetup scale="42" fitToHeight="7" orientation="landscape" r:id="rId1"/>
  <headerFooter alignWithMargins="0"/>
  <rowBreaks count="4" manualBreakCount="4">
    <brk id="33" max="16" man="1"/>
    <brk id="73" max="16383" man="1"/>
    <brk id="125" max="16" man="1"/>
    <brk id="197" max="16"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S221"/>
  <sheetViews>
    <sheetView topLeftCell="B64" zoomScaleNormal="100" zoomScaleSheetLayoutView="75" workbookViewId="0">
      <selection activeCell="D70" sqref="D70"/>
    </sheetView>
  </sheetViews>
  <sheetFormatPr defaultRowHeight="12.75"/>
  <cols>
    <col min="1" max="1" width="18.140625" customWidth="1"/>
    <col min="3" max="3" width="18.28515625" customWidth="1"/>
    <col min="4" max="4" width="22.5703125" customWidth="1"/>
    <col min="5" max="5" width="23.140625" customWidth="1"/>
    <col min="6" max="6" width="15.28515625" customWidth="1"/>
    <col min="7" max="7" width="33" customWidth="1"/>
    <col min="8" max="8" width="12.42578125" customWidth="1"/>
    <col min="9" max="9" width="13.28515625" customWidth="1"/>
    <col min="10" max="10" width="12.7109375" customWidth="1"/>
    <col min="11" max="11" width="12.140625" customWidth="1"/>
    <col min="12" max="12" width="15.42578125" customWidth="1"/>
    <col min="13" max="13" width="11.7109375" customWidth="1"/>
    <col min="14" max="14" width="21.5703125" customWidth="1"/>
    <col min="15" max="15" width="23.5703125" customWidth="1"/>
    <col min="16" max="16" width="14" bestFit="1" customWidth="1"/>
  </cols>
  <sheetData>
    <row r="2" spans="1:19" ht="15">
      <c r="J2" s="3" t="s">
        <v>446</v>
      </c>
    </row>
    <row r="3" spans="1:19" ht="18">
      <c r="A3" s="1049" t="s">
        <v>352</v>
      </c>
      <c r="B3" s="398"/>
      <c r="C3" s="398"/>
      <c r="D3" s="398"/>
      <c r="E3" s="398"/>
      <c r="F3" s="398"/>
      <c r="G3" s="398"/>
      <c r="H3" s="398"/>
      <c r="I3" s="399"/>
      <c r="J3" s="399"/>
      <c r="K3" s="278"/>
      <c r="L3" s="278"/>
      <c r="M3" s="278"/>
      <c r="N3" s="278"/>
      <c r="O3" s="278"/>
    </row>
    <row r="4" spans="1:19">
      <c r="A4" s="278"/>
      <c r="B4" s="278"/>
      <c r="C4" s="278"/>
      <c r="D4" s="278"/>
      <c r="E4" s="1271" t="s">
        <v>1098</v>
      </c>
      <c r="F4" s="1272">
        <v>2023</v>
      </c>
      <c r="G4" s="278"/>
      <c r="H4" s="278"/>
      <c r="I4" s="278"/>
      <c r="J4" s="278"/>
      <c r="K4" s="278"/>
      <c r="L4" s="278"/>
      <c r="M4" s="278"/>
      <c r="N4" s="278"/>
      <c r="O4" s="278"/>
    </row>
    <row r="5" spans="1:19" ht="16.5">
      <c r="A5" s="277"/>
      <c r="B5" s="277"/>
      <c r="C5" s="277"/>
      <c r="D5" s="276"/>
      <c r="E5" s="1271" t="s">
        <v>1099</v>
      </c>
      <c r="F5" s="1273">
        <v>2024</v>
      </c>
      <c r="G5" s="276"/>
      <c r="H5" s="276"/>
      <c r="I5" s="276"/>
      <c r="J5" s="400"/>
      <c r="K5" s="276"/>
      <c r="L5" s="276"/>
      <c r="M5" s="276"/>
      <c r="N5" s="276"/>
      <c r="O5" s="276"/>
    </row>
    <row r="6" spans="1:19" ht="13.5">
      <c r="A6" s="401" t="s">
        <v>617</v>
      </c>
      <c r="B6" s="401" t="s">
        <v>618</v>
      </c>
      <c r="C6" s="401" t="s">
        <v>619</v>
      </c>
      <c r="D6" s="401" t="s">
        <v>620</v>
      </c>
      <c r="E6" s="1271" t="s">
        <v>1100</v>
      </c>
      <c r="F6" s="1273">
        <v>2025</v>
      </c>
      <c r="G6" s="402"/>
      <c r="H6" s="402"/>
      <c r="I6" s="402"/>
      <c r="J6" s="402"/>
      <c r="K6" s="402"/>
      <c r="L6" s="402"/>
      <c r="M6" s="402"/>
      <c r="N6" s="402"/>
      <c r="O6" s="402"/>
      <c r="P6" s="402"/>
      <c r="Q6" s="402"/>
      <c r="R6" s="402"/>
      <c r="S6" s="402"/>
    </row>
    <row r="7" spans="1:19" ht="13.5">
      <c r="A7" s="277"/>
      <c r="B7" s="401"/>
      <c r="C7" s="401"/>
      <c r="D7" s="402"/>
      <c r="E7" s="402"/>
      <c r="F7" s="402"/>
      <c r="G7" s="402"/>
      <c r="H7" s="402"/>
      <c r="I7" s="402"/>
      <c r="J7" s="402"/>
      <c r="K7" s="402"/>
      <c r="L7" s="402"/>
      <c r="M7" s="402"/>
      <c r="N7" s="402"/>
      <c r="O7" s="402"/>
      <c r="P7" s="402"/>
      <c r="Q7" s="402"/>
      <c r="R7" s="402"/>
      <c r="S7" s="402"/>
    </row>
    <row r="8" spans="1:19" ht="13.5">
      <c r="A8" s="403" t="s">
        <v>621</v>
      </c>
      <c r="B8" s="401"/>
      <c r="C8" s="401"/>
      <c r="D8" s="402"/>
      <c r="E8" s="402"/>
      <c r="F8" s="402"/>
      <c r="G8" s="402"/>
      <c r="H8" s="402"/>
      <c r="I8" s="402"/>
      <c r="J8" s="402"/>
      <c r="K8" s="402"/>
      <c r="L8" s="402"/>
      <c r="M8" s="402"/>
      <c r="N8" s="402"/>
      <c r="P8" s="402"/>
      <c r="Q8" s="402"/>
      <c r="R8" s="402"/>
      <c r="S8" s="402"/>
    </row>
    <row r="9" spans="1:19" ht="13.5">
      <c r="A9" s="401">
        <v>1</v>
      </c>
      <c r="B9" s="401" t="s">
        <v>622</v>
      </c>
      <c r="C9" s="401" t="s">
        <v>597</v>
      </c>
      <c r="D9" s="404" t="s">
        <v>1085</v>
      </c>
      <c r="E9" s="402"/>
      <c r="F9" s="402"/>
      <c r="G9" s="402"/>
      <c r="H9" s="402"/>
      <c r="I9" s="402"/>
      <c r="J9" s="402"/>
      <c r="K9" s="402"/>
      <c r="L9" s="402"/>
      <c r="M9" s="402"/>
      <c r="N9" s="402"/>
      <c r="P9" s="402"/>
      <c r="Q9" s="440"/>
      <c r="R9" s="440"/>
      <c r="S9" s="411"/>
    </row>
    <row r="10" spans="1:19" ht="13.5">
      <c r="A10" s="401">
        <v>2</v>
      </c>
      <c r="B10" s="401" t="s">
        <v>622</v>
      </c>
      <c r="C10" s="401" t="s">
        <v>597</v>
      </c>
      <c r="D10" s="404" t="s">
        <v>1086</v>
      </c>
      <c r="E10" s="402"/>
      <c r="F10" s="402"/>
      <c r="G10" s="402"/>
      <c r="H10" s="402"/>
      <c r="I10" s="402"/>
      <c r="J10" s="402"/>
      <c r="K10" s="402"/>
      <c r="L10" s="402"/>
      <c r="M10" s="402"/>
      <c r="N10" s="402"/>
      <c r="P10" s="402"/>
      <c r="Q10" s="440"/>
      <c r="R10" s="440"/>
      <c r="S10" s="411"/>
    </row>
    <row r="11" spans="1:19" ht="13.5">
      <c r="A11" s="401">
        <v>3</v>
      </c>
      <c r="B11" s="401" t="s">
        <v>622</v>
      </c>
      <c r="C11" s="401" t="s">
        <v>597</v>
      </c>
      <c r="D11" s="404" t="s">
        <v>1087</v>
      </c>
      <c r="E11" s="402"/>
      <c r="F11" s="402"/>
      <c r="G11" s="402"/>
      <c r="H11" s="402"/>
      <c r="I11" s="402"/>
      <c r="J11" s="402"/>
      <c r="K11" s="402"/>
      <c r="L11" s="402"/>
      <c r="M11" s="402"/>
      <c r="N11" s="402"/>
      <c r="P11" s="402"/>
      <c r="Q11" s="440"/>
      <c r="R11" s="440"/>
      <c r="S11" s="411"/>
    </row>
    <row r="12" spans="1:19" ht="13.5">
      <c r="A12" s="401">
        <v>4</v>
      </c>
      <c r="B12" s="401" t="s">
        <v>623</v>
      </c>
      <c r="C12" s="401" t="s">
        <v>597</v>
      </c>
      <c r="D12" s="404" t="s">
        <v>958</v>
      </c>
      <c r="E12" s="402"/>
      <c r="F12" s="402"/>
      <c r="G12" s="402"/>
      <c r="H12" s="402"/>
      <c r="I12" s="402"/>
      <c r="J12" s="402"/>
      <c r="K12" s="402"/>
      <c r="L12" s="402"/>
      <c r="M12" s="402"/>
      <c r="N12" s="402"/>
      <c r="P12" s="402"/>
      <c r="Q12" s="441"/>
      <c r="R12" s="441"/>
      <c r="S12" s="411"/>
    </row>
    <row r="13" spans="1:19" ht="13.5">
      <c r="A13" s="401">
        <v>5</v>
      </c>
      <c r="B13" s="405" t="s">
        <v>624</v>
      </c>
      <c r="C13" s="401" t="s">
        <v>597</v>
      </c>
      <c r="D13" s="404" t="s">
        <v>1088</v>
      </c>
      <c r="E13" s="402"/>
      <c r="F13" s="402"/>
      <c r="G13" s="402"/>
      <c r="H13" s="402"/>
      <c r="I13" s="402"/>
      <c r="J13" s="402"/>
      <c r="K13" s="402"/>
      <c r="L13" s="402"/>
      <c r="M13" s="402"/>
      <c r="N13" s="402"/>
      <c r="P13" s="402"/>
      <c r="Q13" s="441"/>
      <c r="R13" s="441"/>
      <c r="S13" s="411"/>
    </row>
    <row r="14" spans="1:19" ht="13.5">
      <c r="A14" s="401">
        <v>6</v>
      </c>
      <c r="B14" s="401" t="s">
        <v>622</v>
      </c>
      <c r="C14" s="401" t="s">
        <v>598</v>
      </c>
      <c r="D14" s="404" t="s">
        <v>1089</v>
      </c>
      <c r="E14" s="402"/>
      <c r="F14" s="402"/>
      <c r="G14" s="402"/>
      <c r="H14" s="402"/>
      <c r="I14" s="402"/>
      <c r="J14" s="402"/>
      <c r="K14" s="402"/>
      <c r="L14" s="402"/>
      <c r="M14" s="402"/>
      <c r="N14" s="402"/>
      <c r="P14" s="402"/>
      <c r="Q14" s="441"/>
      <c r="R14" s="441"/>
      <c r="S14" s="411"/>
    </row>
    <row r="15" spans="1:19" ht="13.5">
      <c r="A15" s="401">
        <v>7</v>
      </c>
      <c r="B15" s="401" t="s">
        <v>622</v>
      </c>
      <c r="C15" s="401" t="s">
        <v>598</v>
      </c>
      <c r="D15" s="404" t="str">
        <f>+D65</f>
        <v>Reconciliation</v>
      </c>
      <c r="E15" s="276"/>
      <c r="F15" s="276"/>
      <c r="G15" s="276"/>
      <c r="H15" s="276"/>
      <c r="I15" s="276"/>
      <c r="J15" s="276"/>
      <c r="K15" s="402"/>
      <c r="L15" s="402"/>
      <c r="M15" s="402"/>
      <c r="N15" s="402"/>
      <c r="P15" s="402"/>
      <c r="Q15" s="441"/>
      <c r="R15" s="441"/>
      <c r="S15" s="411"/>
    </row>
    <row r="16" spans="1:19" ht="13.5">
      <c r="A16" s="401">
        <v>8</v>
      </c>
      <c r="B16" s="401" t="s">
        <v>622</v>
      </c>
      <c r="C16" s="401" t="s">
        <v>598</v>
      </c>
      <c r="D16" s="404" t="str">
        <f>+D75</f>
        <v>True-Up Adjustment</v>
      </c>
      <c r="E16" s="402"/>
      <c r="F16" s="402"/>
      <c r="G16" s="402"/>
      <c r="H16" s="402"/>
      <c r="I16" s="402"/>
      <c r="J16" s="402"/>
      <c r="K16" s="402"/>
      <c r="L16" s="402"/>
      <c r="M16" s="1266"/>
      <c r="N16" s="402"/>
      <c r="P16" s="402"/>
      <c r="Q16" s="606"/>
      <c r="R16" s="606"/>
      <c r="S16" s="411"/>
    </row>
    <row r="17" spans="1:19" ht="13.5">
      <c r="A17" s="401">
        <v>9</v>
      </c>
      <c r="B17" s="401" t="s">
        <v>622</v>
      </c>
      <c r="C17" s="401" t="s">
        <v>598</v>
      </c>
      <c r="D17" s="404" t="s">
        <v>1090</v>
      </c>
      <c r="E17" s="402"/>
      <c r="F17" s="402"/>
      <c r="G17" s="402"/>
      <c r="H17" s="402"/>
      <c r="I17" s="402"/>
      <c r="J17" s="402"/>
      <c r="K17" s="402"/>
      <c r="L17" s="402"/>
      <c r="M17" s="402"/>
      <c r="N17" s="402"/>
      <c r="P17" s="402"/>
      <c r="Q17" s="606"/>
      <c r="R17" s="606"/>
      <c r="S17" s="411"/>
    </row>
    <row r="18" spans="1:19" ht="13.5">
      <c r="A18" s="401">
        <v>10</v>
      </c>
      <c r="B18" s="401" t="s">
        <v>623</v>
      </c>
      <c r="C18" s="401" t="s">
        <v>598</v>
      </c>
      <c r="D18" s="404" t="s">
        <v>459</v>
      </c>
      <c r="E18" s="402"/>
      <c r="F18" s="402"/>
      <c r="G18" s="402"/>
      <c r="H18" s="402"/>
      <c r="I18" s="402"/>
      <c r="J18" s="402"/>
      <c r="K18" s="402"/>
      <c r="L18" s="402"/>
      <c r="M18" s="402"/>
      <c r="N18" s="402"/>
      <c r="P18" s="402"/>
      <c r="Q18" s="606"/>
      <c r="R18" s="606"/>
      <c r="S18" s="411"/>
    </row>
    <row r="19" spans="1:19" ht="13.5">
      <c r="A19" s="401">
        <v>11</v>
      </c>
      <c r="B19" s="405" t="s">
        <v>624</v>
      </c>
      <c r="C19" s="401" t="s">
        <v>598</v>
      </c>
      <c r="D19" s="404" t="s">
        <v>1091</v>
      </c>
      <c r="E19" s="402"/>
      <c r="F19" s="402"/>
      <c r="G19" s="402"/>
      <c r="H19" s="402"/>
      <c r="I19" s="402"/>
      <c r="J19" s="402"/>
      <c r="K19" s="402"/>
      <c r="L19" s="402"/>
      <c r="M19" s="402"/>
      <c r="N19" s="402"/>
      <c r="P19" s="402"/>
      <c r="Q19" s="606"/>
      <c r="R19" s="606"/>
      <c r="S19" s="606"/>
    </row>
    <row r="20" spans="1:19" ht="13.5">
      <c r="A20" s="401"/>
      <c r="B20" s="405"/>
      <c r="C20" s="401"/>
      <c r="D20" s="404"/>
      <c r="E20" s="402"/>
      <c r="F20" s="402"/>
      <c r="G20" s="402"/>
      <c r="H20" s="402"/>
      <c r="I20" s="402"/>
      <c r="J20" s="402"/>
      <c r="K20" s="402"/>
      <c r="L20" s="402"/>
      <c r="M20" s="402"/>
      <c r="N20" s="402"/>
      <c r="P20" s="402"/>
      <c r="Q20" s="402"/>
      <c r="R20" s="402"/>
      <c r="S20" s="402"/>
    </row>
    <row r="21" spans="1:19" ht="13.5">
      <c r="A21" s="403"/>
      <c r="B21" s="401"/>
      <c r="C21" s="401"/>
      <c r="D21" s="406"/>
      <c r="E21" s="402"/>
      <c r="F21" s="402"/>
      <c r="G21" s="402"/>
      <c r="H21" s="402"/>
      <c r="I21" s="1251"/>
      <c r="J21" s="402"/>
      <c r="K21" s="402"/>
      <c r="L21" s="402"/>
      <c r="M21" s="402"/>
      <c r="N21" s="402"/>
      <c r="P21" s="402"/>
      <c r="Q21" s="402"/>
      <c r="R21" s="402"/>
      <c r="S21" s="402"/>
    </row>
    <row r="22" spans="1:19" ht="13.5">
      <c r="A22" s="401">
        <v>1</v>
      </c>
      <c r="B22" s="401" t="s">
        <v>622</v>
      </c>
      <c r="C22" s="401" t="s">
        <v>597</v>
      </c>
      <c r="D22" s="402" t="s">
        <v>1092</v>
      </c>
      <c r="E22" s="402"/>
      <c r="F22" s="402"/>
      <c r="G22" s="402"/>
      <c r="H22" s="402"/>
      <c r="I22" s="402"/>
      <c r="J22" s="276"/>
      <c r="K22" s="402"/>
      <c r="L22" s="402"/>
      <c r="M22" s="402"/>
      <c r="N22" s="402"/>
    </row>
    <row r="23" spans="1:19" ht="13.5">
      <c r="A23" s="401"/>
      <c r="B23" s="401"/>
      <c r="C23" s="401"/>
      <c r="D23" s="407"/>
      <c r="E23" s="402" t="s">
        <v>365</v>
      </c>
      <c r="F23" s="402"/>
      <c r="G23" s="408" t="s">
        <v>1082</v>
      </c>
      <c r="H23" s="402"/>
      <c r="I23" s="402"/>
      <c r="J23" s="402"/>
      <c r="L23" s="402"/>
      <c r="M23" s="402"/>
      <c r="N23" s="402"/>
    </row>
    <row r="24" spans="1:19" ht="13.5">
      <c r="A24" s="401"/>
      <c r="B24" s="401"/>
      <c r="C24" s="401"/>
      <c r="D24" s="409"/>
      <c r="E24" s="402"/>
      <c r="F24" s="402"/>
      <c r="G24" s="402"/>
      <c r="H24" s="402"/>
      <c r="I24" s="402"/>
      <c r="J24" s="402"/>
      <c r="K24" s="402"/>
      <c r="L24" s="402"/>
      <c r="M24" s="402"/>
      <c r="N24" s="402"/>
      <c r="O24" s="402"/>
    </row>
    <row r="25" spans="1:19" ht="13.5">
      <c r="A25" s="401">
        <v>2</v>
      </c>
      <c r="B25" s="401" t="s">
        <v>622</v>
      </c>
      <c r="C25" s="401" t="s">
        <v>597</v>
      </c>
      <c r="D25" s="404" t="s">
        <v>1086</v>
      </c>
      <c r="E25" s="402"/>
      <c r="F25" s="402"/>
      <c r="G25" s="402"/>
      <c r="H25" s="402"/>
      <c r="I25" s="402"/>
      <c r="J25" s="276"/>
      <c r="K25" s="402"/>
      <c r="L25" s="402"/>
      <c r="M25" s="402"/>
      <c r="N25" s="402"/>
      <c r="O25" s="402"/>
    </row>
    <row r="26" spans="1:19" ht="13.5">
      <c r="A26" s="401"/>
      <c r="C26" s="401"/>
      <c r="D26" s="404"/>
      <c r="E26" s="402"/>
      <c r="F26" s="402"/>
      <c r="G26" s="402"/>
      <c r="H26" s="402"/>
      <c r="I26" s="402"/>
      <c r="J26" s="276"/>
      <c r="K26" s="402"/>
      <c r="L26" s="402"/>
      <c r="M26" s="402"/>
      <c r="N26" s="402"/>
      <c r="O26" s="402"/>
    </row>
    <row r="27" spans="1:19" ht="13.5">
      <c r="A27" s="401"/>
      <c r="B27" s="276"/>
      <c r="C27" s="324" t="s">
        <v>262</v>
      </c>
      <c r="D27" s="324" t="s">
        <v>263</v>
      </c>
      <c r="E27" s="324" t="s">
        <v>355</v>
      </c>
      <c r="F27" s="324" t="s">
        <v>264</v>
      </c>
      <c r="G27" s="324" t="s">
        <v>265</v>
      </c>
      <c r="I27" s="324" t="s">
        <v>261</v>
      </c>
      <c r="J27" s="324" t="s">
        <v>354</v>
      </c>
      <c r="K27" s="324" t="s">
        <v>566</v>
      </c>
      <c r="L27" s="324" t="s">
        <v>567</v>
      </c>
      <c r="M27" s="324" t="s">
        <v>959</v>
      </c>
      <c r="O27" s="401"/>
    </row>
    <row r="28" spans="1:19" ht="13.5">
      <c r="A28" s="401"/>
      <c r="B28" s="276"/>
      <c r="C28" s="401" t="s">
        <v>218</v>
      </c>
      <c r="D28" s="401" t="s">
        <v>218</v>
      </c>
      <c r="E28" s="401" t="s">
        <v>218</v>
      </c>
      <c r="F28" s="401" t="s">
        <v>218</v>
      </c>
      <c r="G28" s="401" t="s">
        <v>218</v>
      </c>
      <c r="H28" s="401"/>
      <c r="I28" s="401" t="s">
        <v>72</v>
      </c>
      <c r="J28" s="401" t="s">
        <v>72</v>
      </c>
      <c r="K28" s="401" t="s">
        <v>72</v>
      </c>
      <c r="L28" s="401" t="s">
        <v>72</v>
      </c>
      <c r="M28" s="401" t="s">
        <v>72</v>
      </c>
      <c r="O28" s="401"/>
    </row>
    <row r="29" spans="1:19" ht="13.5">
      <c r="A29" s="401"/>
      <c r="B29" s="402"/>
      <c r="C29" s="401" t="s">
        <v>68</v>
      </c>
      <c r="D29" s="401" t="s">
        <v>68</v>
      </c>
      <c r="E29" s="401" t="s">
        <v>68</v>
      </c>
      <c r="F29" s="438"/>
      <c r="G29" s="438"/>
      <c r="H29" s="401"/>
      <c r="I29" s="401" t="s">
        <v>73</v>
      </c>
      <c r="J29" s="401" t="s">
        <v>75</v>
      </c>
      <c r="K29" s="401" t="s">
        <v>76</v>
      </c>
      <c r="L29" s="401" t="s">
        <v>77</v>
      </c>
      <c r="M29" s="401" t="s">
        <v>78</v>
      </c>
      <c r="O29" s="401"/>
    </row>
    <row r="30" spans="1:19" ht="13.5">
      <c r="A30" s="401"/>
      <c r="B30" s="402"/>
      <c r="C30" s="401" t="s">
        <v>565</v>
      </c>
      <c r="D30" s="401"/>
      <c r="E30" s="401"/>
      <c r="F30" s="401" t="s">
        <v>69</v>
      </c>
      <c r="G30" s="401" t="s">
        <v>70</v>
      </c>
      <c r="H30" s="401"/>
      <c r="I30" s="401"/>
      <c r="J30" s="401"/>
      <c r="K30" s="401"/>
      <c r="L30" s="401"/>
      <c r="M30" s="401"/>
    </row>
    <row r="31" spans="1:19" ht="13.5">
      <c r="A31" s="401"/>
      <c r="B31" s="402"/>
      <c r="C31" s="401"/>
      <c r="D31" s="410"/>
      <c r="E31" s="410"/>
      <c r="F31" s="401"/>
      <c r="G31" s="401"/>
      <c r="H31" s="437"/>
      <c r="I31" s="401"/>
      <c r="J31" s="411"/>
      <c r="K31" s="401"/>
      <c r="L31" s="401"/>
      <c r="M31" s="406"/>
    </row>
    <row r="32" spans="1:19" ht="13.5">
      <c r="A32" s="401"/>
      <c r="B32" s="402" t="s">
        <v>625</v>
      </c>
      <c r="C32" s="1313"/>
      <c r="D32" s="412"/>
      <c r="E32" s="412"/>
      <c r="F32" s="412"/>
      <c r="G32" s="412"/>
      <c r="H32" s="437"/>
      <c r="I32" s="411">
        <f>C32</f>
        <v>0</v>
      </c>
      <c r="J32" s="411">
        <f>D32</f>
        <v>0</v>
      </c>
      <c r="K32" s="411">
        <f>E32</f>
        <v>0</v>
      </c>
      <c r="L32" s="411">
        <f>F32</f>
        <v>0</v>
      </c>
      <c r="M32" s="411">
        <f>G32</f>
        <v>0</v>
      </c>
      <c r="O32" s="411"/>
    </row>
    <row r="33" spans="1:15" ht="13.5">
      <c r="A33" s="401"/>
      <c r="B33" s="402" t="s">
        <v>626</v>
      </c>
      <c r="C33" s="1313"/>
      <c r="D33" s="412"/>
      <c r="E33" s="412"/>
      <c r="F33" s="412"/>
      <c r="G33" s="412"/>
      <c r="H33" s="437"/>
      <c r="I33" s="411">
        <f t="shared" ref="I33:I43" si="0">I32+C33</f>
        <v>0</v>
      </c>
      <c r="J33" s="411">
        <f t="shared" ref="J33:J43" si="1">J32+D33</f>
        <v>0</v>
      </c>
      <c r="K33" s="411">
        <f t="shared" ref="K33:K43" si="2">K32+E33</f>
        <v>0</v>
      </c>
      <c r="L33" s="411">
        <f t="shared" ref="L33:L43" si="3">L32+F33</f>
        <v>0</v>
      </c>
      <c r="M33" s="411">
        <f t="shared" ref="M33:M43" si="4">M32+G33</f>
        <v>0</v>
      </c>
      <c r="O33" s="411"/>
    </row>
    <row r="34" spans="1:15" ht="13.5">
      <c r="A34" s="401"/>
      <c r="B34" s="402" t="s">
        <v>627</v>
      </c>
      <c r="C34" s="1313"/>
      <c r="D34" s="412"/>
      <c r="E34" s="412"/>
      <c r="F34" s="412"/>
      <c r="G34" s="412"/>
      <c r="H34" s="437"/>
      <c r="I34" s="411">
        <f t="shared" si="0"/>
        <v>0</v>
      </c>
      <c r="J34" s="411">
        <f t="shared" si="1"/>
        <v>0</v>
      </c>
      <c r="K34" s="411">
        <f t="shared" si="2"/>
        <v>0</v>
      </c>
      <c r="L34" s="411">
        <f t="shared" si="3"/>
        <v>0</v>
      </c>
      <c r="M34" s="411">
        <f t="shared" si="4"/>
        <v>0</v>
      </c>
      <c r="O34" s="411"/>
    </row>
    <row r="35" spans="1:15" ht="13.5">
      <c r="A35" s="401"/>
      <c r="B35" s="402" t="s">
        <v>628</v>
      </c>
      <c r="C35" s="1313"/>
      <c r="D35" s="412"/>
      <c r="E35" s="412"/>
      <c r="F35" s="412"/>
      <c r="G35" s="412"/>
      <c r="H35" s="437"/>
      <c r="I35" s="411">
        <f t="shared" si="0"/>
        <v>0</v>
      </c>
      <c r="J35" s="411">
        <f t="shared" si="1"/>
        <v>0</v>
      </c>
      <c r="K35" s="411">
        <f t="shared" si="2"/>
        <v>0</v>
      </c>
      <c r="L35" s="411">
        <f t="shared" si="3"/>
        <v>0</v>
      </c>
      <c r="M35" s="411">
        <f t="shared" si="4"/>
        <v>0</v>
      </c>
      <c r="O35" s="411"/>
    </row>
    <row r="36" spans="1:15" ht="13.5">
      <c r="A36" s="401"/>
      <c r="B36" s="402" t="s">
        <v>623</v>
      </c>
      <c r="C36" s="1313"/>
      <c r="D36" s="412"/>
      <c r="E36" s="412"/>
      <c r="F36" s="412"/>
      <c r="G36" s="412"/>
      <c r="H36" s="437"/>
      <c r="I36" s="411">
        <f t="shared" si="0"/>
        <v>0</v>
      </c>
      <c r="J36" s="411">
        <f t="shared" si="1"/>
        <v>0</v>
      </c>
      <c r="K36" s="411">
        <f t="shared" si="2"/>
        <v>0</v>
      </c>
      <c r="L36" s="411">
        <f t="shared" si="3"/>
        <v>0</v>
      </c>
      <c r="M36" s="411">
        <f t="shared" si="4"/>
        <v>0</v>
      </c>
      <c r="O36" s="411"/>
    </row>
    <row r="37" spans="1:15" ht="13.5">
      <c r="A37" s="401"/>
      <c r="B37" s="402" t="s">
        <v>629</v>
      </c>
      <c r="C37" s="1313"/>
      <c r="D37" s="412"/>
      <c r="E37" s="412"/>
      <c r="F37" s="412"/>
      <c r="G37" s="412"/>
      <c r="H37" s="437"/>
      <c r="I37" s="411">
        <f t="shared" si="0"/>
        <v>0</v>
      </c>
      <c r="J37" s="411">
        <f t="shared" si="1"/>
        <v>0</v>
      </c>
      <c r="K37" s="411">
        <f t="shared" si="2"/>
        <v>0</v>
      </c>
      <c r="L37" s="411">
        <f t="shared" si="3"/>
        <v>0</v>
      </c>
      <c r="M37" s="411">
        <f t="shared" si="4"/>
        <v>0</v>
      </c>
      <c r="O37" s="411"/>
    </row>
    <row r="38" spans="1:15" ht="13.5">
      <c r="A38" s="401"/>
      <c r="B38" s="402" t="s">
        <v>630</v>
      </c>
      <c r="C38" s="1313"/>
      <c r="D38" s="412"/>
      <c r="E38" s="412"/>
      <c r="F38" s="412"/>
      <c r="G38" s="412"/>
      <c r="H38" s="437"/>
      <c r="I38" s="411">
        <f t="shared" si="0"/>
        <v>0</v>
      </c>
      <c r="J38" s="411">
        <f t="shared" si="1"/>
        <v>0</v>
      </c>
      <c r="K38" s="411">
        <f t="shared" si="2"/>
        <v>0</v>
      </c>
      <c r="L38" s="411">
        <f t="shared" si="3"/>
        <v>0</v>
      </c>
      <c r="M38" s="411">
        <f t="shared" si="4"/>
        <v>0</v>
      </c>
      <c r="O38" s="411"/>
    </row>
    <row r="39" spans="1:15" ht="13.5">
      <c r="A39" s="401"/>
      <c r="B39" s="402" t="s">
        <v>631</v>
      </c>
      <c r="C39" s="1313"/>
      <c r="D39" s="412"/>
      <c r="E39" s="412"/>
      <c r="F39" s="412"/>
      <c r="G39" s="412"/>
      <c r="H39" s="437"/>
      <c r="I39" s="411">
        <f t="shared" si="0"/>
        <v>0</v>
      </c>
      <c r="J39" s="411">
        <f t="shared" si="1"/>
        <v>0</v>
      </c>
      <c r="K39" s="411">
        <f t="shared" si="2"/>
        <v>0</v>
      </c>
      <c r="L39" s="411">
        <f t="shared" si="3"/>
        <v>0</v>
      </c>
      <c r="M39" s="411">
        <f t="shared" si="4"/>
        <v>0</v>
      </c>
      <c r="O39" s="411"/>
    </row>
    <row r="40" spans="1:15" ht="13.5">
      <c r="A40" s="401"/>
      <c r="B40" s="402" t="s">
        <v>632</v>
      </c>
      <c r="C40" s="1313"/>
      <c r="D40" s="412"/>
      <c r="E40" s="412"/>
      <c r="F40" s="412"/>
      <c r="G40" s="412"/>
      <c r="H40" s="437"/>
      <c r="I40" s="411">
        <f t="shared" si="0"/>
        <v>0</v>
      </c>
      <c r="J40" s="411">
        <f t="shared" si="1"/>
        <v>0</v>
      </c>
      <c r="K40" s="411">
        <f t="shared" si="2"/>
        <v>0</v>
      </c>
      <c r="L40" s="411">
        <f t="shared" si="3"/>
        <v>0</v>
      </c>
      <c r="M40" s="411">
        <f t="shared" si="4"/>
        <v>0</v>
      </c>
      <c r="O40" s="411"/>
    </row>
    <row r="41" spans="1:15" ht="13.5">
      <c r="A41" s="401"/>
      <c r="B41" s="402" t="s">
        <v>633</v>
      </c>
      <c r="C41" s="1313"/>
      <c r="D41" s="412"/>
      <c r="E41" s="412"/>
      <c r="F41" s="412"/>
      <c r="G41" s="412"/>
      <c r="H41" s="437"/>
      <c r="I41" s="411">
        <f t="shared" si="0"/>
        <v>0</v>
      </c>
      <c r="J41" s="411">
        <f t="shared" si="1"/>
        <v>0</v>
      </c>
      <c r="K41" s="411">
        <f t="shared" si="2"/>
        <v>0</v>
      </c>
      <c r="L41" s="411">
        <f t="shared" si="3"/>
        <v>0</v>
      </c>
      <c r="M41" s="411">
        <f t="shared" si="4"/>
        <v>0</v>
      </c>
      <c r="O41" s="411"/>
    </row>
    <row r="42" spans="1:15" ht="13.5">
      <c r="A42" s="401"/>
      <c r="B42" s="402" t="s">
        <v>634</v>
      </c>
      <c r="C42" s="1313"/>
      <c r="D42" s="412"/>
      <c r="E42" s="412"/>
      <c r="F42" s="412"/>
      <c r="G42" s="412"/>
      <c r="H42" s="437"/>
      <c r="I42" s="411">
        <f t="shared" si="0"/>
        <v>0</v>
      </c>
      <c r="J42" s="411">
        <f t="shared" si="1"/>
        <v>0</v>
      </c>
      <c r="K42" s="411">
        <f t="shared" si="2"/>
        <v>0</v>
      </c>
      <c r="L42" s="411">
        <f t="shared" si="3"/>
        <v>0</v>
      </c>
      <c r="M42" s="411">
        <f t="shared" si="4"/>
        <v>0</v>
      </c>
      <c r="O42" s="411"/>
    </row>
    <row r="43" spans="1:15" ht="13.5">
      <c r="A43" s="401"/>
      <c r="B43" s="402" t="s">
        <v>635</v>
      </c>
      <c r="C43" s="1313"/>
      <c r="D43" s="412"/>
      <c r="E43" s="412"/>
      <c r="F43" s="412"/>
      <c r="G43" s="412"/>
      <c r="H43" s="437"/>
      <c r="I43" s="411">
        <f t="shared" si="0"/>
        <v>0</v>
      </c>
      <c r="J43" s="411">
        <f t="shared" si="1"/>
        <v>0</v>
      </c>
      <c r="K43" s="411">
        <f t="shared" si="2"/>
        <v>0</v>
      </c>
      <c r="L43" s="411">
        <f t="shared" si="3"/>
        <v>0</v>
      </c>
      <c r="M43" s="411">
        <f t="shared" si="4"/>
        <v>0</v>
      </c>
      <c r="O43" s="411"/>
    </row>
    <row r="44" spans="1:15" ht="13.5">
      <c r="A44" s="401"/>
      <c r="B44" s="402" t="s">
        <v>847</v>
      </c>
      <c r="C44" s="411">
        <f>SUM(C32:C43)</f>
        <v>0</v>
      </c>
      <c r="D44" s="411">
        <v>0</v>
      </c>
      <c r="E44" s="411">
        <v>0</v>
      </c>
      <c r="F44" s="411">
        <v>0</v>
      </c>
      <c r="G44" s="411">
        <v>0</v>
      </c>
      <c r="H44" s="411" t="s">
        <v>79</v>
      </c>
      <c r="I44" s="411">
        <f>AVERAGE(I32:I43)</f>
        <v>0</v>
      </c>
      <c r="J44" s="411">
        <f>AVERAGE(J32:J43)</f>
        <v>0</v>
      </c>
      <c r="K44" s="411">
        <f>AVERAGE(K32:K43)</f>
        <v>0</v>
      </c>
      <c r="L44" s="411">
        <f>AVERAGE(L32:L43)</f>
        <v>0</v>
      </c>
      <c r="M44" s="411">
        <f>AVERAGE(M32:M43)</f>
        <v>0</v>
      </c>
      <c r="O44" s="411"/>
    </row>
    <row r="45" spans="1:15" ht="13.5">
      <c r="A45" s="401"/>
      <c r="C45" s="402"/>
      <c r="D45" s="276"/>
      <c r="E45" s="276"/>
      <c r="F45" s="276"/>
      <c r="G45" s="276"/>
      <c r="H45" s="276"/>
      <c r="I45" s="276"/>
      <c r="J45" s="276"/>
      <c r="K45" s="413"/>
      <c r="L45" s="402"/>
      <c r="M45" s="402"/>
      <c r="N45" s="402"/>
    </row>
    <row r="46" spans="1:15" ht="13.5">
      <c r="A46" s="401"/>
      <c r="B46" s="402" t="s">
        <v>81</v>
      </c>
      <c r="C46" s="402"/>
      <c r="D46" s="276"/>
      <c r="E46" s="276"/>
      <c r="F46" s="276"/>
      <c r="G46" s="276"/>
      <c r="H46" s="276"/>
      <c r="I46" s="276"/>
      <c r="K46" s="1010" t="s">
        <v>80</v>
      </c>
      <c r="L46" s="411">
        <f>SUM(I44:M44)</f>
        <v>0</v>
      </c>
      <c r="M46" s="411"/>
      <c r="N46" s="411"/>
    </row>
    <row r="47" spans="1:15" ht="13.5">
      <c r="A47" s="1247"/>
      <c r="B47" s="402"/>
      <c r="C47" s="402"/>
      <c r="D47" s="276"/>
      <c r="E47" s="276"/>
      <c r="F47" s="276"/>
      <c r="G47" s="276"/>
      <c r="H47" s="276"/>
      <c r="I47" s="276"/>
      <c r="J47" s="402"/>
      <c r="K47" s="402"/>
      <c r="L47" s="276"/>
      <c r="M47" s="411"/>
      <c r="N47" s="402"/>
      <c r="O47" s="411"/>
    </row>
    <row r="48" spans="1:15" ht="13.5">
      <c r="A48" s="401"/>
      <c r="B48" s="401"/>
      <c r="C48" s="401"/>
      <c r="D48" s="402"/>
      <c r="E48" s="402"/>
      <c r="F48" s="276"/>
      <c r="G48" s="276"/>
      <c r="H48" s="276"/>
      <c r="I48" s="276"/>
      <c r="J48" s="402"/>
      <c r="L48" s="276"/>
      <c r="M48" s="414"/>
      <c r="N48" s="414"/>
      <c r="O48" s="415"/>
    </row>
    <row r="49" spans="1:15" ht="13.5">
      <c r="A49" s="401">
        <v>3</v>
      </c>
      <c r="B49" s="401" t="s">
        <v>622</v>
      </c>
      <c r="C49" s="401" t="s">
        <v>597</v>
      </c>
      <c r="D49" s="404" t="s">
        <v>1087</v>
      </c>
      <c r="E49" s="402"/>
      <c r="F49" s="402"/>
      <c r="G49" s="402"/>
      <c r="H49" s="402"/>
      <c r="I49" s="402"/>
      <c r="J49" s="402"/>
      <c r="K49" s="402"/>
      <c r="L49" s="411"/>
      <c r="M49" s="402"/>
      <c r="N49" s="402"/>
      <c r="O49" s="402"/>
    </row>
    <row r="50" spans="1:15" ht="13.5">
      <c r="A50" s="401"/>
      <c r="B50" s="401"/>
      <c r="C50" s="401"/>
      <c r="D50" s="416"/>
      <c r="E50" s="409"/>
      <c r="F50" s="411"/>
      <c r="G50" s="408" t="s">
        <v>1081</v>
      </c>
      <c r="H50" s="411"/>
      <c r="I50" s="402"/>
      <c r="J50" s="402"/>
      <c r="L50" s="411"/>
      <c r="M50" s="1251"/>
      <c r="N50" s="402"/>
      <c r="O50" s="414"/>
    </row>
    <row r="51" spans="1:15" ht="13.5">
      <c r="A51" s="401"/>
      <c r="B51" s="401"/>
      <c r="C51" s="401"/>
      <c r="D51" s="417"/>
      <c r="E51" s="401"/>
      <c r="F51" s="411"/>
      <c r="G51" s="1120"/>
      <c r="H51" s="411"/>
      <c r="I51" s="402"/>
      <c r="J51" s="402"/>
      <c r="K51" s="402"/>
      <c r="L51" s="402"/>
      <c r="M51" s="402"/>
      <c r="N51" s="402"/>
      <c r="O51" s="402"/>
    </row>
    <row r="52" spans="1:15" ht="13.5">
      <c r="A52" s="401">
        <v>4</v>
      </c>
      <c r="B52" s="401" t="s">
        <v>623</v>
      </c>
      <c r="C52" s="401" t="s">
        <v>597</v>
      </c>
      <c r="D52" s="402" t="s">
        <v>958</v>
      </c>
      <c r="E52" s="402"/>
      <c r="F52" s="402"/>
      <c r="G52" s="1121"/>
      <c r="H52" s="402"/>
      <c r="I52" s="402"/>
      <c r="J52" s="402"/>
      <c r="K52" s="402"/>
      <c r="L52" s="402"/>
      <c r="M52" s="402"/>
      <c r="N52" s="402"/>
      <c r="O52" s="402"/>
    </row>
    <row r="53" spans="1:15" ht="13.5">
      <c r="A53" s="401"/>
      <c r="B53" s="401"/>
      <c r="C53" s="401"/>
      <c r="D53" s="407"/>
      <c r="E53" s="276"/>
      <c r="F53" s="417"/>
      <c r="G53" s="408" t="s">
        <v>1081</v>
      </c>
      <c r="H53" s="402"/>
      <c r="I53" s="402"/>
      <c r="J53" s="402"/>
      <c r="K53" s="402"/>
      <c r="L53" s="402"/>
      <c r="M53" s="402"/>
      <c r="N53" s="402"/>
      <c r="O53" s="402"/>
    </row>
    <row r="54" spans="1:15" ht="13.5">
      <c r="A54" s="401"/>
      <c r="B54" s="401"/>
      <c r="C54" s="401"/>
      <c r="D54" s="418"/>
      <c r="E54" s="402"/>
      <c r="F54" s="402"/>
      <c r="G54" s="402"/>
      <c r="H54" s="402"/>
      <c r="I54" s="402"/>
      <c r="J54" s="402"/>
      <c r="K54" s="402"/>
      <c r="L54" s="402"/>
      <c r="M54" s="402"/>
      <c r="N54" s="402"/>
      <c r="O54" s="402"/>
    </row>
    <row r="55" spans="1:15" ht="13.5">
      <c r="A55" s="401">
        <v>5</v>
      </c>
      <c r="B55" s="401" t="s">
        <v>624</v>
      </c>
      <c r="C55" s="401" t="s">
        <v>597</v>
      </c>
      <c r="D55" s="404" t="s">
        <v>1088</v>
      </c>
      <c r="E55" s="402"/>
      <c r="F55" s="402"/>
      <c r="G55" s="402"/>
      <c r="H55" s="402"/>
      <c r="I55" s="402"/>
      <c r="J55" s="402"/>
      <c r="K55" s="402"/>
      <c r="L55" s="402"/>
      <c r="M55" s="402"/>
      <c r="N55" s="402"/>
      <c r="O55" s="402"/>
    </row>
    <row r="56" spans="1:15" ht="13.5">
      <c r="A56" s="401"/>
      <c r="B56" s="401"/>
      <c r="C56" s="401"/>
      <c r="D56" s="416"/>
      <c r="E56" s="402"/>
      <c r="F56" s="402"/>
      <c r="G56" s="402"/>
      <c r="H56" s="402"/>
      <c r="I56" s="402"/>
      <c r="J56" s="402"/>
      <c r="K56" s="402"/>
      <c r="L56" s="402"/>
      <c r="M56" s="402"/>
      <c r="N56" s="402"/>
      <c r="O56" s="402"/>
    </row>
    <row r="57" spans="1:15" ht="13.5">
      <c r="A57" s="401"/>
      <c r="B57" s="401"/>
      <c r="C57" s="401"/>
      <c r="D57" s="402"/>
      <c r="E57" s="402"/>
      <c r="F57" s="402"/>
      <c r="G57" s="402"/>
      <c r="H57" s="402"/>
      <c r="I57" s="402"/>
      <c r="J57" s="402"/>
      <c r="K57" s="402"/>
      <c r="L57" s="402"/>
      <c r="M57" s="402"/>
      <c r="N57" s="402"/>
      <c r="O57" s="402"/>
    </row>
    <row r="58" spans="1:15" ht="15.75">
      <c r="A58" s="401"/>
      <c r="B58" s="401"/>
      <c r="C58" s="401"/>
      <c r="D58" s="402"/>
      <c r="E58" s="402"/>
      <c r="F58" s="402"/>
      <c r="G58" s="402"/>
      <c r="H58" s="402"/>
      <c r="I58" s="402"/>
      <c r="J58" s="419"/>
      <c r="K58" s="402"/>
      <c r="L58" s="402"/>
      <c r="M58" s="402"/>
      <c r="N58" s="402"/>
      <c r="O58" s="402"/>
    </row>
    <row r="59" spans="1:15" ht="15.75">
      <c r="A59" s="401"/>
      <c r="B59" s="401"/>
      <c r="C59" s="401"/>
      <c r="D59" s="402"/>
      <c r="E59" s="402"/>
      <c r="F59" s="402"/>
      <c r="G59" s="402"/>
      <c r="H59" s="402"/>
      <c r="I59" s="402"/>
      <c r="J59" s="419"/>
      <c r="K59" s="402"/>
      <c r="L59" s="402"/>
      <c r="M59" s="402"/>
      <c r="N59" s="402"/>
      <c r="O59" s="402"/>
    </row>
    <row r="60" spans="1:15" ht="13.5">
      <c r="A60" s="401">
        <v>6</v>
      </c>
      <c r="B60" s="401" t="s">
        <v>622</v>
      </c>
      <c r="C60" s="401" t="s">
        <v>598</v>
      </c>
      <c r="D60" s="404" t="s">
        <v>1089</v>
      </c>
      <c r="E60" s="402"/>
      <c r="F60" s="402"/>
      <c r="G60" s="402"/>
      <c r="H60" s="402"/>
      <c r="I60" s="402"/>
      <c r="J60" s="402"/>
      <c r="K60" s="402"/>
      <c r="L60" s="402"/>
      <c r="M60" s="402"/>
      <c r="N60" s="402"/>
      <c r="O60" s="402"/>
    </row>
    <row r="61" spans="1:15" ht="13.5">
      <c r="A61" s="401"/>
      <c r="B61" s="401"/>
      <c r="C61" s="401"/>
      <c r="D61" s="420"/>
      <c r="E61" s="402" t="s">
        <v>653</v>
      </c>
      <c r="F61" s="402"/>
      <c r="G61" s="408" t="s">
        <v>1083</v>
      </c>
      <c r="H61" s="402"/>
      <c r="I61" s="402"/>
      <c r="J61" s="276"/>
      <c r="K61" s="402"/>
      <c r="L61" s="402"/>
      <c r="M61" s="402"/>
      <c r="N61" s="402"/>
      <c r="O61" s="402"/>
    </row>
    <row r="62" spans="1:15" ht="13.5">
      <c r="A62" s="401"/>
      <c r="B62" s="401"/>
      <c r="C62" s="401"/>
      <c r="D62" s="421"/>
      <c r="E62" s="441"/>
      <c r="F62" s="440"/>
      <c r="G62" s="441"/>
      <c r="H62" s="441"/>
      <c r="J62" s="402"/>
      <c r="K62" s="402"/>
      <c r="L62" s="402"/>
      <c r="M62" s="1251"/>
      <c r="N62" s="402"/>
      <c r="O62" s="402"/>
    </row>
    <row r="63" spans="1:15" ht="13.5">
      <c r="A63" s="401"/>
      <c r="B63" s="401"/>
      <c r="C63" s="401"/>
      <c r="D63" s="422"/>
      <c r="E63" s="402"/>
      <c r="F63" s="402"/>
      <c r="G63" s="402"/>
      <c r="H63" s="402"/>
      <c r="I63" s="402"/>
      <c r="J63" s="402"/>
      <c r="K63" s="402"/>
      <c r="L63" s="402"/>
      <c r="M63" s="402"/>
      <c r="N63" s="402"/>
      <c r="O63" s="402"/>
    </row>
    <row r="64" spans="1:15" ht="13.5">
      <c r="A64" s="401"/>
      <c r="B64" s="401"/>
      <c r="C64" s="401"/>
      <c r="D64" s="1285"/>
      <c r="E64" s="402"/>
      <c r="F64" s="402"/>
      <c r="G64" s="402"/>
      <c r="H64" s="411"/>
      <c r="I64" s="402"/>
      <c r="J64" s="402"/>
      <c r="K64" s="402"/>
      <c r="L64" s="402"/>
      <c r="M64" s="402"/>
      <c r="N64" s="441"/>
      <c r="O64" s="441"/>
    </row>
    <row r="65" spans="1:15" ht="13.5">
      <c r="A65" s="401">
        <v>7</v>
      </c>
      <c r="B65" s="401" t="s">
        <v>622</v>
      </c>
      <c r="C65" s="401" t="s">
        <v>598</v>
      </c>
      <c r="D65" s="404" t="s">
        <v>991</v>
      </c>
      <c r="E65" s="276"/>
      <c r="F65" s="276"/>
      <c r="G65" s="276"/>
      <c r="H65" s="276"/>
      <c r="I65" s="276"/>
      <c r="J65" s="276"/>
      <c r="K65" s="402"/>
      <c r="L65" s="402"/>
      <c r="M65" s="402"/>
      <c r="N65" s="441"/>
      <c r="O65" s="441"/>
    </row>
    <row r="66" spans="1:15" ht="13.5">
      <c r="A66" s="401"/>
      <c r="B66" s="401"/>
      <c r="C66" s="401"/>
      <c r="D66" s="402"/>
      <c r="E66" s="276"/>
      <c r="F66" s="276"/>
      <c r="G66" s="276"/>
      <c r="H66" s="276"/>
      <c r="I66" s="276"/>
      <c r="J66" s="276"/>
      <c r="K66" s="402"/>
      <c r="L66" s="402"/>
      <c r="M66" s="402"/>
      <c r="N66" s="441"/>
      <c r="O66" s="441"/>
    </row>
    <row r="67" spans="1:15" ht="13.5">
      <c r="A67" s="401"/>
      <c r="B67" s="401"/>
      <c r="C67" s="401"/>
      <c r="D67" s="423"/>
      <c r="E67" s="423"/>
      <c r="F67" s="423"/>
      <c r="G67" s="423"/>
      <c r="H67" s="423"/>
      <c r="I67" s="423"/>
      <c r="J67" s="423"/>
      <c r="K67" s="402"/>
      <c r="L67" s="417"/>
      <c r="M67" s="402"/>
      <c r="N67" s="441"/>
      <c r="O67" s="441"/>
    </row>
    <row r="68" spans="1:15" ht="13.5">
      <c r="A68" s="401"/>
      <c r="B68" s="402"/>
      <c r="C68" s="402"/>
      <c r="D68" s="276"/>
      <c r="E68" s="276"/>
      <c r="F68" s="276"/>
      <c r="G68" s="276"/>
      <c r="H68" s="276"/>
      <c r="I68" s="276"/>
      <c r="J68" s="402"/>
      <c r="K68" s="402"/>
      <c r="L68" s="411"/>
      <c r="M68" s="402"/>
      <c r="N68" s="1220"/>
      <c r="O68" s="441"/>
    </row>
    <row r="69" spans="1:15" ht="15.75">
      <c r="A69" s="401"/>
      <c r="B69" s="401"/>
      <c r="C69" s="401"/>
      <c r="D69" s="1388">
        <v>133048834</v>
      </c>
      <c r="E69" s="424" t="s">
        <v>976</v>
      </c>
      <c r="F69" s="402"/>
      <c r="G69" s="408" t="s">
        <v>1084</v>
      </c>
      <c r="H69" s="402"/>
      <c r="I69" s="402"/>
      <c r="J69" s="402"/>
      <c r="K69" s="402"/>
      <c r="L69" s="411"/>
      <c r="M69" s="402"/>
      <c r="N69" s="1220"/>
      <c r="O69" s="1221"/>
    </row>
    <row r="70" spans="1:15" ht="15.75">
      <c r="A70" s="277"/>
      <c r="B70" s="401"/>
      <c r="C70" s="401"/>
      <c r="D70" s="1342"/>
      <c r="E70" s="402" t="s">
        <v>996</v>
      </c>
      <c r="F70" s="402"/>
      <c r="G70" s="402"/>
      <c r="H70" s="411"/>
      <c r="I70" s="402"/>
      <c r="J70" s="402"/>
      <c r="K70" s="402"/>
      <c r="L70" s="402"/>
      <c r="M70" s="402"/>
      <c r="N70" s="402"/>
      <c r="O70" s="402"/>
    </row>
    <row r="71" spans="1:15" ht="15.75">
      <c r="A71" s="401"/>
      <c r="B71" s="401"/>
      <c r="C71" s="401"/>
      <c r="D71" s="1389"/>
      <c r="E71" s="402"/>
      <c r="F71" s="402"/>
      <c r="G71" s="402"/>
      <c r="H71" s="411"/>
      <c r="I71" s="402"/>
      <c r="J71" s="402"/>
      <c r="K71" s="402"/>
      <c r="L71" s="402"/>
      <c r="M71" s="1251"/>
      <c r="N71" s="441"/>
      <c r="O71" s="441"/>
    </row>
    <row r="72" spans="1:15" ht="15.75">
      <c r="A72" s="277"/>
      <c r="B72" s="401"/>
      <c r="C72" s="401"/>
      <c r="D72" s="1388">
        <v>6900526</v>
      </c>
      <c r="E72" s="402" t="s">
        <v>420</v>
      </c>
      <c r="F72" s="402"/>
      <c r="G72" s="402"/>
      <c r="H72" s="411"/>
      <c r="I72" s="402"/>
      <c r="J72" s="402"/>
      <c r="K72" s="402"/>
      <c r="L72" s="402"/>
      <c r="M72" s="402"/>
      <c r="N72" s="441"/>
      <c r="O72" s="441"/>
    </row>
    <row r="73" spans="1:15" ht="13.5">
      <c r="A73" s="277"/>
      <c r="B73" s="401"/>
      <c r="C73" s="401"/>
      <c r="D73" s="276"/>
      <c r="E73" s="470"/>
      <c r="F73" s="402"/>
      <c r="G73" s="402"/>
      <c r="H73" s="411"/>
      <c r="I73" s="402"/>
      <c r="J73" s="402"/>
      <c r="K73" s="402"/>
      <c r="L73" s="402"/>
      <c r="M73" s="402"/>
      <c r="N73" s="411"/>
      <c r="O73" s="402"/>
    </row>
    <row r="74" spans="1:15" ht="13.5">
      <c r="A74" s="401"/>
      <c r="B74" s="401"/>
      <c r="C74" s="401"/>
      <c r="D74" s="424"/>
      <c r="E74" s="402"/>
      <c r="F74" s="402"/>
      <c r="G74" s="402"/>
      <c r="H74" s="411"/>
      <c r="I74" s="402"/>
      <c r="J74" s="402"/>
      <c r="K74" s="402"/>
      <c r="L74" s="402"/>
      <c r="M74" s="402"/>
      <c r="N74" s="402"/>
      <c r="O74" s="402"/>
    </row>
    <row r="75" spans="1:15" ht="13.5">
      <c r="A75" s="401">
        <v>8</v>
      </c>
      <c r="B75" s="401" t="s">
        <v>622</v>
      </c>
      <c r="C75" s="401" t="s">
        <v>598</v>
      </c>
      <c r="D75" s="404" t="s">
        <v>977</v>
      </c>
      <c r="E75" s="402"/>
      <c r="F75" s="402"/>
      <c r="G75" s="402"/>
      <c r="H75" s="402"/>
      <c r="I75" s="402"/>
      <c r="J75" s="1251"/>
      <c r="K75" s="402"/>
      <c r="L75" s="402"/>
      <c r="M75" s="411"/>
      <c r="N75" s="402"/>
      <c r="O75" s="402"/>
    </row>
    <row r="76" spans="1:15" ht="13.5">
      <c r="A76" s="401"/>
      <c r="B76" s="401"/>
      <c r="C76" s="401"/>
      <c r="D76" s="404"/>
      <c r="E76" s="402"/>
      <c r="F76" s="402"/>
      <c r="G76" s="402"/>
      <c r="H76" s="402"/>
      <c r="I76" s="402"/>
      <c r="J76" s="402"/>
      <c r="K76" s="402"/>
      <c r="L76" s="402"/>
      <c r="M76" s="402"/>
      <c r="N76" s="402"/>
      <c r="O76" s="402"/>
    </row>
    <row r="77" spans="1:15" ht="13.5">
      <c r="A77" s="401"/>
      <c r="B77" s="401"/>
      <c r="C77" s="401"/>
      <c r="D77" s="276" t="s">
        <v>940</v>
      </c>
      <c r="E77" s="276"/>
      <c r="F77" s="276"/>
      <c r="G77" s="276"/>
      <c r="H77" s="276"/>
      <c r="I77" s="276"/>
      <c r="K77" s="276"/>
      <c r="L77" s="402"/>
      <c r="M77" s="402"/>
      <c r="N77" s="402"/>
      <c r="O77" s="402"/>
    </row>
    <row r="78" spans="1:15" ht="13.5">
      <c r="A78" s="401"/>
      <c r="B78" s="401"/>
      <c r="C78" s="401"/>
      <c r="D78" s="276"/>
      <c r="E78" s="402" t="s">
        <v>997</v>
      </c>
      <c r="F78" s="402"/>
      <c r="G78" s="402"/>
      <c r="H78" s="402"/>
      <c r="I78" s="402"/>
      <c r="J78" s="402"/>
      <c r="K78" s="276"/>
      <c r="L78" s="402"/>
      <c r="M78" s="402"/>
      <c r="N78" s="402"/>
      <c r="O78" s="402"/>
    </row>
    <row r="79" spans="1:15" ht="27">
      <c r="A79" s="401"/>
      <c r="B79" s="401"/>
      <c r="C79" s="401"/>
      <c r="D79" s="276"/>
      <c r="E79" s="591" t="s">
        <v>618</v>
      </c>
      <c r="F79" s="591" t="s">
        <v>998</v>
      </c>
      <c r="G79" s="591" t="s">
        <v>999</v>
      </c>
      <c r="H79" s="591" t="s">
        <v>1000</v>
      </c>
      <c r="I79" s="591" t="s">
        <v>1001</v>
      </c>
      <c r="J79" s="591" t="s">
        <v>1002</v>
      </c>
      <c r="K79" s="423"/>
      <c r="L79" s="402"/>
      <c r="M79" s="1263" t="s">
        <v>1093</v>
      </c>
      <c r="N79" s="440"/>
      <c r="O79" s="402"/>
    </row>
    <row r="80" spans="1:15" ht="16.5">
      <c r="A80" s="1254"/>
      <c r="B80" s="401"/>
      <c r="C80" s="401"/>
      <c r="D80" s="276"/>
      <c r="E80" s="1413" t="s">
        <v>625</v>
      </c>
      <c r="F80" s="1409">
        <v>0.77991278180875778</v>
      </c>
      <c r="G80" s="1410">
        <f>'WKSHT4 - Monthly Tx System Peak'!C9</f>
        <v>5009.2164826971766</v>
      </c>
      <c r="H80" s="1411">
        <f>+F80*G80*1000</f>
        <v>3906751.9617026364</v>
      </c>
      <c r="I80" s="1410">
        <f>-39138940.3814241/12</f>
        <v>-3261578.3651186749</v>
      </c>
      <c r="J80" s="1411">
        <f>+H80-I80</f>
        <v>7168330.3268213114</v>
      </c>
      <c r="K80" s="276"/>
      <c r="L80" s="402"/>
      <c r="M80" s="979"/>
      <c r="N80" s="429"/>
      <c r="O80" s="402"/>
    </row>
    <row r="81" spans="1:16" ht="16.5">
      <c r="A81" s="401"/>
      <c r="B81" s="401"/>
      <c r="C81" s="401"/>
      <c r="D81" s="276"/>
      <c r="E81" s="1413" t="s">
        <v>626</v>
      </c>
      <c r="F81" s="1409">
        <v>0.77991278180875778</v>
      </c>
      <c r="G81" s="1410">
        <f>'WKSHT4 - Monthly Tx System Peak'!C10</f>
        <v>5368.7763522784808</v>
      </c>
      <c r="H81" s="1411">
        <f t="shared" ref="H81:H91" si="5">+F81*G81*1000</f>
        <v>4187177.2998145851</v>
      </c>
      <c r="I81" s="1410">
        <f>-39138940.3814241/12</f>
        <v>-3261578.3651186749</v>
      </c>
      <c r="J81" s="1411">
        <f t="shared" ref="J81:J91" si="6">+H81-I81</f>
        <v>7448755.6649332605</v>
      </c>
      <c r="K81" s="276"/>
      <c r="L81" s="402"/>
      <c r="M81" s="979"/>
      <c r="N81" s="1560"/>
      <c r="O81" s="402"/>
    </row>
    <row r="82" spans="1:16" ht="16.5">
      <c r="A82" s="401"/>
      <c r="B82" s="401"/>
      <c r="C82" s="401"/>
      <c r="D82" s="276"/>
      <c r="E82" s="1413" t="s">
        <v>627</v>
      </c>
      <c r="F82" s="1409">
        <v>0.77991278180875778</v>
      </c>
      <c r="G82" s="1410">
        <f>'WKSHT4 - Monthly Tx System Peak'!C11</f>
        <v>4385.3692391333989</v>
      </c>
      <c r="H82" s="1411">
        <f t="shared" si="5"/>
        <v>3420205.5225510849</v>
      </c>
      <c r="I82" s="1410">
        <f>-39138940.3814241/12</f>
        <v>-3261578.3651186749</v>
      </c>
      <c r="J82" s="1411">
        <f t="shared" si="6"/>
        <v>6681783.8876697598</v>
      </c>
      <c r="K82" s="276"/>
      <c r="L82" s="402"/>
      <c r="M82" s="429"/>
      <c r="N82" s="1560"/>
      <c r="O82" s="402"/>
    </row>
    <row r="83" spans="1:16" ht="16.5">
      <c r="A83" s="401"/>
      <c r="B83" s="401"/>
      <c r="C83" s="401"/>
      <c r="D83" s="276"/>
      <c r="E83" s="1413" t="s">
        <v>628</v>
      </c>
      <c r="F83" s="1409">
        <v>0.77991278180875778</v>
      </c>
      <c r="G83" s="1410">
        <f>'WKSHT4 - Monthly Tx System Peak'!C13</f>
        <v>3923.4057177604677</v>
      </c>
      <c r="H83" s="1411">
        <f t="shared" si="5"/>
        <v>3059914.2675029524</v>
      </c>
      <c r="I83" s="1410">
        <f>-39138940.3814241/12</f>
        <v>-3261578.3651186749</v>
      </c>
      <c r="J83" s="1411">
        <f t="shared" si="6"/>
        <v>6321492.6326216273</v>
      </c>
      <c r="K83" s="276"/>
      <c r="L83" s="402"/>
      <c r="M83" s="979"/>
      <c r="N83" s="429"/>
      <c r="O83" s="402"/>
    </row>
    <row r="84" spans="1:16" ht="16.5">
      <c r="A84" s="401"/>
      <c r="B84" s="401"/>
      <c r="C84" s="401"/>
      <c r="D84" s="276"/>
      <c r="E84" s="1413" t="s">
        <v>623</v>
      </c>
      <c r="F84" s="1409">
        <v>0.77991278180875778</v>
      </c>
      <c r="G84" s="1410">
        <f>'WKSHT4 - Monthly Tx System Peak'!C14</f>
        <v>3499.6275496007793</v>
      </c>
      <c r="H84" s="1411">
        <f>+F84*G84*1000</f>
        <v>2729404.2575037102</v>
      </c>
      <c r="I84" s="1410">
        <f>-39138940.3814241/12</f>
        <v>-3261578.3651186749</v>
      </c>
      <c r="J84" s="1411">
        <f t="shared" si="6"/>
        <v>5990982.6226223856</v>
      </c>
      <c r="K84" s="276"/>
      <c r="L84" s="402"/>
      <c r="M84" s="429"/>
      <c r="N84" s="429"/>
      <c r="O84" s="402"/>
      <c r="P84" s="285"/>
    </row>
    <row r="85" spans="1:16" ht="16.5">
      <c r="A85" s="401"/>
      <c r="B85" s="401"/>
      <c r="C85" s="401"/>
      <c r="D85" s="276"/>
      <c r="E85" s="1413" t="s">
        <v>629</v>
      </c>
      <c r="F85" s="1409">
        <v>3.2869055775248346</v>
      </c>
      <c r="G85" s="1410">
        <f>'WKSHT4 - Monthly Tx System Peak'!C15</f>
        <v>4169.6948663777994</v>
      </c>
      <c r="H85" s="1411">
        <f t="shared" si="5"/>
        <v>13705393.312873859</v>
      </c>
      <c r="I85" s="1410">
        <f t="shared" ref="I85:I91" si="7">43128929.0493613/12</f>
        <v>3594077.4207801088</v>
      </c>
      <c r="J85" s="1411">
        <f t="shared" si="6"/>
        <v>10111315.89209375</v>
      </c>
      <c r="K85" s="276"/>
      <c r="L85" s="402"/>
      <c r="M85" s="1264">
        <f>SUM(M80:M84)</f>
        <v>0</v>
      </c>
      <c r="N85" s="402" t="s">
        <v>1094</v>
      </c>
      <c r="O85" s="402"/>
    </row>
    <row r="86" spans="1:16" ht="16.5">
      <c r="A86" s="401"/>
      <c r="B86" s="401"/>
      <c r="C86" s="401"/>
      <c r="D86" s="276"/>
      <c r="E86" s="1413" t="s">
        <v>630</v>
      </c>
      <c r="F86" s="1409">
        <v>3.2869055775248346</v>
      </c>
      <c r="G86" s="1410">
        <f>'WKSHT4 - Monthly Tx System Peak'!C17</f>
        <v>4488.7753719182083</v>
      </c>
      <c r="H86" s="1411">
        <f t="shared" si="5"/>
        <v>14754180.806214072</v>
      </c>
      <c r="I86" s="1410">
        <f t="shared" si="7"/>
        <v>3594077.4207801088</v>
      </c>
      <c r="J86" s="1411">
        <f t="shared" si="6"/>
        <v>11160103.385433963</v>
      </c>
      <c r="K86" s="276"/>
      <c r="L86" s="402"/>
      <c r="M86" s="441"/>
      <c r="N86" s="402"/>
      <c r="O86" s="402"/>
      <c r="P86" s="213"/>
    </row>
    <row r="87" spans="1:16" ht="16.5">
      <c r="A87" s="401"/>
      <c r="B87" s="401"/>
      <c r="C87" s="401"/>
      <c r="D87" s="276"/>
      <c r="E87" s="1413" t="s">
        <v>631</v>
      </c>
      <c r="F87" s="1409">
        <v>3.2869055775248346</v>
      </c>
      <c r="G87" s="1410">
        <f>'WKSHT4 - Monthly Tx System Peak'!C18</f>
        <v>4562.323509337878</v>
      </c>
      <c r="H87" s="1411">
        <f t="shared" si="5"/>
        <v>14995926.589315347</v>
      </c>
      <c r="I87" s="1410">
        <f t="shared" si="7"/>
        <v>3594077.4207801088</v>
      </c>
      <c r="J87" s="1411">
        <f t="shared" si="6"/>
        <v>11401849.168535238</v>
      </c>
      <c r="K87" s="276"/>
      <c r="L87" s="402"/>
      <c r="M87" s="441"/>
      <c r="N87" s="402"/>
      <c r="O87" s="402"/>
    </row>
    <row r="88" spans="1:16" ht="16.5">
      <c r="A88" s="1254"/>
      <c r="B88" s="401"/>
      <c r="C88" s="401"/>
      <c r="D88" s="276"/>
      <c r="E88" s="1413" t="s">
        <v>632</v>
      </c>
      <c r="F88" s="1409">
        <v>3.2869055775248346</v>
      </c>
      <c r="G88" s="1410">
        <f>'WKSHT4 - Monthly Tx System Peak'!C19</f>
        <v>4023.95582104187</v>
      </c>
      <c r="H88" s="1411">
        <f t="shared" si="5"/>
        <v>13226362.831896048</v>
      </c>
      <c r="I88" s="1410">
        <f t="shared" si="7"/>
        <v>3594077.4207801088</v>
      </c>
      <c r="J88" s="1411">
        <f t="shared" si="6"/>
        <v>9632285.4111159388</v>
      </c>
      <c r="K88" s="276"/>
      <c r="L88" s="402"/>
      <c r="M88" s="441"/>
      <c r="N88" s="402"/>
      <c r="O88" s="402"/>
    </row>
    <row r="89" spans="1:16" ht="16.5">
      <c r="A89" s="401"/>
      <c r="B89" s="401"/>
      <c r="C89" s="401"/>
      <c r="D89" s="276"/>
      <c r="E89" s="1413" t="s">
        <v>633</v>
      </c>
      <c r="F89" s="1409">
        <v>3.2869055775248346</v>
      </c>
      <c r="G89" s="1410">
        <f>'WKSHT4 - Monthly Tx System Peak'!C21</f>
        <v>3873.0778821324243</v>
      </c>
      <c r="H89" s="1411">
        <f t="shared" si="5"/>
        <v>12730441.292969139</v>
      </c>
      <c r="I89" s="1410">
        <f t="shared" si="7"/>
        <v>3594077.4207801088</v>
      </c>
      <c r="J89" s="1411">
        <f t="shared" si="6"/>
        <v>9136363.8721890301</v>
      </c>
      <c r="K89" s="276"/>
      <c r="L89" s="402"/>
      <c r="M89" s="441"/>
      <c r="N89" s="402"/>
      <c r="O89" s="402"/>
    </row>
    <row r="90" spans="1:16" ht="16.5">
      <c r="A90" s="401"/>
      <c r="B90" s="401"/>
      <c r="C90" s="401"/>
      <c r="D90" s="276"/>
      <c r="E90" s="1413" t="s">
        <v>634</v>
      </c>
      <c r="F90" s="1409">
        <v>3.2869055775248346</v>
      </c>
      <c r="G90" s="1410">
        <f>'WKSHT4 - Monthly Tx System Peak'!C22</f>
        <v>4297.349589629991</v>
      </c>
      <c r="H90" s="1411">
        <f t="shared" si="5"/>
        <v>14124982.334728876</v>
      </c>
      <c r="I90" s="1410">
        <f t="shared" si="7"/>
        <v>3594077.4207801088</v>
      </c>
      <c r="J90" s="1411">
        <f t="shared" si="6"/>
        <v>10530904.913948767</v>
      </c>
      <c r="K90" s="276"/>
      <c r="L90" s="402"/>
      <c r="M90" s="441"/>
      <c r="N90" s="402"/>
      <c r="O90" s="402"/>
    </row>
    <row r="91" spans="1:16" ht="16.5">
      <c r="A91" s="401"/>
      <c r="B91" s="401"/>
      <c r="C91" s="401"/>
      <c r="D91" s="276"/>
      <c r="E91" s="1413" t="s">
        <v>635</v>
      </c>
      <c r="F91" s="1409">
        <v>3.2869055775248346</v>
      </c>
      <c r="G91" s="1410">
        <f>'WKSHT4 - Monthly Tx System Peak'!C23</f>
        <v>4518.6124618889971</v>
      </c>
      <c r="H91" s="1411">
        <f t="shared" si="5"/>
        <v>14852252.503656169</v>
      </c>
      <c r="I91" s="1410">
        <f t="shared" si="7"/>
        <v>3594077.4207801088</v>
      </c>
      <c r="J91" s="1411">
        <f t="shared" si="6"/>
        <v>11258175.08287606</v>
      </c>
      <c r="K91" s="1255"/>
      <c r="L91" s="402"/>
      <c r="N91" s="402"/>
      <c r="O91" s="402"/>
    </row>
    <row r="92" spans="1:16" ht="16.5">
      <c r="A92" s="401"/>
      <c r="B92" s="401"/>
      <c r="C92" s="401"/>
      <c r="D92" s="402"/>
      <c r="E92" s="1413" t="s">
        <v>1003</v>
      </c>
      <c r="F92" s="1412"/>
      <c r="G92" s="1412"/>
      <c r="H92" s="1412"/>
      <c r="I92" s="1412">
        <v>0</v>
      </c>
      <c r="J92" s="1411">
        <f>SUM(J80:J91)</f>
        <v>106842342.86086109</v>
      </c>
      <c r="K92" s="276"/>
      <c r="L92" s="402"/>
      <c r="N92" s="402"/>
      <c r="O92" s="402"/>
    </row>
    <row r="93" spans="1:16" ht="13.5">
      <c r="A93" s="401"/>
      <c r="B93" s="401"/>
      <c r="C93" s="401"/>
      <c r="D93" s="402"/>
      <c r="E93" s="430"/>
      <c r="F93" s="430"/>
      <c r="G93" s="430"/>
      <c r="H93" s="430"/>
      <c r="I93" s="430"/>
      <c r="J93" s="999"/>
      <c r="K93" s="276"/>
      <c r="L93" s="402"/>
      <c r="N93" s="402"/>
      <c r="O93" s="402"/>
    </row>
    <row r="94" spans="1:16" ht="13.5">
      <c r="A94" s="401"/>
      <c r="B94" s="401"/>
      <c r="C94" s="401"/>
      <c r="D94" s="402" t="s">
        <v>370</v>
      </c>
      <c r="E94" s="430"/>
      <c r="F94" s="430"/>
      <c r="G94" s="430"/>
      <c r="H94" s="430"/>
      <c r="I94" s="430"/>
      <c r="J94" s="276"/>
      <c r="K94" s="276"/>
      <c r="L94" s="402"/>
      <c r="M94" s="441"/>
      <c r="N94" s="441"/>
      <c r="O94" s="402"/>
    </row>
    <row r="95" spans="1:16" ht="13.5">
      <c r="A95" s="401"/>
      <c r="B95" s="401"/>
      <c r="C95" s="401"/>
      <c r="D95" s="402"/>
      <c r="E95" s="402" t="s">
        <v>997</v>
      </c>
      <c r="F95" s="402"/>
      <c r="G95" s="402"/>
      <c r="H95" s="402"/>
      <c r="I95" s="402"/>
      <c r="J95" s="402"/>
      <c r="K95" s="276"/>
      <c r="L95" s="402"/>
      <c r="M95" s="402"/>
      <c r="N95" s="402"/>
      <c r="O95" s="402"/>
    </row>
    <row r="96" spans="1:16" ht="27">
      <c r="A96" s="401"/>
      <c r="B96" s="401"/>
      <c r="C96" s="401"/>
      <c r="D96" s="402"/>
      <c r="E96" s="591" t="s">
        <v>618</v>
      </c>
      <c r="F96" s="591" t="s">
        <v>998</v>
      </c>
      <c r="G96" s="591" t="s">
        <v>999</v>
      </c>
      <c r="H96" s="591" t="s">
        <v>1000</v>
      </c>
      <c r="I96" s="591" t="s">
        <v>1001</v>
      </c>
      <c r="J96" s="591" t="s">
        <v>1002</v>
      </c>
      <c r="K96" s="423"/>
      <c r="L96" s="591" t="s">
        <v>1358</v>
      </c>
      <c r="M96" s="402" t="s">
        <v>1360</v>
      </c>
      <c r="N96" s="402"/>
      <c r="O96" s="402"/>
    </row>
    <row r="97" spans="1:16" ht="16.5">
      <c r="A97" s="401"/>
      <c r="B97" s="401"/>
      <c r="C97" s="401"/>
      <c r="D97" s="402"/>
      <c r="E97" s="1413" t="s">
        <v>625</v>
      </c>
      <c r="F97" s="1409">
        <v>0.11583029489954975</v>
      </c>
      <c r="G97" s="1410">
        <f>G80</f>
        <v>5009.2164826971766</v>
      </c>
      <c r="H97" s="1411">
        <f>+F97*G97*1000</f>
        <v>580219.02240649937</v>
      </c>
      <c r="I97" s="1410">
        <v>39470.138818702406</v>
      </c>
      <c r="J97" s="1411">
        <f>+H97-I97</f>
        <v>540748.88358779694</v>
      </c>
      <c r="K97" s="276"/>
      <c r="L97" s="285">
        <f>'Sch 1'!E16</f>
        <v>6900526</v>
      </c>
      <c r="N97" s="102" t="s">
        <v>1359</v>
      </c>
      <c r="O97" s="402"/>
    </row>
    <row r="98" spans="1:16" ht="16.5">
      <c r="A98" s="401"/>
      <c r="B98" s="401"/>
      <c r="C98" s="401"/>
      <c r="D98" s="402"/>
      <c r="E98" s="1413" t="s">
        <v>626</v>
      </c>
      <c r="F98" s="1409">
        <v>0.11583029489954975</v>
      </c>
      <c r="G98" s="1410">
        <f t="shared" ref="G98:G108" si="8">G81</f>
        <v>5368.7763522784808</v>
      </c>
      <c r="H98" s="1411">
        <f t="shared" ref="H98:H108" si="9">+F98*G98*1000</f>
        <v>621866.94813414547</v>
      </c>
      <c r="I98" s="1410">
        <v>39470.138818702406</v>
      </c>
      <c r="J98" s="1411">
        <f t="shared" ref="J98:J108" si="10">+H98-I98</f>
        <v>582396.80931544304</v>
      </c>
      <c r="K98" s="276"/>
      <c r="L98" s="285">
        <v>6763802</v>
      </c>
      <c r="M98" s="1507">
        <v>0.12588723113240183</v>
      </c>
      <c r="N98" s="402" t="s">
        <v>1355</v>
      </c>
      <c r="O98" s="402"/>
    </row>
    <row r="99" spans="1:16" ht="16.5">
      <c r="A99" s="1254"/>
      <c r="B99" s="401"/>
      <c r="C99" s="401"/>
      <c r="D99" s="402"/>
      <c r="E99" s="1413" t="s">
        <v>627</v>
      </c>
      <c r="F99" s="1409">
        <v>0.11583029489954975</v>
      </c>
      <c r="G99" s="1410">
        <f t="shared" si="8"/>
        <v>4385.3692391333989</v>
      </c>
      <c r="H99" s="1411">
        <f t="shared" si="9"/>
        <v>507958.61221223575</v>
      </c>
      <c r="I99" s="1410">
        <v>39470.138818702406</v>
      </c>
      <c r="J99" s="1411">
        <f t="shared" si="10"/>
        <v>468488.47339353332</v>
      </c>
      <c r="K99" s="276"/>
      <c r="L99" s="285">
        <v>6189793</v>
      </c>
      <c r="M99" s="1507">
        <v>0.11583029489954975</v>
      </c>
      <c r="N99" s="402" t="s">
        <v>1356</v>
      </c>
      <c r="O99" s="402"/>
    </row>
    <row r="100" spans="1:16" ht="16.5">
      <c r="A100" s="401"/>
      <c r="B100" s="401"/>
      <c r="C100" s="401"/>
      <c r="D100" s="402"/>
      <c r="E100" s="1413" t="s">
        <v>628</v>
      </c>
      <c r="F100" s="1409">
        <v>0.11583029489954975</v>
      </c>
      <c r="G100" s="1410">
        <f t="shared" si="8"/>
        <v>3923.4057177604677</v>
      </c>
      <c r="H100" s="1411">
        <f t="shared" si="9"/>
        <v>454449.24129877466</v>
      </c>
      <c r="I100" s="1410">
        <v>39470.138818702406</v>
      </c>
      <c r="J100" s="1411">
        <f t="shared" si="10"/>
        <v>414979.10248007224</v>
      </c>
      <c r="K100" s="276"/>
      <c r="L100" s="285">
        <v>4905585</v>
      </c>
      <c r="M100" s="1507">
        <v>9.0585316714883055E-2</v>
      </c>
      <c r="N100" s="402" t="s">
        <v>1357</v>
      </c>
      <c r="O100" s="402"/>
    </row>
    <row r="101" spans="1:16" ht="16.5">
      <c r="A101" s="401"/>
      <c r="B101" s="401"/>
      <c r="C101" s="401"/>
      <c r="D101" s="402"/>
      <c r="E101" s="1413" t="s">
        <v>623</v>
      </c>
      <c r="F101" s="1409">
        <v>0.11583029489954975</v>
      </c>
      <c r="G101" s="1410">
        <f t="shared" si="8"/>
        <v>3499.6275496007793</v>
      </c>
      <c r="H101" s="1411">
        <f t="shared" si="9"/>
        <v>405362.89110884693</v>
      </c>
      <c r="I101" s="1410">
        <v>39470.138818702406</v>
      </c>
      <c r="J101" s="1411">
        <f t="shared" si="10"/>
        <v>365892.7522901445</v>
      </c>
      <c r="K101" s="276"/>
      <c r="L101" s="402"/>
      <c r="M101" s="402"/>
      <c r="N101" s="402"/>
      <c r="O101" s="402"/>
    </row>
    <row r="102" spans="1:16" ht="16.5">
      <c r="A102" s="401"/>
      <c r="B102" s="401"/>
      <c r="C102" s="401"/>
      <c r="D102" s="402"/>
      <c r="E102" s="1413" t="s">
        <v>629</v>
      </c>
      <c r="F102" s="1409">
        <v>0.12588723113240183</v>
      </c>
      <c r="G102" s="1410">
        <f t="shared" si="8"/>
        <v>4169.6948663777994</v>
      </c>
      <c r="H102" s="1411">
        <f t="shared" si="9"/>
        <v>524911.34139529138</v>
      </c>
      <c r="I102" s="1410">
        <f>1116665.79788359/12</f>
        <v>93055.483156965827</v>
      </c>
      <c r="J102" s="1411">
        <f t="shared" si="10"/>
        <v>431855.85823832557</v>
      </c>
      <c r="K102" s="276"/>
      <c r="L102" s="402"/>
      <c r="M102" s="402"/>
      <c r="N102" s="402"/>
      <c r="O102" s="402"/>
    </row>
    <row r="103" spans="1:16" ht="16.5">
      <c r="A103" s="401"/>
      <c r="B103" s="401"/>
      <c r="C103" s="401"/>
      <c r="D103" s="402"/>
      <c r="E103" s="1413" t="s">
        <v>630</v>
      </c>
      <c r="F103" s="1409">
        <v>0.12588723113240183</v>
      </c>
      <c r="G103" s="1410">
        <f t="shared" si="8"/>
        <v>4488.7753719182083</v>
      </c>
      <c r="H103" s="1411">
        <f t="shared" si="9"/>
        <v>565079.50274610054</v>
      </c>
      <c r="I103" s="1410">
        <f t="shared" ref="I103:I108" si="11">1116665.79788359/12</f>
        <v>93055.483156965827</v>
      </c>
      <c r="J103" s="1411">
        <f t="shared" si="10"/>
        <v>472024.01958913472</v>
      </c>
      <c r="K103" s="276"/>
      <c r="L103" s="402"/>
      <c r="M103" s="402"/>
      <c r="N103" s="402"/>
      <c r="O103" s="402"/>
    </row>
    <row r="104" spans="1:16" ht="16.5">
      <c r="A104" s="401"/>
      <c r="B104" s="401"/>
      <c r="C104" s="401"/>
      <c r="D104" s="402"/>
      <c r="E104" s="1413" t="s">
        <v>631</v>
      </c>
      <c r="F104" s="1409">
        <v>0.12588723113240183</v>
      </c>
      <c r="G104" s="1410">
        <f t="shared" si="8"/>
        <v>4562.323509337878</v>
      </c>
      <c r="H104" s="1411">
        <f t="shared" si="9"/>
        <v>574338.274120808</v>
      </c>
      <c r="I104" s="1410">
        <f t="shared" si="11"/>
        <v>93055.483156965827</v>
      </c>
      <c r="J104" s="1411">
        <f t="shared" si="10"/>
        <v>481282.79096384218</v>
      </c>
      <c r="K104" s="276"/>
      <c r="L104" s="402"/>
      <c r="M104" s="402"/>
      <c r="N104" s="402"/>
      <c r="O104" s="402"/>
    </row>
    <row r="105" spans="1:16" ht="16.5">
      <c r="A105" s="1254"/>
      <c r="B105" s="401"/>
      <c r="C105" s="401"/>
      <c r="D105" s="402"/>
      <c r="E105" s="1413" t="s">
        <v>632</v>
      </c>
      <c r="F105" s="1409">
        <v>0.12588723113240183</v>
      </c>
      <c r="G105" s="1410">
        <f t="shared" si="8"/>
        <v>4023.95582104187</v>
      </c>
      <c r="H105" s="1411">
        <f t="shared" si="9"/>
        <v>506564.65651007165</v>
      </c>
      <c r="I105" s="1410">
        <f t="shared" si="11"/>
        <v>93055.483156965827</v>
      </c>
      <c r="J105" s="1411">
        <f t="shared" si="10"/>
        <v>413509.17335310584</v>
      </c>
      <c r="K105" s="276"/>
      <c r="L105" s="402"/>
      <c r="M105" s="402"/>
      <c r="N105" s="402"/>
    </row>
    <row r="106" spans="1:16" ht="16.5">
      <c r="A106" s="401"/>
      <c r="B106" s="401"/>
      <c r="C106" s="401"/>
      <c r="D106" s="402"/>
      <c r="E106" s="1413" t="s">
        <v>633</v>
      </c>
      <c r="F106" s="1409">
        <v>0.12588723113240183</v>
      </c>
      <c r="G106" s="1410">
        <f t="shared" si="8"/>
        <v>3873.0778821324243</v>
      </c>
      <c r="H106" s="1411">
        <f t="shared" si="9"/>
        <v>487571.05054179789</v>
      </c>
      <c r="I106" s="1410">
        <f t="shared" si="11"/>
        <v>93055.483156965827</v>
      </c>
      <c r="J106" s="1411">
        <f t="shared" si="10"/>
        <v>394515.56738483207</v>
      </c>
      <c r="K106" s="276"/>
      <c r="L106" s="402"/>
      <c r="M106" s="402"/>
      <c r="N106" s="402"/>
      <c r="O106" s="402"/>
    </row>
    <row r="107" spans="1:16" ht="16.5">
      <c r="A107" s="401"/>
      <c r="B107" s="401"/>
      <c r="C107" s="401"/>
      <c r="D107" s="402"/>
      <c r="E107" s="1413" t="s">
        <v>634</v>
      </c>
      <c r="F107" s="1409">
        <v>0.12588723113240183</v>
      </c>
      <c r="G107" s="1410">
        <f t="shared" si="8"/>
        <v>4297.349589629991</v>
      </c>
      <c r="H107" s="1411">
        <f t="shared" si="9"/>
        <v>540981.44104648277</v>
      </c>
      <c r="I107" s="1410">
        <f t="shared" si="11"/>
        <v>93055.483156965827</v>
      </c>
      <c r="J107" s="1411">
        <f t="shared" si="10"/>
        <v>447925.95788951695</v>
      </c>
      <c r="K107" s="276"/>
      <c r="L107" s="402"/>
      <c r="M107" s="402"/>
      <c r="N107" s="402"/>
      <c r="O107" s="402"/>
      <c r="P107" s="285"/>
    </row>
    <row r="108" spans="1:16" ht="16.5">
      <c r="A108" s="401"/>
      <c r="B108" s="401"/>
      <c r="C108" s="401"/>
      <c r="D108" s="402"/>
      <c r="E108" s="1413" t="s">
        <v>635</v>
      </c>
      <c r="F108" s="1409">
        <v>0.12588723113240183</v>
      </c>
      <c r="G108" s="1410">
        <f t="shared" si="8"/>
        <v>4518.6124618889971</v>
      </c>
      <c r="H108" s="1411">
        <f t="shared" si="9"/>
        <v>568835.61138757144</v>
      </c>
      <c r="I108" s="1410">
        <f t="shared" si="11"/>
        <v>93055.483156965827</v>
      </c>
      <c r="J108" s="1411">
        <f t="shared" si="10"/>
        <v>475780.12823060562</v>
      </c>
      <c r="K108" s="276"/>
      <c r="L108" s="402"/>
      <c r="M108" s="402"/>
      <c r="N108" s="402"/>
      <c r="O108" s="402"/>
    </row>
    <row r="109" spans="1:16" ht="16.5">
      <c r="A109" s="401"/>
      <c r="B109" s="401"/>
      <c r="C109" s="401"/>
      <c r="D109" s="402"/>
      <c r="E109" s="1413" t="s">
        <v>1003</v>
      </c>
      <c r="F109" s="1412"/>
      <c r="G109" s="1412"/>
      <c r="H109" s="1412"/>
      <c r="I109" s="1412"/>
      <c r="J109" s="1411">
        <f>SUM(J97:J108)</f>
        <v>5489399.5167163527</v>
      </c>
      <c r="K109" s="276"/>
      <c r="L109" s="402"/>
      <c r="M109" s="402"/>
      <c r="N109" s="402"/>
      <c r="O109" s="402"/>
    </row>
    <row r="110" spans="1:16" ht="13.5">
      <c r="A110" s="401"/>
      <c r="B110" s="401"/>
      <c r="C110" s="401"/>
      <c r="D110" s="402"/>
      <c r="E110" s="430"/>
      <c r="F110" s="430"/>
      <c r="G110" s="430"/>
      <c r="H110" s="430"/>
      <c r="I110" s="430"/>
      <c r="J110" s="276"/>
      <c r="K110" s="276"/>
      <c r="L110" s="402"/>
      <c r="M110" s="402"/>
      <c r="N110" s="402"/>
      <c r="O110" s="402"/>
    </row>
    <row r="111" spans="1:16" ht="13.5">
      <c r="A111" s="401"/>
      <c r="B111" s="401"/>
      <c r="C111" s="401"/>
      <c r="D111" s="404"/>
      <c r="E111" s="402"/>
      <c r="F111" s="276"/>
      <c r="G111" s="402"/>
      <c r="H111" s="402"/>
      <c r="I111" s="402"/>
      <c r="J111" s="402"/>
      <c r="K111" s="402"/>
      <c r="L111" s="402"/>
      <c r="M111" s="402"/>
      <c r="N111" s="402"/>
      <c r="O111" s="402"/>
      <c r="P111" s="329"/>
    </row>
    <row r="112" spans="1:16" ht="31.5">
      <c r="A112" s="401"/>
      <c r="B112" s="401"/>
      <c r="C112" s="401"/>
      <c r="D112" s="403" t="s">
        <v>1004</v>
      </c>
      <c r="E112" s="1266"/>
      <c r="F112" s="1266" t="s">
        <v>979</v>
      </c>
      <c r="G112" s="402"/>
      <c r="H112" s="1267" t="s">
        <v>1095</v>
      </c>
      <c r="I112" s="402"/>
      <c r="J112" s="1268" t="s">
        <v>1096</v>
      </c>
      <c r="K112" s="102"/>
      <c r="L112" s="1269" t="s">
        <v>1097</v>
      </c>
      <c r="M112" s="402"/>
      <c r="N112" s="402"/>
      <c r="O112" s="402"/>
    </row>
    <row r="113" spans="1:15" ht="16.5">
      <c r="A113" s="401"/>
      <c r="B113" s="401"/>
      <c r="C113" s="1265" t="s">
        <v>1005</v>
      </c>
      <c r="D113" s="1414">
        <f>+D69</f>
        <v>133048834</v>
      </c>
      <c r="E113" s="1415" t="s">
        <v>421</v>
      </c>
      <c r="F113" s="1414">
        <f>+J92</f>
        <v>106842342.86086109</v>
      </c>
      <c r="G113" s="1415" t="s">
        <v>422</v>
      </c>
      <c r="H113" s="1414">
        <f>+D113-F113</f>
        <v>26206491.139138907</v>
      </c>
      <c r="I113" s="1416" t="s">
        <v>421</v>
      </c>
      <c r="J113" s="1414">
        <f>M85</f>
        <v>0</v>
      </c>
      <c r="K113" s="1416" t="s">
        <v>422</v>
      </c>
      <c r="L113" s="1414">
        <f>H113-J113</f>
        <v>26206491.139138907</v>
      </c>
      <c r="M113" s="411"/>
      <c r="N113" s="411"/>
      <c r="O113" s="1270"/>
    </row>
    <row r="114" spans="1:15" ht="16.5">
      <c r="A114" s="401"/>
      <c r="B114" s="401"/>
      <c r="C114" s="1265" t="s">
        <v>370</v>
      </c>
      <c r="D114" s="1417">
        <f>+D72</f>
        <v>6900526</v>
      </c>
      <c r="E114" s="1415" t="s">
        <v>421</v>
      </c>
      <c r="F114" s="1414">
        <f>+J109</f>
        <v>5489399.5167163527</v>
      </c>
      <c r="G114" s="1415" t="s">
        <v>422</v>
      </c>
      <c r="H114" s="1414">
        <f>+D114-F114</f>
        <v>1411126.4832836473</v>
      </c>
      <c r="I114" s="1416" t="s">
        <v>421</v>
      </c>
      <c r="J114" s="1414">
        <v>0</v>
      </c>
      <c r="K114" s="1416" t="s">
        <v>422</v>
      </c>
      <c r="L114" s="1414">
        <f>H114-J114</f>
        <v>1411126.4832836473</v>
      </c>
      <c r="M114" s="411"/>
      <c r="N114" s="411"/>
      <c r="O114" s="402"/>
    </row>
    <row r="115" spans="1:15" ht="16.5">
      <c r="A115" s="401"/>
      <c r="B115" s="401"/>
      <c r="C115" s="1265" t="s">
        <v>847</v>
      </c>
      <c r="D115" s="1417">
        <f>+D113+D114</f>
        <v>139949360</v>
      </c>
      <c r="E115" s="1415" t="s">
        <v>421</v>
      </c>
      <c r="F115" s="1414">
        <f>+F113+F114</f>
        <v>112331742.37757744</v>
      </c>
      <c r="G115" s="1415" t="s">
        <v>422</v>
      </c>
      <c r="H115" s="1414">
        <f>+H113+H114</f>
        <v>27617617.622422554</v>
      </c>
      <c r="I115" s="1416" t="s">
        <v>421</v>
      </c>
      <c r="J115" s="1414">
        <f>+J113+J114</f>
        <v>0</v>
      </c>
      <c r="K115" s="1416" t="s">
        <v>422</v>
      </c>
      <c r="L115" s="1414">
        <f>H115-J115</f>
        <v>27617617.622422554</v>
      </c>
      <c r="M115" s="411"/>
      <c r="N115" s="411"/>
      <c r="O115" s="402"/>
    </row>
    <row r="116" spans="1:15" ht="16.5">
      <c r="A116" s="401"/>
      <c r="B116" s="401"/>
      <c r="C116" s="401"/>
      <c r="D116" s="1417"/>
      <c r="E116" s="1415"/>
      <c r="F116" s="1414"/>
      <c r="G116" s="1415"/>
      <c r="H116" s="1414"/>
      <c r="I116" s="1413"/>
      <c r="J116" s="87"/>
      <c r="K116" s="87"/>
      <c r="L116" s="87"/>
      <c r="M116" s="102"/>
      <c r="N116" s="402"/>
      <c r="O116" s="402"/>
    </row>
    <row r="117" spans="1:15" ht="15.75">
      <c r="A117" s="401"/>
      <c r="B117" s="401"/>
      <c r="C117" s="401"/>
      <c r="D117" s="431"/>
      <c r="E117" s="401"/>
      <c r="F117" s="411"/>
      <c r="G117" s="401"/>
      <c r="H117" s="411"/>
      <c r="I117" s="402"/>
      <c r="J117" s="102"/>
      <c r="K117" s="3"/>
      <c r="L117" s="3"/>
      <c r="M117" s="102"/>
      <c r="N117" s="402"/>
      <c r="O117" s="402"/>
    </row>
    <row r="118" spans="1:15" ht="15.75">
      <c r="A118" s="401"/>
      <c r="B118" s="401"/>
      <c r="C118" s="401"/>
      <c r="D118" s="404" t="s">
        <v>636</v>
      </c>
      <c r="E118" s="401"/>
      <c r="F118" s="411"/>
      <c r="G118" s="401"/>
      <c r="H118" s="411"/>
      <c r="I118" s="402"/>
      <c r="J118" s="102"/>
      <c r="K118" s="3"/>
      <c r="L118" s="3"/>
      <c r="M118" s="102"/>
      <c r="N118" s="402"/>
      <c r="O118" s="402"/>
    </row>
    <row r="119" spans="1:15" ht="15.75">
      <c r="A119" s="1247"/>
      <c r="B119" s="401"/>
      <c r="C119" s="401"/>
      <c r="D119" s="1558" t="s">
        <v>1006</v>
      </c>
      <c r="E119" s="1558"/>
      <c r="F119" s="1248">
        <v>6.0000000000000001E-3</v>
      </c>
      <c r="G119" s="401"/>
      <c r="H119" s="411"/>
      <c r="I119" s="402"/>
      <c r="J119" s="102"/>
      <c r="K119" s="3"/>
      <c r="L119" s="3"/>
      <c r="M119" s="102"/>
      <c r="N119" s="402"/>
      <c r="O119" s="402"/>
    </row>
    <row r="120" spans="1:15" ht="13.5">
      <c r="A120" s="401"/>
      <c r="B120" s="401"/>
      <c r="C120" s="401"/>
      <c r="D120" s="425" t="s">
        <v>618</v>
      </c>
      <c r="E120" s="401" t="s">
        <v>637</v>
      </c>
      <c r="G120" s="425" t="s">
        <v>1008</v>
      </c>
      <c r="H120" s="401"/>
      <c r="I120" s="425" t="s">
        <v>638</v>
      </c>
      <c r="J120" s="404" t="s">
        <v>1009</v>
      </c>
      <c r="K120" s="402"/>
      <c r="L120" s="402"/>
      <c r="M120" s="402"/>
      <c r="N120" s="402"/>
      <c r="O120" s="402"/>
    </row>
    <row r="121" spans="1:15" ht="13.5">
      <c r="A121" s="401"/>
      <c r="B121" s="401"/>
      <c r="C121" s="401"/>
      <c r="D121" s="401"/>
      <c r="E121" s="401"/>
      <c r="F121" s="401" t="s">
        <v>1010</v>
      </c>
      <c r="G121" s="401" t="s">
        <v>1011</v>
      </c>
      <c r="H121" s="401" t="s">
        <v>639</v>
      </c>
      <c r="I121" s="401"/>
      <c r="J121" s="401"/>
      <c r="K121" s="402" t="s">
        <v>1012</v>
      </c>
      <c r="L121" s="402"/>
      <c r="M121" s="402"/>
      <c r="N121" s="402"/>
      <c r="O121" s="402"/>
    </row>
    <row r="122" spans="1:15" ht="13.5">
      <c r="A122" s="401"/>
      <c r="B122" s="401"/>
      <c r="C122" s="401"/>
      <c r="D122" s="402" t="s">
        <v>625</v>
      </c>
      <c r="E122" s="402" t="s">
        <v>366</v>
      </c>
      <c r="F122" s="406">
        <f>+L115/12</f>
        <v>2301468.1352018793</v>
      </c>
      <c r="G122" s="1249">
        <f>F119</f>
        <v>6.0000000000000001E-3</v>
      </c>
      <c r="H122" s="402">
        <v>12</v>
      </c>
      <c r="I122" s="406">
        <f>+F122*G122*H122</f>
        <v>165705.70573453532</v>
      </c>
      <c r="J122" s="406">
        <f>+F122+I122</f>
        <v>2467173.8409364144</v>
      </c>
      <c r="K122" s="402" t="s">
        <v>1013</v>
      </c>
      <c r="L122" s="402"/>
      <c r="M122" s="402"/>
      <c r="N122" s="402"/>
      <c r="O122" s="402"/>
    </row>
    <row r="123" spans="1:15" ht="13.5">
      <c r="A123" s="401"/>
      <c r="B123" s="401"/>
      <c r="C123" s="401"/>
      <c r="D123" s="402" t="s">
        <v>626</v>
      </c>
      <c r="E123" s="402" t="s">
        <v>366</v>
      </c>
      <c r="F123" s="411">
        <f t="shared" ref="F123:F133" si="12">+F122</f>
        <v>2301468.1352018793</v>
      </c>
      <c r="G123" s="432">
        <f>G122</f>
        <v>6.0000000000000001E-3</v>
      </c>
      <c r="H123" s="402">
        <v>11</v>
      </c>
      <c r="I123" s="406">
        <f t="shared" ref="I123:I133" si="13">+F123*G123*H123</f>
        <v>151896.89692332404</v>
      </c>
      <c r="J123" s="406">
        <f t="shared" ref="J123:J133" si="14">+F123+I123</f>
        <v>2453365.0321252034</v>
      </c>
      <c r="K123" s="402" t="s">
        <v>1014</v>
      </c>
      <c r="L123" s="402"/>
      <c r="M123" s="402"/>
      <c r="N123" s="402"/>
      <c r="O123" s="402"/>
    </row>
    <row r="124" spans="1:15" ht="13.5">
      <c r="A124" s="401"/>
      <c r="B124" s="401"/>
      <c r="C124" s="401"/>
      <c r="D124" s="402" t="s">
        <v>627</v>
      </c>
      <c r="E124" s="402" t="s">
        <v>366</v>
      </c>
      <c r="F124" s="411">
        <f t="shared" si="12"/>
        <v>2301468.1352018793</v>
      </c>
      <c r="G124" s="432">
        <f t="shared" ref="G124:G133" si="15">G123</f>
        <v>6.0000000000000001E-3</v>
      </c>
      <c r="H124" s="402">
        <v>10</v>
      </c>
      <c r="I124" s="406">
        <f t="shared" si="13"/>
        <v>138088.08811211277</v>
      </c>
      <c r="J124" s="406">
        <f t="shared" si="14"/>
        <v>2439556.2233139919</v>
      </c>
      <c r="K124" s="402"/>
      <c r="L124" s="402"/>
      <c r="M124" s="402"/>
      <c r="N124" s="402"/>
      <c r="O124" s="402"/>
    </row>
    <row r="125" spans="1:15" ht="13.5">
      <c r="A125" s="401"/>
      <c r="B125" s="401"/>
      <c r="C125" s="401"/>
      <c r="D125" s="402" t="s">
        <v>628</v>
      </c>
      <c r="E125" s="402" t="s">
        <v>366</v>
      </c>
      <c r="F125" s="411">
        <f t="shared" si="12"/>
        <v>2301468.1352018793</v>
      </c>
      <c r="G125" s="432">
        <f t="shared" si="15"/>
        <v>6.0000000000000001E-3</v>
      </c>
      <c r="H125" s="402">
        <v>9</v>
      </c>
      <c r="I125" s="406">
        <f t="shared" si="13"/>
        <v>124279.27930090149</v>
      </c>
      <c r="J125" s="406">
        <f t="shared" si="14"/>
        <v>2425747.4145027809</v>
      </c>
      <c r="K125" s="402"/>
      <c r="L125" s="402"/>
      <c r="M125" s="402"/>
      <c r="N125" s="402"/>
      <c r="O125" s="402"/>
    </row>
    <row r="126" spans="1:15" ht="13.5">
      <c r="A126" s="401"/>
      <c r="B126" s="401"/>
      <c r="C126" s="401"/>
      <c r="D126" s="402" t="s">
        <v>623</v>
      </c>
      <c r="E126" s="402" t="s">
        <v>366</v>
      </c>
      <c r="F126" s="411">
        <f t="shared" si="12"/>
        <v>2301468.1352018793</v>
      </c>
      <c r="G126" s="432">
        <f t="shared" si="15"/>
        <v>6.0000000000000001E-3</v>
      </c>
      <c r="H126" s="402">
        <v>8</v>
      </c>
      <c r="I126" s="406">
        <f t="shared" si="13"/>
        <v>110470.47048969021</v>
      </c>
      <c r="J126" s="406">
        <f t="shared" si="14"/>
        <v>2411938.6056915694</v>
      </c>
      <c r="K126" s="402"/>
      <c r="L126" s="402"/>
      <c r="M126" s="402"/>
      <c r="N126" s="402"/>
      <c r="O126" s="402"/>
    </row>
    <row r="127" spans="1:15" ht="13.5">
      <c r="A127" s="401"/>
      <c r="B127" s="401"/>
      <c r="C127" s="401"/>
      <c r="D127" s="402" t="s">
        <v>629</v>
      </c>
      <c r="E127" s="402" t="s">
        <v>366</v>
      </c>
      <c r="F127" s="411">
        <f t="shared" si="12"/>
        <v>2301468.1352018793</v>
      </c>
      <c r="G127" s="432">
        <f t="shared" si="15"/>
        <v>6.0000000000000001E-3</v>
      </c>
      <c r="H127" s="402">
        <v>7</v>
      </c>
      <c r="I127" s="406">
        <f t="shared" si="13"/>
        <v>96661.661678478937</v>
      </c>
      <c r="J127" s="406">
        <f t="shared" si="14"/>
        <v>2398129.7968803584</v>
      </c>
      <c r="K127" s="402"/>
      <c r="L127" s="402"/>
      <c r="M127" s="402"/>
      <c r="N127" s="402"/>
      <c r="O127" s="402"/>
    </row>
    <row r="128" spans="1:15" ht="13.5">
      <c r="A128" s="401"/>
      <c r="B128" s="401"/>
      <c r="C128" s="401"/>
      <c r="D128" s="402" t="s">
        <v>630</v>
      </c>
      <c r="E128" s="402" t="s">
        <v>366</v>
      </c>
      <c r="F128" s="411">
        <f t="shared" si="12"/>
        <v>2301468.1352018793</v>
      </c>
      <c r="G128" s="432">
        <f t="shared" si="15"/>
        <v>6.0000000000000001E-3</v>
      </c>
      <c r="H128" s="402">
        <v>6</v>
      </c>
      <c r="I128" s="406">
        <f t="shared" si="13"/>
        <v>82852.852867267662</v>
      </c>
      <c r="J128" s="406">
        <f t="shared" si="14"/>
        <v>2384320.9880691469</v>
      </c>
      <c r="K128" s="402"/>
      <c r="L128" s="402"/>
      <c r="M128" s="402"/>
      <c r="N128" s="402"/>
      <c r="O128" s="402"/>
    </row>
    <row r="129" spans="1:15" ht="13.5">
      <c r="A129" s="401"/>
      <c r="B129" s="401"/>
      <c r="C129" s="401"/>
      <c r="D129" s="402" t="s">
        <v>631</v>
      </c>
      <c r="E129" s="402" t="s">
        <v>597</v>
      </c>
      <c r="F129" s="411">
        <f t="shared" si="12"/>
        <v>2301468.1352018793</v>
      </c>
      <c r="G129" s="432">
        <f t="shared" si="15"/>
        <v>6.0000000000000001E-3</v>
      </c>
      <c r="H129" s="402">
        <v>5</v>
      </c>
      <c r="I129" s="406">
        <f t="shared" si="13"/>
        <v>69044.044056056387</v>
      </c>
      <c r="J129" s="406">
        <f t="shared" si="14"/>
        <v>2370512.1792579358</v>
      </c>
      <c r="K129" s="402"/>
      <c r="L129" s="402"/>
      <c r="M129" s="402"/>
      <c r="N129" s="402"/>
      <c r="O129" s="402"/>
    </row>
    <row r="130" spans="1:15" ht="13.5">
      <c r="A130" s="401"/>
      <c r="B130" s="401"/>
      <c r="C130" s="401"/>
      <c r="D130" s="402" t="s">
        <v>632</v>
      </c>
      <c r="E130" s="402" t="s">
        <v>597</v>
      </c>
      <c r="F130" s="411">
        <f t="shared" si="12"/>
        <v>2301468.1352018793</v>
      </c>
      <c r="G130" s="432">
        <f t="shared" si="15"/>
        <v>6.0000000000000001E-3</v>
      </c>
      <c r="H130" s="402">
        <v>4</v>
      </c>
      <c r="I130" s="406">
        <f t="shared" si="13"/>
        <v>55235.235244845106</v>
      </c>
      <c r="J130" s="406">
        <f t="shared" si="14"/>
        <v>2356703.3704467244</v>
      </c>
      <c r="K130" s="402"/>
      <c r="L130" s="402"/>
      <c r="M130" s="402"/>
      <c r="N130" s="402"/>
      <c r="O130" s="402"/>
    </row>
    <row r="131" spans="1:15" ht="13.5">
      <c r="A131" s="401"/>
      <c r="B131" s="401"/>
      <c r="C131" s="401"/>
      <c r="D131" s="402" t="s">
        <v>633</v>
      </c>
      <c r="E131" s="402" t="s">
        <v>597</v>
      </c>
      <c r="F131" s="411">
        <f t="shared" si="12"/>
        <v>2301468.1352018793</v>
      </c>
      <c r="G131" s="432">
        <f t="shared" si="15"/>
        <v>6.0000000000000001E-3</v>
      </c>
      <c r="H131" s="402">
        <v>3</v>
      </c>
      <c r="I131" s="406">
        <f t="shared" si="13"/>
        <v>41426.426433633831</v>
      </c>
      <c r="J131" s="406">
        <f t="shared" si="14"/>
        <v>2342894.5616355133</v>
      </c>
      <c r="K131" s="402"/>
      <c r="L131" s="402"/>
      <c r="M131" s="402"/>
      <c r="N131" s="402"/>
      <c r="O131" s="402"/>
    </row>
    <row r="132" spans="1:15" ht="13.5">
      <c r="A132" s="401"/>
      <c r="B132" s="401"/>
      <c r="C132" s="401"/>
      <c r="D132" s="402" t="s">
        <v>634</v>
      </c>
      <c r="E132" s="402" t="s">
        <v>597</v>
      </c>
      <c r="F132" s="411">
        <f t="shared" si="12"/>
        <v>2301468.1352018793</v>
      </c>
      <c r="G132" s="432">
        <f t="shared" si="15"/>
        <v>6.0000000000000001E-3</v>
      </c>
      <c r="H132" s="402">
        <v>2</v>
      </c>
      <c r="I132" s="406">
        <f t="shared" si="13"/>
        <v>27617.617622422553</v>
      </c>
      <c r="J132" s="406">
        <f t="shared" si="14"/>
        <v>2329085.7528243018</v>
      </c>
      <c r="K132" s="402"/>
      <c r="L132" s="402"/>
      <c r="M132" s="402"/>
      <c r="N132" s="402"/>
      <c r="O132" s="402"/>
    </row>
    <row r="133" spans="1:15" ht="13.5">
      <c r="A133" s="401"/>
      <c r="B133" s="401"/>
      <c r="C133" s="401"/>
      <c r="D133" s="402" t="s">
        <v>635</v>
      </c>
      <c r="E133" s="402" t="s">
        <v>597</v>
      </c>
      <c r="F133" s="411">
        <f t="shared" si="12"/>
        <v>2301468.1352018793</v>
      </c>
      <c r="G133" s="432">
        <f t="shared" si="15"/>
        <v>6.0000000000000001E-3</v>
      </c>
      <c r="H133" s="402">
        <v>1</v>
      </c>
      <c r="I133" s="406">
        <f t="shared" si="13"/>
        <v>13808.808811211276</v>
      </c>
      <c r="J133" s="406">
        <f t="shared" si="14"/>
        <v>2315276.9440130908</v>
      </c>
      <c r="K133" s="402"/>
      <c r="L133" s="402"/>
      <c r="M133" s="402"/>
      <c r="N133" s="402"/>
      <c r="O133" s="402"/>
    </row>
    <row r="134" spans="1:15" ht="13.5">
      <c r="A134" s="401"/>
      <c r="B134" s="401"/>
      <c r="C134" s="401"/>
      <c r="D134" s="402" t="s">
        <v>847</v>
      </c>
      <c r="E134" s="402"/>
      <c r="F134" s="411">
        <v>0</v>
      </c>
      <c r="G134" s="402"/>
      <c r="H134" s="402"/>
      <c r="I134" s="402"/>
      <c r="J134" s="406">
        <f>SUM(J122:J133)</f>
        <v>28694704.70969703</v>
      </c>
      <c r="K134" s="402"/>
      <c r="L134" s="402"/>
      <c r="M134" s="402"/>
      <c r="N134" s="402"/>
      <c r="O134" s="402"/>
    </row>
    <row r="135" spans="1:15" ht="27">
      <c r="A135" s="401"/>
      <c r="B135" s="401"/>
      <c r="C135" s="401"/>
      <c r="D135" s="402"/>
      <c r="E135" s="402"/>
      <c r="F135" s="425" t="s">
        <v>640</v>
      </c>
      <c r="G135" s="1250" t="s">
        <v>1015</v>
      </c>
      <c r="H135" s="1250" t="s">
        <v>1016</v>
      </c>
      <c r="I135" s="425" t="s">
        <v>638</v>
      </c>
      <c r="J135" s="406" t="str">
        <f>+J120</f>
        <v>Surcharge (Refund) Owed</v>
      </c>
      <c r="K135" s="402"/>
      <c r="L135" s="402"/>
      <c r="M135" s="402"/>
      <c r="N135" s="402"/>
      <c r="O135" s="402"/>
    </row>
    <row r="136" spans="1:15" ht="13.5">
      <c r="A136" s="401"/>
      <c r="B136" s="401"/>
      <c r="C136" s="401"/>
      <c r="D136" s="402" t="s">
        <v>625</v>
      </c>
      <c r="E136" s="402" t="s">
        <v>597</v>
      </c>
      <c r="F136" s="411">
        <f>+J134</f>
        <v>28694704.70969703</v>
      </c>
      <c r="G136" s="432">
        <f>+G133</f>
        <v>6.0000000000000001E-3</v>
      </c>
      <c r="H136" s="413">
        <v>0</v>
      </c>
      <c r="I136" s="406">
        <f t="shared" ref="I136:I141" si="16">+F136*G136</f>
        <v>172168.22825818218</v>
      </c>
      <c r="J136" s="406">
        <f>+F136+I136-H136</f>
        <v>28866872.937955212</v>
      </c>
      <c r="K136" s="402"/>
      <c r="L136" s="402"/>
      <c r="M136" s="1251"/>
      <c r="N136" s="402"/>
      <c r="O136" s="402"/>
    </row>
    <row r="137" spans="1:15" ht="13.5">
      <c r="A137" s="401"/>
      <c r="B137" s="401"/>
      <c r="C137" s="401"/>
      <c r="D137" s="402" t="s">
        <v>626</v>
      </c>
      <c r="E137" s="402" t="s">
        <v>597</v>
      </c>
      <c r="F137" s="411">
        <f>+J136</f>
        <v>28866872.937955212</v>
      </c>
      <c r="G137" s="432">
        <f>+G136</f>
        <v>6.0000000000000001E-3</v>
      </c>
      <c r="H137" s="411">
        <v>0</v>
      </c>
      <c r="I137" s="406">
        <f t="shared" si="16"/>
        <v>173201.23762773129</v>
      </c>
      <c r="J137" s="406">
        <f t="shared" ref="J137:J151" si="17">+F137+I137-H137</f>
        <v>29040074.175582942</v>
      </c>
      <c r="K137" s="402"/>
      <c r="L137" s="402"/>
      <c r="M137" s="402"/>
      <c r="N137" s="402"/>
      <c r="O137" s="402"/>
    </row>
    <row r="138" spans="1:15" ht="13.5">
      <c r="A138" s="401"/>
      <c r="B138" s="401"/>
      <c r="C138" s="401"/>
      <c r="D138" s="402" t="s">
        <v>627</v>
      </c>
      <c r="E138" s="402" t="s">
        <v>597</v>
      </c>
      <c r="F138" s="411">
        <f t="shared" ref="F138:F152" si="18">+J137</f>
        <v>29040074.175582942</v>
      </c>
      <c r="G138" s="432">
        <f t="shared" ref="G138:G152" si="19">+G137</f>
        <v>6.0000000000000001E-3</v>
      </c>
      <c r="H138" s="411">
        <v>0</v>
      </c>
      <c r="I138" s="406">
        <f t="shared" si="16"/>
        <v>174240.44505349765</v>
      </c>
      <c r="J138" s="406">
        <f t="shared" si="17"/>
        <v>29214314.620636441</v>
      </c>
      <c r="K138" s="402"/>
      <c r="L138" s="402"/>
      <c r="M138" s="402"/>
      <c r="N138" s="402"/>
      <c r="O138" s="402"/>
    </row>
    <row r="139" spans="1:15" ht="13.5">
      <c r="A139" s="401"/>
      <c r="B139" s="401"/>
      <c r="C139" s="401"/>
      <c r="D139" s="402" t="s">
        <v>628</v>
      </c>
      <c r="E139" s="402" t="s">
        <v>597</v>
      </c>
      <c r="F139" s="411">
        <f t="shared" si="18"/>
        <v>29214314.620636441</v>
      </c>
      <c r="G139" s="432">
        <f t="shared" si="19"/>
        <v>6.0000000000000001E-3</v>
      </c>
      <c r="H139" s="411">
        <v>0</v>
      </c>
      <c r="I139" s="406">
        <f t="shared" si="16"/>
        <v>175285.88772381865</v>
      </c>
      <c r="J139" s="406">
        <f t="shared" si="17"/>
        <v>29389600.508360259</v>
      </c>
      <c r="K139" s="433"/>
      <c r="L139" s="402"/>
      <c r="M139" s="402"/>
      <c r="N139" s="402"/>
      <c r="O139" s="402"/>
    </row>
    <row r="140" spans="1:15" ht="13.5">
      <c r="A140" s="401"/>
      <c r="B140" s="401"/>
      <c r="C140" s="401"/>
      <c r="D140" s="402" t="s">
        <v>623</v>
      </c>
      <c r="E140" s="402" t="s">
        <v>597</v>
      </c>
      <c r="F140" s="411">
        <f t="shared" si="18"/>
        <v>29389600.508360259</v>
      </c>
      <c r="G140" s="432">
        <f t="shared" si="19"/>
        <v>6.0000000000000001E-3</v>
      </c>
      <c r="H140" s="411">
        <v>0</v>
      </c>
      <c r="I140" s="406">
        <f t="shared" si="16"/>
        <v>176337.60305016156</v>
      </c>
      <c r="J140" s="406">
        <f t="shared" si="17"/>
        <v>29565938.11141042</v>
      </c>
      <c r="K140" s="432"/>
      <c r="L140" s="402"/>
      <c r="M140" s="402"/>
      <c r="N140" s="402"/>
      <c r="O140" s="402"/>
    </row>
    <row r="141" spans="1:15" ht="13.5">
      <c r="A141" s="401"/>
      <c r="B141" s="401"/>
      <c r="C141" s="401"/>
      <c r="D141" s="402" t="s">
        <v>629</v>
      </c>
      <c r="E141" s="402" t="s">
        <v>597</v>
      </c>
      <c r="F141" s="411">
        <f t="shared" si="18"/>
        <v>29565938.11141042</v>
      </c>
      <c r="G141" s="432">
        <f t="shared" si="19"/>
        <v>6.0000000000000001E-3</v>
      </c>
      <c r="H141" s="413">
        <f>-PMT(G141,12,J140)</f>
        <v>2560971.2076561381</v>
      </c>
      <c r="I141" s="406">
        <f t="shared" si="16"/>
        <v>177395.62866846254</v>
      </c>
      <c r="J141" s="406">
        <f>+F141+I141-H141</f>
        <v>27182362.532422744</v>
      </c>
      <c r="K141" s="402"/>
      <c r="L141" s="402"/>
      <c r="M141" s="402"/>
      <c r="N141" s="402"/>
      <c r="O141" s="402"/>
    </row>
    <row r="142" spans="1:15" ht="13.5">
      <c r="A142" s="401"/>
      <c r="B142" s="401"/>
      <c r="C142" s="401"/>
      <c r="D142" s="402" t="s">
        <v>630</v>
      </c>
      <c r="E142" s="402" t="s">
        <v>597</v>
      </c>
      <c r="F142" s="411">
        <f t="shared" si="18"/>
        <v>27182362.532422744</v>
      </c>
      <c r="G142" s="432">
        <f t="shared" si="19"/>
        <v>6.0000000000000001E-3</v>
      </c>
      <c r="H142" s="411">
        <f t="shared" ref="H142:H152" si="20">H141</f>
        <v>2560971.2076561381</v>
      </c>
      <c r="I142" s="406">
        <f t="shared" ref="I142:I152" si="21">+F142*G142</f>
        <v>163094.17519453645</v>
      </c>
      <c r="J142" s="406">
        <f t="shared" si="17"/>
        <v>24784485.499961141</v>
      </c>
      <c r="K142" s="402"/>
      <c r="L142" s="402"/>
      <c r="M142" s="402"/>
      <c r="N142" s="402"/>
      <c r="O142" s="402"/>
    </row>
    <row r="143" spans="1:15" ht="13.5">
      <c r="A143" s="401"/>
      <c r="B143" s="401"/>
      <c r="C143" s="401"/>
      <c r="D143" s="402" t="s">
        <v>631</v>
      </c>
      <c r="E143" s="402" t="s">
        <v>597</v>
      </c>
      <c r="F143" s="411">
        <f t="shared" si="18"/>
        <v>24784485.499961141</v>
      </c>
      <c r="G143" s="432">
        <f t="shared" si="19"/>
        <v>6.0000000000000001E-3</v>
      </c>
      <c r="H143" s="411">
        <f t="shared" si="20"/>
        <v>2560971.2076561381</v>
      </c>
      <c r="I143" s="406">
        <f t="shared" si="21"/>
        <v>148706.91299976685</v>
      </c>
      <c r="J143" s="406">
        <f t="shared" si="17"/>
        <v>22372221.205304772</v>
      </c>
      <c r="K143" s="402"/>
      <c r="L143" s="402"/>
      <c r="M143" s="402"/>
      <c r="N143" s="402"/>
      <c r="O143" s="402"/>
    </row>
    <row r="144" spans="1:15" ht="13.5">
      <c r="A144" s="401"/>
      <c r="B144" s="401"/>
      <c r="C144" s="401"/>
      <c r="D144" s="402" t="s">
        <v>632</v>
      </c>
      <c r="E144" s="402" t="s">
        <v>597</v>
      </c>
      <c r="F144" s="411">
        <f t="shared" si="18"/>
        <v>22372221.205304772</v>
      </c>
      <c r="G144" s="432">
        <f t="shared" si="19"/>
        <v>6.0000000000000001E-3</v>
      </c>
      <c r="H144" s="411">
        <f t="shared" si="20"/>
        <v>2560971.2076561381</v>
      </c>
      <c r="I144" s="406">
        <f t="shared" si="21"/>
        <v>134233.32723182865</v>
      </c>
      <c r="J144" s="406">
        <f t="shared" si="17"/>
        <v>19945483.324880462</v>
      </c>
      <c r="K144" s="402"/>
      <c r="L144" s="402"/>
      <c r="M144" s="402"/>
      <c r="N144" s="402"/>
      <c r="O144" s="402"/>
    </row>
    <row r="145" spans="1:15" ht="13.5">
      <c r="A145" s="401"/>
      <c r="B145" s="401"/>
      <c r="C145" s="401"/>
      <c r="D145" s="402" t="s">
        <v>633</v>
      </c>
      <c r="E145" s="402" t="s">
        <v>597</v>
      </c>
      <c r="F145" s="411">
        <f t="shared" si="18"/>
        <v>19945483.324880462</v>
      </c>
      <c r="G145" s="432">
        <f t="shared" si="19"/>
        <v>6.0000000000000001E-3</v>
      </c>
      <c r="H145" s="411">
        <f t="shared" si="20"/>
        <v>2560971.2076561381</v>
      </c>
      <c r="I145" s="406">
        <f t="shared" si="21"/>
        <v>119672.89994928277</v>
      </c>
      <c r="J145" s="406">
        <f>+F145+I145-H145</f>
        <v>17504185.017173607</v>
      </c>
      <c r="K145" s="402"/>
      <c r="L145" s="402"/>
      <c r="M145" s="402"/>
      <c r="N145" s="402"/>
      <c r="O145" s="402"/>
    </row>
    <row r="146" spans="1:15" ht="13.5">
      <c r="A146" s="401"/>
      <c r="B146" s="401"/>
      <c r="C146" s="401"/>
      <c r="D146" s="402" t="s">
        <v>634</v>
      </c>
      <c r="E146" s="402" t="s">
        <v>597</v>
      </c>
      <c r="F146" s="411">
        <f t="shared" si="18"/>
        <v>17504185.017173607</v>
      </c>
      <c r="G146" s="432">
        <f t="shared" si="19"/>
        <v>6.0000000000000001E-3</v>
      </c>
      <c r="H146" s="411">
        <f t="shared" si="20"/>
        <v>2560971.2076561381</v>
      </c>
      <c r="I146" s="406">
        <f t="shared" si="21"/>
        <v>105025.11010304165</v>
      </c>
      <c r="J146" s="406">
        <f t="shared" si="17"/>
        <v>15048238.91962051</v>
      </c>
      <c r="K146" s="402"/>
      <c r="L146" s="402"/>
      <c r="M146" s="402"/>
      <c r="N146" s="402"/>
      <c r="O146" s="402"/>
    </row>
    <row r="147" spans="1:15" ht="13.5">
      <c r="A147" s="401"/>
      <c r="B147" s="401"/>
      <c r="C147" s="401"/>
      <c r="D147" s="402" t="s">
        <v>635</v>
      </c>
      <c r="E147" s="402" t="s">
        <v>597</v>
      </c>
      <c r="F147" s="411">
        <f t="shared" si="18"/>
        <v>15048238.91962051</v>
      </c>
      <c r="G147" s="432">
        <f t="shared" si="19"/>
        <v>6.0000000000000001E-3</v>
      </c>
      <c r="H147" s="411">
        <f t="shared" si="20"/>
        <v>2560971.2076561381</v>
      </c>
      <c r="I147" s="406">
        <f t="shared" si="21"/>
        <v>90289.433517723068</v>
      </c>
      <c r="J147" s="406">
        <f t="shared" si="17"/>
        <v>12577557.145482095</v>
      </c>
      <c r="K147" s="402"/>
      <c r="L147" s="402"/>
      <c r="M147" s="402"/>
      <c r="N147" s="402"/>
      <c r="O147" s="402"/>
    </row>
    <row r="148" spans="1:15" ht="13.5">
      <c r="A148" s="401"/>
      <c r="B148" s="401"/>
      <c r="C148" s="401"/>
      <c r="D148" s="402" t="s">
        <v>625</v>
      </c>
      <c r="E148" s="402" t="s">
        <v>598</v>
      </c>
      <c r="F148" s="411">
        <f t="shared" si="18"/>
        <v>12577557.145482095</v>
      </c>
      <c r="G148" s="432">
        <f t="shared" si="19"/>
        <v>6.0000000000000001E-3</v>
      </c>
      <c r="H148" s="411">
        <f t="shared" si="20"/>
        <v>2560971.2076561381</v>
      </c>
      <c r="I148" s="406">
        <f t="shared" si="21"/>
        <v>75465.342872892565</v>
      </c>
      <c r="J148" s="406">
        <f t="shared" si="17"/>
        <v>10092051.280698851</v>
      </c>
      <c r="K148" s="402"/>
      <c r="L148" s="402"/>
      <c r="M148" s="402"/>
      <c r="N148" s="402"/>
      <c r="O148" s="402"/>
    </row>
    <row r="149" spans="1:15" ht="13.5">
      <c r="A149" s="401"/>
      <c r="B149" s="401"/>
      <c r="C149" s="401"/>
      <c r="D149" s="402" t="s">
        <v>626</v>
      </c>
      <c r="E149" s="402" t="s">
        <v>598</v>
      </c>
      <c r="F149" s="411">
        <f t="shared" si="18"/>
        <v>10092051.280698851</v>
      </c>
      <c r="G149" s="432">
        <f t="shared" si="19"/>
        <v>6.0000000000000001E-3</v>
      </c>
      <c r="H149" s="411">
        <f t="shared" si="20"/>
        <v>2560971.2076561381</v>
      </c>
      <c r="I149" s="406">
        <f t="shared" si="21"/>
        <v>60552.307684193103</v>
      </c>
      <c r="J149" s="406">
        <f t="shared" si="17"/>
        <v>7591632.3807269055</v>
      </c>
      <c r="K149" s="402"/>
      <c r="L149" s="402"/>
      <c r="M149" s="402"/>
      <c r="N149" s="402"/>
      <c r="O149" s="402"/>
    </row>
    <row r="150" spans="1:15" ht="13.5">
      <c r="A150" s="401"/>
      <c r="B150" s="401"/>
      <c r="C150" s="401"/>
      <c r="D150" s="402" t="s">
        <v>627</v>
      </c>
      <c r="E150" s="402" t="s">
        <v>598</v>
      </c>
      <c r="F150" s="411">
        <f t="shared" si="18"/>
        <v>7591632.3807269055</v>
      </c>
      <c r="G150" s="432">
        <f t="shared" si="19"/>
        <v>6.0000000000000001E-3</v>
      </c>
      <c r="H150" s="411">
        <f t="shared" si="20"/>
        <v>2560971.2076561381</v>
      </c>
      <c r="I150" s="406">
        <f>+F150*G150</f>
        <v>45549.794284361436</v>
      </c>
      <c r="J150" s="406">
        <f t="shared" si="17"/>
        <v>5076210.9673551284</v>
      </c>
      <c r="K150" s="402"/>
      <c r="L150" s="402"/>
      <c r="M150" s="402"/>
      <c r="N150" s="402"/>
      <c r="O150" s="402"/>
    </row>
    <row r="151" spans="1:15" ht="13.5">
      <c r="A151" s="401"/>
      <c r="B151" s="401"/>
      <c r="C151" s="401"/>
      <c r="D151" s="402" t="s">
        <v>628</v>
      </c>
      <c r="E151" s="402" t="s">
        <v>598</v>
      </c>
      <c r="F151" s="411">
        <f t="shared" si="18"/>
        <v>5076210.9673551284</v>
      </c>
      <c r="G151" s="432">
        <f t="shared" si="19"/>
        <v>6.0000000000000001E-3</v>
      </c>
      <c r="H151" s="411">
        <f t="shared" si="20"/>
        <v>2560971.2076561381</v>
      </c>
      <c r="I151" s="406">
        <f t="shared" si="21"/>
        <v>30457.26580413077</v>
      </c>
      <c r="J151" s="406">
        <f t="shared" si="17"/>
        <v>2545697.0255031209</v>
      </c>
      <c r="K151" s="402"/>
      <c r="L151" s="402"/>
      <c r="M151" s="402"/>
      <c r="N151" s="402"/>
      <c r="O151" s="402"/>
    </row>
    <row r="152" spans="1:15" ht="13.5">
      <c r="A152" s="401"/>
      <c r="B152" s="401"/>
      <c r="C152" s="401"/>
      <c r="D152" s="402" t="s">
        <v>623</v>
      </c>
      <c r="E152" s="402" t="s">
        <v>598</v>
      </c>
      <c r="F152" s="411">
        <f t="shared" si="18"/>
        <v>2545697.0255031209</v>
      </c>
      <c r="G152" s="432">
        <f t="shared" si="19"/>
        <v>6.0000000000000001E-3</v>
      </c>
      <c r="H152" s="411">
        <f t="shared" si="20"/>
        <v>2560971.2076561381</v>
      </c>
      <c r="I152" s="406">
        <f t="shared" si="21"/>
        <v>15274.182153018726</v>
      </c>
      <c r="J152" s="406">
        <f>+F152-H152+I152</f>
        <v>1.4661054592579603E-9</v>
      </c>
      <c r="K152" s="402"/>
      <c r="L152" s="402"/>
      <c r="N152" s="402"/>
      <c r="O152" s="402"/>
    </row>
    <row r="153" spans="1:15" ht="13.5">
      <c r="A153" s="401"/>
      <c r="B153" s="401"/>
      <c r="C153" s="401"/>
      <c r="D153" s="402" t="s">
        <v>654</v>
      </c>
      <c r="E153" s="402"/>
      <c r="F153" s="402"/>
      <c r="G153" s="402"/>
      <c r="H153" s="411">
        <f>SUM(H136:H152)</f>
        <v>30731654.491873655</v>
      </c>
      <c r="I153" s="402"/>
      <c r="J153" s="402"/>
      <c r="K153" s="402"/>
      <c r="L153" s="402"/>
      <c r="M153" s="402"/>
      <c r="N153" s="402"/>
      <c r="O153" s="402"/>
    </row>
    <row r="154" spans="1:15" ht="13.5">
      <c r="B154" s="401"/>
      <c r="C154" s="401"/>
      <c r="D154" s="402"/>
      <c r="E154" s="402"/>
      <c r="F154" s="402"/>
      <c r="G154" s="402"/>
      <c r="H154" s="402"/>
      <c r="I154" s="402"/>
      <c r="J154" s="402"/>
      <c r="K154" s="402"/>
      <c r="L154" s="402"/>
      <c r="M154" s="402"/>
      <c r="N154" s="402"/>
      <c r="O154" s="402"/>
    </row>
    <row r="155" spans="1:15" ht="13.5">
      <c r="A155" s="277"/>
      <c r="B155" s="401"/>
      <c r="C155" s="401"/>
      <c r="D155" s="404" t="s">
        <v>978</v>
      </c>
      <c r="E155" s="401"/>
      <c r="F155" s="276"/>
      <c r="G155" s="401"/>
      <c r="H155" s="411">
        <f>+H153</f>
        <v>30731654.491873655</v>
      </c>
      <c r="I155" s="1352">
        <f>H155*L113/L115</f>
        <v>29161415.80867178</v>
      </c>
      <c r="J155" s="1352">
        <f>H155*L114/L115</f>
        <v>1570238.6832018781</v>
      </c>
      <c r="K155" s="411"/>
      <c r="L155" s="402"/>
      <c r="M155" s="402"/>
      <c r="N155" s="402"/>
      <c r="O155" s="402"/>
    </row>
    <row r="156" spans="1:15" ht="13.5">
      <c r="A156" s="277"/>
      <c r="B156" s="401"/>
      <c r="C156" s="401"/>
      <c r="D156" s="404" t="s">
        <v>66</v>
      </c>
      <c r="E156" s="401"/>
      <c r="F156" s="276"/>
      <c r="G156" s="401"/>
      <c r="I156" s="417">
        <f>'ATT H-1 '!J286</f>
        <v>135548486.34772885</v>
      </c>
      <c r="J156" s="1125">
        <f>'Sch 1'!E16</f>
        <v>6900526</v>
      </c>
      <c r="K156" s="402"/>
      <c r="L156" s="402"/>
      <c r="M156" s="1247"/>
      <c r="N156" s="402"/>
      <c r="O156" s="402"/>
    </row>
    <row r="157" spans="1:15" ht="13.5">
      <c r="A157" s="277"/>
      <c r="B157" s="401"/>
      <c r="C157" s="401"/>
      <c r="D157" s="404" t="s">
        <v>67</v>
      </c>
      <c r="E157" s="401"/>
      <c r="F157" s="276"/>
      <c r="G157" s="401"/>
      <c r="I157" s="411">
        <f>+I155+I156</f>
        <v>164709902.15640062</v>
      </c>
      <c r="J157" s="1125">
        <f>SUM(J155:J156)</f>
        <v>8470764.6832018774</v>
      </c>
      <c r="K157" s="402"/>
      <c r="L157" s="402"/>
      <c r="M157" s="402"/>
      <c r="N157" s="402"/>
      <c r="O157" s="402"/>
    </row>
    <row r="158" spans="1:15" ht="13.5">
      <c r="A158" s="401"/>
      <c r="B158" s="401"/>
      <c r="C158" s="401"/>
      <c r="D158" s="424"/>
      <c r="E158" s="402"/>
      <c r="F158" s="402"/>
      <c r="G158" s="402"/>
      <c r="H158" s="411"/>
      <c r="I158" s="402"/>
      <c r="J158" s="402"/>
      <c r="K158" s="402"/>
      <c r="L158" s="402"/>
      <c r="M158" s="402"/>
      <c r="N158" s="402"/>
      <c r="O158" s="402"/>
    </row>
    <row r="159" spans="1:15" ht="13.5">
      <c r="A159" s="401">
        <v>9</v>
      </c>
      <c r="B159" s="401" t="s">
        <v>622</v>
      </c>
      <c r="C159" s="401" t="s">
        <v>598</v>
      </c>
      <c r="D159" s="404" t="s">
        <v>1101</v>
      </c>
      <c r="E159" s="402"/>
      <c r="F159" s="402"/>
      <c r="G159" s="402"/>
      <c r="H159" s="402"/>
      <c r="I159" s="402"/>
      <c r="J159" s="276"/>
      <c r="K159" s="402"/>
      <c r="L159" s="402"/>
      <c r="M159" s="402"/>
      <c r="N159" s="402"/>
      <c r="O159" s="402"/>
    </row>
    <row r="160" spans="1:15" ht="13.5">
      <c r="A160" s="401"/>
      <c r="B160" s="401"/>
      <c r="C160" s="401"/>
      <c r="D160" s="404"/>
      <c r="E160" s="402"/>
      <c r="F160" s="402"/>
      <c r="G160" s="402"/>
      <c r="H160" s="402"/>
      <c r="I160" s="402"/>
      <c r="J160" s="276"/>
      <c r="K160" s="402"/>
      <c r="L160" s="402"/>
      <c r="M160" s="402"/>
      <c r="N160" s="402"/>
      <c r="O160" s="402"/>
    </row>
    <row r="161" spans="1:15" ht="13.5">
      <c r="A161" s="401"/>
      <c r="B161" s="276"/>
      <c r="C161" s="324" t="s">
        <v>262</v>
      </c>
      <c r="D161" s="324" t="s">
        <v>263</v>
      </c>
      <c r="E161" s="324" t="s">
        <v>355</v>
      </c>
      <c r="F161" s="324" t="s">
        <v>264</v>
      </c>
      <c r="G161" s="324" t="s">
        <v>265</v>
      </c>
      <c r="H161" s="324" t="s">
        <v>261</v>
      </c>
      <c r="I161" s="324"/>
      <c r="J161" s="324" t="s">
        <v>566</v>
      </c>
      <c r="K161" s="324" t="s">
        <v>567</v>
      </c>
      <c r="L161" s="324" t="s">
        <v>959</v>
      </c>
      <c r="M161" s="401" t="s">
        <v>960</v>
      </c>
      <c r="N161" s="401" t="s">
        <v>961</v>
      </c>
      <c r="O161" s="401" t="s">
        <v>962</v>
      </c>
    </row>
    <row r="162" spans="1:15" ht="13.5">
      <c r="A162" s="401"/>
      <c r="B162" s="276"/>
      <c r="C162" s="401" t="s">
        <v>218</v>
      </c>
      <c r="D162" s="401" t="s">
        <v>218</v>
      </c>
      <c r="E162" s="401" t="s">
        <v>218</v>
      </c>
      <c r="F162" s="401" t="s">
        <v>218</v>
      </c>
      <c r="G162" s="401" t="s">
        <v>218</v>
      </c>
      <c r="H162" s="401" t="s">
        <v>218</v>
      </c>
      <c r="I162" s="401"/>
      <c r="J162" s="401" t="s">
        <v>72</v>
      </c>
      <c r="K162" s="401" t="s">
        <v>72</v>
      </c>
      <c r="L162" s="401" t="s">
        <v>72</v>
      </c>
      <c r="M162" s="401" t="s">
        <v>72</v>
      </c>
      <c r="N162" s="401" t="s">
        <v>72</v>
      </c>
      <c r="O162" s="401" t="s">
        <v>72</v>
      </c>
    </row>
    <row r="163" spans="1:15" ht="13.5">
      <c r="A163" s="401"/>
      <c r="B163" s="402"/>
      <c r="C163" s="401" t="s">
        <v>68</v>
      </c>
      <c r="D163" s="401" t="s">
        <v>68</v>
      </c>
      <c r="E163" s="401" t="s">
        <v>68</v>
      </c>
      <c r="F163" s="438"/>
      <c r="G163" s="438"/>
      <c r="H163" s="438"/>
      <c r="I163" s="401"/>
      <c r="J163" s="401" t="s">
        <v>73</v>
      </c>
      <c r="K163" s="401" t="s">
        <v>74</v>
      </c>
      <c r="L163" s="401" t="s">
        <v>75</v>
      </c>
      <c r="M163" s="401" t="s">
        <v>76</v>
      </c>
      <c r="N163" s="401" t="s">
        <v>77</v>
      </c>
      <c r="O163" s="401" t="s">
        <v>78</v>
      </c>
    </row>
    <row r="164" spans="1:15" ht="13.5">
      <c r="A164" s="1559"/>
      <c r="B164" s="402"/>
      <c r="C164" s="401" t="s">
        <v>565</v>
      </c>
      <c r="D164" s="401"/>
      <c r="E164" s="401"/>
      <c r="F164" s="401" t="s">
        <v>69</v>
      </c>
      <c r="G164" s="401" t="s">
        <v>70</v>
      </c>
      <c r="H164" s="401" t="s">
        <v>71</v>
      </c>
      <c r="I164" s="401"/>
      <c r="J164" s="401"/>
      <c r="K164" s="401"/>
      <c r="L164" s="401"/>
      <c r="M164" s="401"/>
      <c r="N164" s="401"/>
      <c r="O164" s="401"/>
    </row>
    <row r="165" spans="1:15" ht="13.5">
      <c r="A165" s="1559"/>
      <c r="B165" s="402"/>
      <c r="C165" s="401"/>
      <c r="D165" s="410"/>
      <c r="E165" s="410"/>
      <c r="F165" s="410"/>
      <c r="G165" s="401"/>
      <c r="H165" s="401"/>
      <c r="I165" s="437"/>
      <c r="J165" s="401"/>
      <c r="K165" s="401"/>
      <c r="L165" s="411"/>
      <c r="M165" s="401"/>
      <c r="N165" s="401"/>
      <c r="O165" s="406"/>
    </row>
    <row r="166" spans="1:15" ht="16.5">
      <c r="A166" s="1559"/>
      <c r="B166" s="1413" t="s">
        <v>625</v>
      </c>
      <c r="C166" s="1418">
        <v>11272778.380000003</v>
      </c>
      <c r="D166" s="412"/>
      <c r="E166" s="412"/>
      <c r="F166" s="412"/>
      <c r="G166" s="412"/>
      <c r="H166" s="412"/>
      <c r="I166" s="437"/>
      <c r="J166" s="411">
        <f>C166</f>
        <v>11272778.380000003</v>
      </c>
      <c r="K166" s="411">
        <f>E166</f>
        <v>0</v>
      </c>
      <c r="L166" s="411">
        <f>F166</f>
        <v>0</v>
      </c>
      <c r="M166" s="411">
        <f>G166</f>
        <v>0</v>
      </c>
      <c r="N166" s="411">
        <f>H166</f>
        <v>0</v>
      </c>
      <c r="O166" s="411">
        <f>I166</f>
        <v>0</v>
      </c>
    </row>
    <row r="167" spans="1:15" ht="16.5">
      <c r="A167" s="1559"/>
      <c r="B167" s="1413" t="s">
        <v>626</v>
      </c>
      <c r="C167" s="1418">
        <v>5678985.6399999997</v>
      </c>
      <c r="D167" s="412"/>
      <c r="E167" s="412"/>
      <c r="F167" s="412"/>
      <c r="G167" s="412"/>
      <c r="H167" s="412"/>
      <c r="I167" s="437"/>
      <c r="J167" s="411">
        <f>J166+C167</f>
        <v>16951764.020000003</v>
      </c>
      <c r="K167" s="411">
        <f t="shared" ref="K167:K177" si="22">K166+E167</f>
        <v>0</v>
      </c>
      <c r="L167" s="411">
        <f t="shared" ref="L167:L177" si="23">L166+F167</f>
        <v>0</v>
      </c>
      <c r="M167" s="411">
        <f t="shared" ref="M167:M177" si="24">M166+G167</f>
        <v>0</v>
      </c>
      <c r="N167" s="411">
        <f t="shared" ref="N167:N177" si="25">N166+H167</f>
        <v>0</v>
      </c>
      <c r="O167" s="411">
        <f t="shared" ref="O167:O177" si="26">O166+I167</f>
        <v>0</v>
      </c>
    </row>
    <row r="168" spans="1:15" ht="16.5">
      <c r="A168" s="1559"/>
      <c r="B168" s="1413" t="s">
        <v>627</v>
      </c>
      <c r="C168" s="1418">
        <v>8873780.1500000004</v>
      </c>
      <c r="D168" s="412"/>
      <c r="E168" s="412"/>
      <c r="F168" s="412"/>
      <c r="G168" s="412"/>
      <c r="H168" s="412"/>
      <c r="I168" s="437"/>
      <c r="J168" s="411">
        <f t="shared" ref="J168:J177" si="27">J167+C168</f>
        <v>25825544.170000002</v>
      </c>
      <c r="K168" s="411">
        <f t="shared" si="22"/>
        <v>0</v>
      </c>
      <c r="L168" s="411">
        <f t="shared" si="23"/>
        <v>0</v>
      </c>
      <c r="M168" s="411">
        <f t="shared" si="24"/>
        <v>0</v>
      </c>
      <c r="N168" s="411">
        <f t="shared" si="25"/>
        <v>0</v>
      </c>
      <c r="O168" s="411">
        <f t="shared" si="26"/>
        <v>0</v>
      </c>
    </row>
    <row r="169" spans="1:15" ht="16.5">
      <c r="A169" s="1559"/>
      <c r="B169" s="1413" t="s">
        <v>628</v>
      </c>
      <c r="C169" s="1418">
        <v>4450731.2369332314</v>
      </c>
      <c r="D169" s="412"/>
      <c r="E169" s="412"/>
      <c r="F169" s="412"/>
      <c r="G169" s="412"/>
      <c r="H169" s="412"/>
      <c r="I169" s="437"/>
      <c r="J169" s="411">
        <f t="shared" si="27"/>
        <v>30276275.406933233</v>
      </c>
      <c r="K169" s="411">
        <f t="shared" si="22"/>
        <v>0</v>
      </c>
      <c r="L169" s="411">
        <f t="shared" si="23"/>
        <v>0</v>
      </c>
      <c r="M169" s="411">
        <f t="shared" si="24"/>
        <v>0</v>
      </c>
      <c r="N169" s="411">
        <f t="shared" si="25"/>
        <v>0</v>
      </c>
      <c r="O169" s="411">
        <f t="shared" si="26"/>
        <v>0</v>
      </c>
    </row>
    <row r="170" spans="1:15" ht="16.5">
      <c r="A170" s="1559"/>
      <c r="B170" s="1413" t="s">
        <v>623</v>
      </c>
      <c r="C170" s="1418">
        <v>7793321.6768403053</v>
      </c>
      <c r="D170" s="412"/>
      <c r="E170" s="412"/>
      <c r="F170" s="412"/>
      <c r="G170" s="412"/>
      <c r="H170" s="412"/>
      <c r="I170" s="437"/>
      <c r="J170" s="411">
        <f t="shared" si="27"/>
        <v>38069597.083773538</v>
      </c>
      <c r="K170" s="411">
        <f t="shared" si="22"/>
        <v>0</v>
      </c>
      <c r="L170" s="411">
        <f t="shared" si="23"/>
        <v>0</v>
      </c>
      <c r="M170" s="411">
        <f t="shared" si="24"/>
        <v>0</v>
      </c>
      <c r="N170" s="411">
        <f t="shared" si="25"/>
        <v>0</v>
      </c>
      <c r="O170" s="411">
        <f t="shared" si="26"/>
        <v>0</v>
      </c>
    </row>
    <row r="171" spans="1:15" ht="16.5">
      <c r="A171" s="1559"/>
      <c r="B171" s="1413" t="s">
        <v>629</v>
      </c>
      <c r="C171" s="1418">
        <v>5672567.2804517746</v>
      </c>
      <c r="D171" s="412"/>
      <c r="E171" s="412"/>
      <c r="F171" s="412"/>
      <c r="G171" s="412"/>
      <c r="H171" s="412"/>
      <c r="I171" s="437"/>
      <c r="J171" s="411">
        <f t="shared" si="27"/>
        <v>43742164.364225313</v>
      </c>
      <c r="K171" s="411">
        <f t="shared" si="22"/>
        <v>0</v>
      </c>
      <c r="L171" s="411">
        <f t="shared" si="23"/>
        <v>0</v>
      </c>
      <c r="M171" s="411">
        <f t="shared" si="24"/>
        <v>0</v>
      </c>
      <c r="N171" s="411">
        <f t="shared" si="25"/>
        <v>0</v>
      </c>
      <c r="O171" s="411">
        <f t="shared" si="26"/>
        <v>0</v>
      </c>
    </row>
    <row r="172" spans="1:15" ht="16.5">
      <c r="A172" s="1559"/>
      <c r="B172" s="1413" t="s">
        <v>630</v>
      </c>
      <c r="C172" s="1418">
        <v>3754710.72189188</v>
      </c>
      <c r="D172" s="412"/>
      <c r="E172" s="412"/>
      <c r="F172" s="412"/>
      <c r="G172" s="412"/>
      <c r="H172" s="412"/>
      <c r="I172" s="437"/>
      <c r="J172" s="411">
        <f t="shared" si="27"/>
        <v>47496875.086117193</v>
      </c>
      <c r="K172" s="411">
        <f t="shared" si="22"/>
        <v>0</v>
      </c>
      <c r="L172" s="411">
        <f t="shared" si="23"/>
        <v>0</v>
      </c>
      <c r="M172" s="411">
        <f t="shared" si="24"/>
        <v>0</v>
      </c>
      <c r="N172" s="411">
        <f t="shared" si="25"/>
        <v>0</v>
      </c>
      <c r="O172" s="411">
        <f t="shared" si="26"/>
        <v>0</v>
      </c>
    </row>
    <row r="173" spans="1:15" ht="16.5">
      <c r="A173" s="1559"/>
      <c r="B173" s="1413" t="s">
        <v>631</v>
      </c>
      <c r="C173" s="1418">
        <v>4865638.1727924347</v>
      </c>
      <c r="D173" s="412"/>
      <c r="E173" s="412"/>
      <c r="F173" s="412"/>
      <c r="G173" s="412"/>
      <c r="H173" s="412"/>
      <c r="I173" s="437"/>
      <c r="J173" s="411">
        <f t="shared" si="27"/>
        <v>52362513.258909628</v>
      </c>
      <c r="K173" s="411">
        <f t="shared" si="22"/>
        <v>0</v>
      </c>
      <c r="L173" s="411">
        <f t="shared" si="23"/>
        <v>0</v>
      </c>
      <c r="M173" s="411">
        <f t="shared" si="24"/>
        <v>0</v>
      </c>
      <c r="N173" s="411">
        <f t="shared" si="25"/>
        <v>0</v>
      </c>
      <c r="O173" s="411">
        <f t="shared" si="26"/>
        <v>0</v>
      </c>
    </row>
    <row r="174" spans="1:15" ht="16.5">
      <c r="A174" s="1559"/>
      <c r="B174" s="1413" t="s">
        <v>632</v>
      </c>
      <c r="C174" s="1418">
        <v>4510722.7713150978</v>
      </c>
      <c r="D174" s="412"/>
      <c r="E174" s="412"/>
      <c r="F174" s="412"/>
      <c r="G174" s="412"/>
      <c r="H174" s="412"/>
      <c r="I174" s="437"/>
      <c r="J174" s="411">
        <f t="shared" si="27"/>
        <v>56873236.030224726</v>
      </c>
      <c r="K174" s="411">
        <f t="shared" si="22"/>
        <v>0</v>
      </c>
      <c r="L174" s="411">
        <f t="shared" si="23"/>
        <v>0</v>
      </c>
      <c r="M174" s="411">
        <f t="shared" si="24"/>
        <v>0</v>
      </c>
      <c r="N174" s="411">
        <f t="shared" si="25"/>
        <v>0</v>
      </c>
      <c r="O174" s="411">
        <f t="shared" si="26"/>
        <v>0</v>
      </c>
    </row>
    <row r="175" spans="1:15" ht="16.5">
      <c r="A175" s="1559"/>
      <c r="B175" s="1413" t="s">
        <v>633</v>
      </c>
      <c r="C175" s="1418">
        <v>5367103.5231080055</v>
      </c>
      <c r="D175" s="412"/>
      <c r="E175" s="412"/>
      <c r="F175" s="412"/>
      <c r="G175" s="412"/>
      <c r="H175" s="412"/>
      <c r="I175" s="437"/>
      <c r="J175" s="411">
        <f t="shared" si="27"/>
        <v>62240339.553332731</v>
      </c>
      <c r="K175" s="411">
        <f t="shared" si="22"/>
        <v>0</v>
      </c>
      <c r="L175" s="411">
        <f t="shared" si="23"/>
        <v>0</v>
      </c>
      <c r="M175" s="411">
        <f t="shared" si="24"/>
        <v>0</v>
      </c>
      <c r="N175" s="411">
        <f t="shared" si="25"/>
        <v>0</v>
      </c>
      <c r="O175" s="411">
        <f t="shared" si="26"/>
        <v>0</v>
      </c>
    </row>
    <row r="176" spans="1:15" ht="16.5">
      <c r="A176" s="1559"/>
      <c r="B176" s="1413" t="s">
        <v>634</v>
      </c>
      <c r="C176" s="1418">
        <v>3318174.3825960159</v>
      </c>
      <c r="D176" s="412"/>
      <c r="E176" s="412"/>
      <c r="F176" s="412"/>
      <c r="G176" s="412"/>
      <c r="H176" s="412"/>
      <c r="I176" s="437"/>
      <c r="J176" s="411">
        <f t="shared" si="27"/>
        <v>65558513.935928747</v>
      </c>
      <c r="K176" s="411">
        <f t="shared" si="22"/>
        <v>0</v>
      </c>
      <c r="L176" s="411">
        <f t="shared" si="23"/>
        <v>0</v>
      </c>
      <c r="M176" s="411">
        <f t="shared" si="24"/>
        <v>0</v>
      </c>
      <c r="N176" s="411">
        <f t="shared" si="25"/>
        <v>0</v>
      </c>
      <c r="O176" s="411">
        <f t="shared" si="26"/>
        <v>0</v>
      </c>
    </row>
    <row r="177" spans="1:15" ht="16.5">
      <c r="A177" s="401"/>
      <c r="B177" s="1413" t="s">
        <v>635</v>
      </c>
      <c r="C177" s="1418">
        <v>50873757.003340244</v>
      </c>
      <c r="D177" s="412"/>
      <c r="E177" s="412"/>
      <c r="F177" s="412"/>
      <c r="G177" s="412"/>
      <c r="H177" s="412"/>
      <c r="I177" s="437"/>
      <c r="J177" s="411">
        <f t="shared" si="27"/>
        <v>116432270.93926899</v>
      </c>
      <c r="K177" s="411">
        <f t="shared" si="22"/>
        <v>0</v>
      </c>
      <c r="L177" s="411">
        <f t="shared" si="23"/>
        <v>0</v>
      </c>
      <c r="M177" s="411">
        <f t="shared" si="24"/>
        <v>0</v>
      </c>
      <c r="N177" s="411">
        <f t="shared" si="25"/>
        <v>0</v>
      </c>
      <c r="O177" s="411">
        <f t="shared" si="26"/>
        <v>0</v>
      </c>
    </row>
    <row r="178" spans="1:15" ht="16.5">
      <c r="A178" s="401"/>
      <c r="B178" s="1413" t="s">
        <v>847</v>
      </c>
      <c r="C178" s="1414">
        <f>SUM(C166:C177)</f>
        <v>116432270.93926899</v>
      </c>
      <c r="D178" s="411">
        <f t="shared" ref="D178:H178" si="28">SUM(D166:D177)</f>
        <v>0</v>
      </c>
      <c r="E178" s="411">
        <f t="shared" si="28"/>
        <v>0</v>
      </c>
      <c r="F178" s="411">
        <f t="shared" si="28"/>
        <v>0</v>
      </c>
      <c r="G178" s="411">
        <f t="shared" si="28"/>
        <v>0</v>
      </c>
      <c r="H178" s="411">
        <f t="shared" si="28"/>
        <v>0</v>
      </c>
      <c r="I178" s="411" t="s">
        <v>79</v>
      </c>
      <c r="J178" s="411">
        <f t="shared" ref="J178:O178" si="29">AVERAGE(J166:J177)</f>
        <v>47258489.352392845</v>
      </c>
      <c r="K178" s="411">
        <f t="shared" si="29"/>
        <v>0</v>
      </c>
      <c r="L178" s="411">
        <f t="shared" si="29"/>
        <v>0</v>
      </c>
      <c r="M178" s="411">
        <f t="shared" si="29"/>
        <v>0</v>
      </c>
      <c r="N178" s="411">
        <f t="shared" si="29"/>
        <v>0</v>
      </c>
      <c r="O178" s="411">
        <f t="shared" si="29"/>
        <v>0</v>
      </c>
    </row>
    <row r="179" spans="1:15" ht="13.5">
      <c r="A179" s="401"/>
      <c r="C179" s="402"/>
      <c r="D179" s="276"/>
      <c r="E179" s="276"/>
      <c r="F179" s="276"/>
      <c r="G179" s="276"/>
      <c r="H179" s="276"/>
      <c r="I179" s="276"/>
      <c r="J179" s="276"/>
      <c r="K179" s="276"/>
      <c r="L179" s="413"/>
      <c r="M179" s="402"/>
      <c r="N179" s="402"/>
      <c r="O179" s="402"/>
    </row>
    <row r="180" spans="1:15" ht="15.75">
      <c r="A180" s="401" t="s">
        <v>756</v>
      </c>
      <c r="B180" s="402" t="s">
        <v>81</v>
      </c>
      <c r="C180" s="402"/>
      <c r="D180" s="276"/>
      <c r="E180" s="276"/>
      <c r="F180" s="276"/>
      <c r="G180" s="276"/>
      <c r="H180" s="276"/>
      <c r="I180" s="276"/>
      <c r="J180" s="402"/>
      <c r="K180" s="439" t="s">
        <v>80</v>
      </c>
      <c r="L180" s="276"/>
      <c r="M180" s="411">
        <f>SUM(J178:O178)</f>
        <v>47258489.352392845</v>
      </c>
      <c r="N180" s="1274" t="s">
        <v>1102</v>
      </c>
      <c r="O180" s="411"/>
    </row>
    <row r="181" spans="1:15" ht="13.5">
      <c r="A181" s="401"/>
      <c r="B181" s="402"/>
      <c r="C181" s="402"/>
      <c r="D181" s="276"/>
      <c r="E181" s="276"/>
      <c r="F181" s="276"/>
      <c r="G181" s="276"/>
      <c r="H181" s="276"/>
      <c r="I181" s="276"/>
      <c r="J181" s="402"/>
      <c r="K181" s="402"/>
      <c r="L181" s="411"/>
      <c r="M181" s="402"/>
      <c r="N181" s="276"/>
      <c r="O181" s="402"/>
    </row>
    <row r="182" spans="1:15" ht="13.5">
      <c r="A182" s="401"/>
      <c r="B182" s="401"/>
      <c r="C182" s="401"/>
      <c r="D182" s="402"/>
      <c r="E182" s="402"/>
      <c r="F182" s="276"/>
      <c r="G182" s="402"/>
      <c r="H182" s="402"/>
      <c r="I182" s="411"/>
      <c r="J182" s="402"/>
      <c r="K182" s="276"/>
      <c r="L182" s="402"/>
      <c r="M182" s="402"/>
      <c r="N182" s="414"/>
      <c r="O182" s="414"/>
    </row>
    <row r="183" spans="1:15" ht="13.5">
      <c r="A183" s="401"/>
      <c r="B183" s="401"/>
      <c r="C183" s="401"/>
      <c r="D183" s="417"/>
      <c r="E183" s="401"/>
      <c r="F183" s="411"/>
      <c r="G183" s="401"/>
      <c r="H183" s="411"/>
      <c r="I183" s="404"/>
      <c r="J183" s="411"/>
      <c r="K183" s="402"/>
      <c r="L183" s="402"/>
      <c r="M183" s="402"/>
      <c r="N183" s="402"/>
      <c r="O183" s="402"/>
    </row>
    <row r="184" spans="1:15" ht="13.5">
      <c r="A184" s="401">
        <v>10</v>
      </c>
      <c r="B184" s="401" t="s">
        <v>623</v>
      </c>
      <c r="C184" s="401" t="s">
        <v>598</v>
      </c>
      <c r="D184" s="404" t="s">
        <v>459</v>
      </c>
      <c r="E184" s="402"/>
      <c r="F184" s="402"/>
      <c r="G184" s="402"/>
      <c r="H184" s="402"/>
      <c r="I184" s="404"/>
      <c r="J184" s="402"/>
      <c r="K184" s="402"/>
      <c r="L184" s="402"/>
      <c r="M184" s="402"/>
      <c r="N184" s="402"/>
      <c r="O184" s="402"/>
    </row>
    <row r="185" spans="1:15" ht="13.5">
      <c r="A185" s="401"/>
      <c r="B185" s="401"/>
      <c r="C185" s="1129">
        <f>I157</f>
        <v>164709902.15640062</v>
      </c>
      <c r="D185" s="418"/>
      <c r="E185" s="402" t="s">
        <v>958</v>
      </c>
      <c r="F185" s="402"/>
      <c r="G185" s="402"/>
      <c r="H185" s="402"/>
      <c r="I185" s="402"/>
      <c r="J185" s="402"/>
      <c r="K185" s="402"/>
      <c r="L185" s="402"/>
      <c r="M185" s="402"/>
      <c r="N185" s="402"/>
      <c r="O185" s="402"/>
    </row>
    <row r="186" spans="1:15" ht="13.5">
      <c r="A186" s="401"/>
      <c r="B186" s="401"/>
      <c r="C186" s="401"/>
      <c r="D186" s="422"/>
      <c r="E186" s="417"/>
      <c r="F186" s="402"/>
      <c r="G186" s="402"/>
      <c r="H186" s="402"/>
      <c r="I186" s="402"/>
      <c r="J186" s="402"/>
      <c r="K186" s="402"/>
      <c r="L186" s="402"/>
      <c r="M186" s="402"/>
      <c r="N186" s="402"/>
      <c r="O186" s="402"/>
    </row>
    <row r="187" spans="1:15" ht="13.5">
      <c r="A187" s="401"/>
      <c r="B187" s="401"/>
      <c r="C187" s="401"/>
      <c r="D187" s="418"/>
      <c r="E187" s="402"/>
      <c r="F187" s="402"/>
      <c r="G187" s="402"/>
      <c r="H187" s="402"/>
      <c r="I187" s="402"/>
      <c r="J187" s="402"/>
      <c r="K187" s="402"/>
      <c r="L187" s="402"/>
      <c r="M187" s="402"/>
      <c r="N187" s="402"/>
      <c r="O187" s="402"/>
    </row>
    <row r="188" spans="1:15" ht="13.5">
      <c r="A188" s="401">
        <v>11</v>
      </c>
      <c r="B188" s="401" t="s">
        <v>624</v>
      </c>
      <c r="C188" s="401" t="s">
        <v>598</v>
      </c>
      <c r="D188" s="402" t="s">
        <v>1091</v>
      </c>
      <c r="E188" s="402"/>
      <c r="F188" s="402"/>
      <c r="G188" s="402"/>
      <c r="H188" s="402"/>
      <c r="I188" s="402"/>
      <c r="J188" s="402"/>
      <c r="K188" s="402"/>
      <c r="L188" s="402"/>
      <c r="M188" s="402"/>
      <c r="N188" s="402"/>
      <c r="O188" s="402"/>
    </row>
    <row r="189" spans="1:15" ht="13.5">
      <c r="A189" s="401"/>
      <c r="B189" s="401"/>
      <c r="C189" s="401"/>
      <c r="D189" s="1130">
        <f>C185</f>
        <v>164709902.15640062</v>
      </c>
      <c r="E189" s="402"/>
      <c r="F189" s="402"/>
      <c r="G189" s="402"/>
      <c r="H189" s="402"/>
      <c r="I189" s="402"/>
      <c r="J189" s="402"/>
      <c r="K189" s="402"/>
      <c r="L189" s="402"/>
      <c r="M189" s="402"/>
      <c r="N189" s="402"/>
      <c r="O189" s="402"/>
    </row>
    <row r="190" spans="1:15" ht="13.5">
      <c r="A190" s="401"/>
      <c r="B190" s="401"/>
      <c r="C190" s="401"/>
      <c r="D190" s="402"/>
      <c r="E190" s="402"/>
      <c r="F190" s="402"/>
      <c r="G190" s="402"/>
      <c r="H190" s="402"/>
      <c r="I190" s="402"/>
      <c r="J190" s="402"/>
      <c r="K190" s="402"/>
      <c r="L190" s="402"/>
      <c r="M190" s="402"/>
      <c r="N190" s="402"/>
      <c r="O190" s="402"/>
    </row>
    <row r="191" spans="1:15" ht="13.5">
      <c r="A191" s="401"/>
      <c r="B191" s="402"/>
      <c r="C191" s="401"/>
      <c r="D191" s="417"/>
      <c r="E191" s="402"/>
      <c r="F191" s="402"/>
      <c r="G191" s="402"/>
      <c r="H191" s="402"/>
      <c r="I191" s="402"/>
      <c r="J191" s="402"/>
      <c r="K191" s="402"/>
      <c r="L191" s="402"/>
      <c r="M191" s="402"/>
      <c r="N191" s="402"/>
      <c r="O191" s="402"/>
    </row>
    <row r="192" spans="1:15" ht="13.5">
      <c r="A192" s="401"/>
      <c r="B192" s="401"/>
      <c r="C192" s="401"/>
      <c r="D192" s="402"/>
      <c r="E192" s="402"/>
      <c r="F192" s="402"/>
      <c r="G192" s="402"/>
      <c r="H192" s="402"/>
      <c r="I192" s="402"/>
      <c r="J192" s="402"/>
      <c r="K192" s="402"/>
      <c r="L192" s="402"/>
      <c r="M192" s="402"/>
      <c r="N192" s="402"/>
      <c r="O192" s="402"/>
    </row>
    <row r="193" spans="1:15" ht="13.5">
      <c r="A193" s="401"/>
      <c r="B193" s="401"/>
      <c r="C193" s="401"/>
      <c r="D193" s="402"/>
      <c r="E193" s="402"/>
      <c r="F193" s="402"/>
      <c r="G193" s="402"/>
      <c r="H193" s="402"/>
      <c r="I193" s="402"/>
      <c r="J193" s="402"/>
      <c r="K193" s="402"/>
      <c r="L193" s="402"/>
      <c r="M193" s="402"/>
      <c r="N193" s="402"/>
      <c r="O193" s="402"/>
    </row>
    <row r="194" spans="1:15" ht="13.5">
      <c r="A194" s="401"/>
      <c r="B194" s="401"/>
      <c r="C194" s="401"/>
      <c r="D194" s="402"/>
      <c r="E194" s="402"/>
      <c r="F194" s="402"/>
      <c r="G194" s="402"/>
      <c r="H194" s="402"/>
      <c r="I194" s="402"/>
      <c r="J194" s="402"/>
      <c r="K194" s="402"/>
      <c r="L194" s="402"/>
      <c r="M194" s="402"/>
      <c r="N194" s="402"/>
      <c r="O194" s="402"/>
    </row>
    <row r="195" spans="1:15" ht="13.5">
      <c r="A195" s="401"/>
      <c r="B195" s="401"/>
      <c r="C195" s="401"/>
      <c r="D195" s="402"/>
      <c r="E195" s="402"/>
      <c r="F195" s="402"/>
      <c r="G195" s="402"/>
      <c r="H195" s="402"/>
      <c r="I195" s="402"/>
      <c r="J195" s="402"/>
      <c r="K195" s="402"/>
      <c r="L195" s="402"/>
      <c r="M195" s="402"/>
      <c r="N195" s="402"/>
      <c r="O195" s="402"/>
    </row>
    <row r="196" spans="1:15" ht="13.5">
      <c r="A196" s="401"/>
      <c r="B196" s="401"/>
      <c r="C196" s="401"/>
      <c r="D196" s="402"/>
      <c r="E196" s="402"/>
      <c r="F196" s="402"/>
      <c r="G196" s="402"/>
      <c r="H196" s="402"/>
      <c r="I196" s="402"/>
      <c r="J196" s="402"/>
      <c r="K196" s="402"/>
      <c r="L196" s="402"/>
      <c r="M196" s="402"/>
      <c r="N196" s="402"/>
      <c r="O196" s="402"/>
    </row>
    <row r="197" spans="1:15" ht="13.5">
      <c r="A197" s="401"/>
      <c r="B197" s="401"/>
      <c r="C197" s="401"/>
      <c r="D197" s="402"/>
      <c r="E197" s="402"/>
      <c r="F197" s="402"/>
      <c r="G197" s="402"/>
      <c r="H197" s="402"/>
      <c r="I197" s="402"/>
      <c r="J197" s="402"/>
      <c r="K197" s="402"/>
      <c r="L197" s="402"/>
      <c r="M197" s="402"/>
      <c r="N197" s="402"/>
      <c r="O197" s="402"/>
    </row>
    <row r="198" spans="1:15" ht="13.5">
      <c r="A198" s="401"/>
      <c r="B198" s="401"/>
      <c r="C198" s="401"/>
      <c r="D198" s="402"/>
      <c r="E198" s="402"/>
      <c r="F198" s="402"/>
      <c r="G198" s="402"/>
      <c r="H198" s="402"/>
      <c r="I198" s="402"/>
      <c r="J198" s="402"/>
      <c r="K198" s="402"/>
      <c r="L198" s="402"/>
      <c r="M198" s="402"/>
      <c r="N198" s="402"/>
      <c r="O198" s="402"/>
    </row>
    <row r="199" spans="1:15" ht="13.5">
      <c r="A199" s="401"/>
      <c r="B199" s="401"/>
      <c r="C199" s="401"/>
      <c r="D199" s="402"/>
      <c r="E199" s="402"/>
      <c r="F199" s="402"/>
      <c r="G199" s="402"/>
      <c r="H199" s="402"/>
      <c r="I199" s="402"/>
      <c r="J199" s="402"/>
      <c r="K199" s="402"/>
      <c r="L199" s="402"/>
      <c r="M199" s="402"/>
      <c r="N199" s="402"/>
      <c r="O199" s="402"/>
    </row>
    <row r="200" spans="1:15" ht="13.5">
      <c r="A200" s="401"/>
      <c r="B200" s="401"/>
      <c r="C200" s="401"/>
      <c r="D200" s="402"/>
      <c r="E200" s="402"/>
      <c r="F200" s="402"/>
      <c r="G200" s="402"/>
      <c r="H200" s="402"/>
      <c r="I200" s="402"/>
      <c r="J200" s="402"/>
      <c r="K200" s="402"/>
      <c r="L200" s="402"/>
      <c r="M200" s="402"/>
      <c r="N200" s="402"/>
      <c r="O200" s="402"/>
    </row>
    <row r="201" spans="1:15" ht="13.5">
      <c r="A201" s="401"/>
      <c r="B201" s="401"/>
      <c r="C201" s="401"/>
      <c r="D201" s="402"/>
      <c r="E201" s="402"/>
      <c r="F201" s="402"/>
      <c r="G201" s="402"/>
      <c r="H201" s="402"/>
      <c r="I201" s="402"/>
      <c r="J201" s="402"/>
      <c r="K201" s="402"/>
      <c r="L201" s="402"/>
      <c r="M201" s="402"/>
      <c r="N201" s="402"/>
      <c r="O201" s="402"/>
    </row>
    <row r="202" spans="1:15" ht="13.5">
      <c r="A202" s="401"/>
      <c r="B202" s="401"/>
      <c r="C202" s="401"/>
      <c r="D202" s="402"/>
      <c r="E202" s="402"/>
      <c r="F202" s="402"/>
      <c r="G202" s="402"/>
      <c r="H202" s="402"/>
      <c r="I202" s="402"/>
      <c r="J202" s="402"/>
      <c r="K202" s="402"/>
      <c r="L202" s="402"/>
      <c r="M202" s="402"/>
      <c r="N202" s="402"/>
      <c r="O202" s="402"/>
    </row>
    <row r="203" spans="1:15" ht="13.5">
      <c r="A203" s="401"/>
      <c r="B203" s="401"/>
      <c r="C203" s="401"/>
      <c r="D203" s="402"/>
      <c r="E203" s="402"/>
      <c r="F203" s="402"/>
      <c r="G203" s="402"/>
      <c r="H203" s="402"/>
      <c r="I203" s="402"/>
      <c r="J203" s="402"/>
      <c r="K203" s="402"/>
      <c r="L203" s="402"/>
      <c r="M203" s="402"/>
      <c r="N203" s="402"/>
      <c r="O203" s="402"/>
    </row>
    <row r="204" spans="1:15" ht="13.5">
      <c r="A204" s="401"/>
      <c r="B204" s="401"/>
      <c r="C204" s="401"/>
      <c r="D204" s="402"/>
      <c r="E204" s="402"/>
      <c r="F204" s="402"/>
      <c r="G204" s="402"/>
      <c r="H204" s="402"/>
      <c r="I204" s="402"/>
      <c r="J204" s="402"/>
      <c r="K204" s="402"/>
      <c r="L204" s="402"/>
      <c r="M204" s="402"/>
      <c r="N204" s="402"/>
      <c r="O204" s="402"/>
    </row>
    <row r="205" spans="1:15" ht="13.5">
      <c r="A205" s="401"/>
      <c r="B205" s="401"/>
      <c r="C205" s="401"/>
      <c r="D205" s="402"/>
      <c r="E205" s="402"/>
      <c r="F205" s="402"/>
      <c r="G205" s="402"/>
      <c r="H205" s="402"/>
      <c r="I205" s="402"/>
      <c r="J205" s="402"/>
      <c r="K205" s="402"/>
      <c r="L205" s="402"/>
      <c r="M205" s="402"/>
      <c r="N205" s="402"/>
      <c r="O205" s="402"/>
    </row>
    <row r="206" spans="1:15" ht="13.5">
      <c r="A206" s="401"/>
      <c r="B206" s="401"/>
      <c r="C206" s="401"/>
      <c r="D206" s="402"/>
      <c r="E206" s="402"/>
      <c r="F206" s="402"/>
      <c r="G206" s="402"/>
      <c r="H206" s="402"/>
      <c r="I206" s="402"/>
      <c r="J206" s="402"/>
      <c r="K206" s="402"/>
      <c r="L206" s="402"/>
      <c r="M206" s="402"/>
      <c r="N206" s="402"/>
      <c r="O206" s="402"/>
    </row>
    <row r="207" spans="1:15" ht="15.75">
      <c r="A207" s="435"/>
      <c r="B207" s="401"/>
      <c r="C207" s="401"/>
      <c r="D207" s="402"/>
      <c r="E207" s="402"/>
      <c r="F207" s="402"/>
      <c r="G207" s="402"/>
      <c r="H207" s="402"/>
      <c r="I207" s="402"/>
      <c r="J207" s="402"/>
      <c r="K207" s="402"/>
      <c r="L207" s="402"/>
      <c r="M207" s="402"/>
      <c r="N207" s="402"/>
      <c r="O207" s="402"/>
    </row>
    <row r="208" spans="1:15" ht="15.75">
      <c r="A208" s="435"/>
      <c r="B208" s="401"/>
      <c r="C208" s="401"/>
      <c r="D208" s="402"/>
      <c r="E208" s="402"/>
      <c r="F208" s="402"/>
      <c r="G208" s="402"/>
      <c r="H208" s="402"/>
      <c r="I208" s="402"/>
      <c r="J208" s="402"/>
      <c r="K208" s="402"/>
      <c r="L208" s="402"/>
      <c r="M208" s="402"/>
      <c r="N208" s="402"/>
      <c r="O208" s="402"/>
    </row>
    <row r="209" spans="1:15" ht="15.75">
      <c r="A209" s="435"/>
      <c r="B209" s="435"/>
      <c r="C209" s="435"/>
      <c r="D209" s="436"/>
      <c r="E209" s="436"/>
      <c r="F209" s="436"/>
      <c r="G209" s="436"/>
      <c r="H209" s="436"/>
      <c r="I209" s="436"/>
      <c r="J209" s="436"/>
      <c r="K209" s="436"/>
      <c r="L209" s="436"/>
      <c r="M209" s="436"/>
      <c r="N209" s="436"/>
      <c r="O209" s="436"/>
    </row>
    <row r="210" spans="1:15" ht="15.75">
      <c r="A210" s="435"/>
      <c r="B210" s="435"/>
      <c r="C210" s="435"/>
      <c r="D210" s="436"/>
      <c r="E210" s="436"/>
      <c r="F210" s="436"/>
      <c r="G210" s="436"/>
      <c r="H210" s="436"/>
      <c r="I210" s="436"/>
      <c r="J210" s="436"/>
      <c r="K210" s="436"/>
      <c r="L210" s="436"/>
      <c r="M210" s="436"/>
      <c r="N210" s="436"/>
      <c r="O210" s="436"/>
    </row>
    <row r="211" spans="1:15" ht="13.5">
      <c r="J211" s="402"/>
      <c r="K211" s="402"/>
    </row>
    <row r="212" spans="1:15" ht="13.5">
      <c r="J212" s="402"/>
      <c r="K212" s="402"/>
    </row>
    <row r="213" spans="1:15" ht="13.5">
      <c r="J213" s="402"/>
      <c r="K213" s="402"/>
    </row>
    <row r="214" spans="1:15" ht="13.5">
      <c r="J214" s="402"/>
      <c r="K214" s="402"/>
    </row>
    <row r="215" spans="1:15" ht="13.5">
      <c r="J215" s="402"/>
      <c r="K215" s="402"/>
    </row>
    <row r="216" spans="1:15" ht="13.5">
      <c r="J216" s="402"/>
      <c r="K216" s="402"/>
    </row>
    <row r="217" spans="1:15" ht="13.5">
      <c r="J217" s="402"/>
      <c r="K217" s="402"/>
    </row>
    <row r="218" spans="1:15" ht="13.5">
      <c r="J218" s="402"/>
      <c r="K218" s="402"/>
    </row>
    <row r="219" spans="1:15" ht="13.5">
      <c r="J219" s="402"/>
      <c r="K219" s="402"/>
    </row>
    <row r="220" spans="1:15" ht="13.5">
      <c r="J220" s="402"/>
      <c r="K220" s="402"/>
    </row>
    <row r="221" spans="1:15" ht="13.5">
      <c r="J221" s="402"/>
      <c r="K221" s="402"/>
    </row>
  </sheetData>
  <mergeCells count="3">
    <mergeCell ref="D119:E119"/>
    <mergeCell ref="A164:A176"/>
    <mergeCell ref="N81:N82"/>
  </mergeCells>
  <phoneticPr fontId="73" type="noConversion"/>
  <printOptions gridLines="1"/>
  <pageMargins left="0.78" right="0.7" top="7.0000000000000007E-2" bottom="0.25" header="0.3" footer="0.05"/>
  <pageSetup scale="47" fitToHeight="0" orientation="landscape" r:id="rId1"/>
  <rowBreaks count="2" manualBreakCount="2">
    <brk id="74" max="15" man="1"/>
    <brk id="158" max="15"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2:AB189"/>
  <sheetViews>
    <sheetView topLeftCell="A45" zoomScale="75" zoomScaleNormal="75" workbookViewId="0">
      <selection activeCell="I91" sqref="I91"/>
    </sheetView>
  </sheetViews>
  <sheetFormatPr defaultRowHeight="12.75"/>
  <cols>
    <col min="3" max="3" width="17.5703125" customWidth="1"/>
    <col min="4" max="4" width="17.140625" customWidth="1"/>
    <col min="5" max="5" width="30.7109375" customWidth="1"/>
    <col min="6" max="6" width="16.5703125" customWidth="1"/>
    <col min="7" max="7" width="19" customWidth="1"/>
    <col min="8" max="8" width="17.140625" customWidth="1"/>
    <col min="9" max="9" width="11" customWidth="1"/>
    <col min="10" max="10" width="15.140625" customWidth="1"/>
    <col min="12" max="12" width="14.140625" customWidth="1"/>
    <col min="13" max="13" width="15.42578125" customWidth="1"/>
    <col min="14" max="14" width="17.85546875" customWidth="1"/>
    <col min="17" max="17" width="15.28515625" customWidth="1"/>
  </cols>
  <sheetData>
    <row r="2" spans="1:28" ht="15">
      <c r="A2" s="1527" t="s">
        <v>446</v>
      </c>
      <c r="B2" s="1527"/>
      <c r="C2" s="1527"/>
      <c r="D2" s="1527"/>
      <c r="E2" s="1527"/>
      <c r="F2" s="1527"/>
      <c r="G2" s="1527"/>
      <c r="H2" s="1527"/>
      <c r="I2" s="1527"/>
      <c r="J2" s="1527"/>
      <c r="K2" s="1527"/>
      <c r="L2" s="1527"/>
      <c r="M2" s="1527"/>
      <c r="N2" s="1527"/>
      <c r="O2" s="1527"/>
      <c r="P2" s="1527"/>
      <c r="Q2" s="1527"/>
    </row>
    <row r="3" spans="1:28" ht="18">
      <c r="A3" s="1561" t="s">
        <v>417</v>
      </c>
      <c r="B3" s="1561"/>
      <c r="C3" s="1561"/>
      <c r="D3" s="1561"/>
      <c r="E3" s="1561"/>
      <c r="F3" s="1561"/>
      <c r="G3" s="1561"/>
      <c r="H3" s="1561"/>
      <c r="I3" s="1561"/>
      <c r="J3" s="1561"/>
      <c r="K3" s="1561"/>
      <c r="L3" s="1561"/>
      <c r="M3" s="1561"/>
      <c r="N3" s="1561"/>
      <c r="O3" s="1561"/>
      <c r="P3" s="1561"/>
      <c r="Q3" s="1561"/>
      <c r="R3" s="278"/>
      <c r="S3" s="278"/>
    </row>
    <row r="4" spans="1:28">
      <c r="A4" s="278"/>
      <c r="B4" s="278"/>
      <c r="C4" s="278"/>
      <c r="D4" s="278"/>
      <c r="E4" s="1271" t="s">
        <v>1098</v>
      </c>
      <c r="F4" s="1272">
        <v>2023</v>
      </c>
      <c r="G4" s="278"/>
      <c r="H4" s="278"/>
      <c r="I4" s="278"/>
      <c r="J4" s="278"/>
      <c r="K4" s="278"/>
      <c r="L4" s="278"/>
      <c r="M4" s="278"/>
      <c r="N4" s="278"/>
      <c r="O4" s="278"/>
      <c r="P4" s="278"/>
      <c r="Q4" s="278"/>
      <c r="R4" s="278"/>
      <c r="S4" s="278"/>
    </row>
    <row r="5" spans="1:28" ht="16.5">
      <c r="A5" s="277"/>
      <c r="B5" s="277"/>
      <c r="C5" s="277"/>
      <c r="D5" s="276"/>
      <c r="E5" s="1271" t="s">
        <v>1099</v>
      </c>
      <c r="F5" s="1273">
        <v>2024</v>
      </c>
      <c r="G5" s="276"/>
      <c r="H5" s="276"/>
      <c r="I5" s="276"/>
      <c r="J5" s="400"/>
      <c r="K5" s="276"/>
      <c r="L5" s="276"/>
      <c r="M5" s="276"/>
      <c r="N5" s="276"/>
      <c r="O5" s="276"/>
      <c r="P5" s="276"/>
      <c r="Q5" s="276"/>
      <c r="R5" s="276"/>
      <c r="S5" s="276"/>
    </row>
    <row r="6" spans="1:28" ht="13.5">
      <c r="A6" s="401" t="s">
        <v>617</v>
      </c>
      <c r="B6" s="401" t="s">
        <v>618</v>
      </c>
      <c r="C6" s="401" t="s">
        <v>619</v>
      </c>
      <c r="D6" s="401" t="s">
        <v>620</v>
      </c>
      <c r="E6" s="1271" t="s">
        <v>1100</v>
      </c>
      <c r="F6" s="1273">
        <v>2025</v>
      </c>
      <c r="G6" s="402"/>
      <c r="H6" s="402"/>
      <c r="I6" s="402"/>
      <c r="J6" s="402"/>
      <c r="K6" s="402"/>
      <c r="L6" s="402"/>
      <c r="M6" s="402"/>
      <c r="N6" s="402"/>
      <c r="O6" s="402"/>
      <c r="P6" s="402"/>
      <c r="Q6" s="402"/>
      <c r="R6" s="402"/>
      <c r="S6" s="402"/>
      <c r="Y6" s="402"/>
      <c r="Z6" s="402"/>
      <c r="AA6" s="402"/>
      <c r="AB6" s="402"/>
    </row>
    <row r="7" spans="1:28" ht="13.5">
      <c r="A7" s="277"/>
      <c r="B7" s="401"/>
      <c r="C7" s="401"/>
      <c r="D7" s="402"/>
      <c r="E7" s="402"/>
      <c r="F7" s="402"/>
      <c r="G7" s="402"/>
      <c r="H7" s="402"/>
      <c r="I7" s="402"/>
      <c r="J7" s="402"/>
      <c r="K7" s="402"/>
      <c r="L7" s="402"/>
      <c r="M7" s="402"/>
      <c r="N7" s="402"/>
      <c r="O7" s="402"/>
      <c r="P7" s="402"/>
      <c r="Q7" s="402"/>
      <c r="R7" s="402"/>
      <c r="S7" s="402"/>
      <c r="Y7" s="402"/>
      <c r="Z7" s="402"/>
      <c r="AA7" s="402"/>
      <c r="AB7" s="402"/>
    </row>
    <row r="8" spans="1:28" ht="13.5">
      <c r="A8" s="403" t="s">
        <v>621</v>
      </c>
      <c r="B8" s="401"/>
      <c r="C8" s="401"/>
      <c r="D8" s="402"/>
      <c r="E8" s="402"/>
      <c r="F8" s="402"/>
      <c r="G8" s="402"/>
      <c r="H8" s="402"/>
      <c r="I8" s="402"/>
      <c r="J8" s="402"/>
      <c r="K8" s="402"/>
      <c r="L8" s="402"/>
      <c r="M8" s="402"/>
      <c r="N8" s="402"/>
      <c r="S8" s="402"/>
      <c r="Y8" s="402"/>
      <c r="Z8" s="402"/>
      <c r="AA8" s="402"/>
      <c r="AB8" s="402"/>
    </row>
    <row r="9" spans="1:28" ht="15.75">
      <c r="A9" s="401">
        <v>1</v>
      </c>
      <c r="B9" s="401" t="s">
        <v>622</v>
      </c>
      <c r="C9" s="401" t="s">
        <v>597</v>
      </c>
      <c r="D9" s="1265" t="s">
        <v>1085</v>
      </c>
      <c r="E9" s="402"/>
      <c r="F9" s="402"/>
      <c r="G9" s="402"/>
      <c r="H9" s="402"/>
      <c r="I9" s="402"/>
      <c r="J9" s="402"/>
      <c r="K9" s="402"/>
      <c r="L9" s="402"/>
      <c r="M9" s="402"/>
      <c r="N9" s="402"/>
      <c r="S9" s="402"/>
      <c r="Y9" s="402"/>
      <c r="Z9" s="605"/>
      <c r="AA9" s="605"/>
      <c r="AB9" s="411"/>
    </row>
    <row r="10" spans="1:28" ht="13.5">
      <c r="A10" s="401">
        <v>2</v>
      </c>
      <c r="B10" s="401" t="s">
        <v>622</v>
      </c>
      <c r="C10" s="401" t="s">
        <v>597</v>
      </c>
      <c r="D10" t="s">
        <v>1086</v>
      </c>
      <c r="E10" s="402"/>
      <c r="F10" s="402"/>
      <c r="G10" s="402"/>
      <c r="H10" s="402"/>
      <c r="I10" s="402"/>
      <c r="J10" s="402"/>
      <c r="K10" s="402"/>
      <c r="L10" s="402"/>
      <c r="M10" s="402"/>
      <c r="N10" s="402"/>
      <c r="S10" s="402"/>
      <c r="Y10" s="402"/>
      <c r="Z10" s="605"/>
      <c r="AA10" s="605"/>
      <c r="AB10" s="411"/>
    </row>
    <row r="11" spans="1:28" ht="13.5">
      <c r="A11" s="401">
        <v>3</v>
      </c>
      <c r="B11" s="401" t="s">
        <v>622</v>
      </c>
      <c r="C11" s="401" t="s">
        <v>597</v>
      </c>
      <c r="D11" t="s">
        <v>1087</v>
      </c>
      <c r="E11" s="402"/>
      <c r="F11" s="402"/>
      <c r="G11" s="402"/>
      <c r="H11" s="402"/>
      <c r="I11" s="402"/>
      <c r="J11" s="402"/>
      <c r="K11" s="402"/>
      <c r="L11" s="402"/>
      <c r="M11" s="402"/>
      <c r="N11" s="402"/>
      <c r="S11" s="402"/>
      <c r="Y11" s="402"/>
      <c r="Z11" s="605"/>
      <c r="AA11" s="605"/>
      <c r="AB11" s="411"/>
    </row>
    <row r="12" spans="1:28" ht="13.5">
      <c r="A12" s="401">
        <v>4</v>
      </c>
      <c r="B12" s="401" t="s">
        <v>623</v>
      </c>
      <c r="C12" s="401" t="s">
        <v>597</v>
      </c>
      <c r="D12" t="s">
        <v>958</v>
      </c>
      <c r="E12" s="402"/>
      <c r="F12" s="402"/>
      <c r="G12" s="402"/>
      <c r="H12" s="402"/>
      <c r="I12" s="402"/>
      <c r="J12" s="402"/>
      <c r="K12" s="402"/>
      <c r="L12" s="402"/>
      <c r="M12" s="402"/>
      <c r="N12" s="402"/>
      <c r="S12" s="402"/>
      <c r="Y12" s="402"/>
      <c r="Z12" s="606"/>
      <c r="AA12" s="606"/>
      <c r="AB12" s="411"/>
    </row>
    <row r="13" spans="1:28" ht="13.5">
      <c r="A13" s="401">
        <v>5</v>
      </c>
      <c r="B13" s="405" t="s">
        <v>624</v>
      </c>
      <c r="C13" s="401" t="s">
        <v>597</v>
      </c>
      <c r="D13" t="s">
        <v>1088</v>
      </c>
      <c r="E13" s="402"/>
      <c r="F13" s="402"/>
      <c r="G13" s="402"/>
      <c r="H13" s="402"/>
      <c r="I13" s="402"/>
      <c r="J13" s="402"/>
      <c r="K13" s="402"/>
      <c r="L13" s="402"/>
      <c r="M13" s="402"/>
      <c r="N13" s="402"/>
      <c r="S13" s="402"/>
      <c r="Y13" s="402"/>
      <c r="Z13" s="606"/>
      <c r="AA13" s="606"/>
      <c r="AB13" s="411"/>
    </row>
    <row r="14" spans="1:28" ht="13.5">
      <c r="A14" s="401">
        <v>6</v>
      </c>
      <c r="B14" s="401" t="s">
        <v>622</v>
      </c>
      <c r="C14" s="401" t="s">
        <v>598</v>
      </c>
      <c r="D14" t="s">
        <v>1089</v>
      </c>
      <c r="E14" s="402"/>
      <c r="F14" s="402"/>
      <c r="G14" s="402"/>
      <c r="H14" s="402"/>
      <c r="I14" s="402"/>
      <c r="J14" s="402"/>
      <c r="K14" s="402"/>
      <c r="L14" s="402"/>
      <c r="M14" s="402"/>
      <c r="N14" s="402"/>
      <c r="S14" s="402"/>
      <c r="Y14" s="402"/>
      <c r="Z14" s="606"/>
      <c r="AA14" s="606"/>
      <c r="AB14" s="411"/>
    </row>
    <row r="15" spans="1:28" ht="13.5">
      <c r="A15" s="401">
        <v>7</v>
      </c>
      <c r="B15" s="401" t="s">
        <v>622</v>
      </c>
      <c r="C15" s="401" t="s">
        <v>598</v>
      </c>
      <c r="D15" t="s">
        <v>991</v>
      </c>
      <c r="E15" s="276"/>
      <c r="F15" s="276"/>
      <c r="G15" s="276"/>
      <c r="H15" s="276"/>
      <c r="I15" s="276"/>
      <c r="J15" s="276"/>
      <c r="K15" s="402"/>
      <c r="L15" s="402"/>
      <c r="M15" s="402"/>
      <c r="N15" s="402"/>
      <c r="S15" s="402"/>
      <c r="Y15" s="402"/>
      <c r="Z15" s="606"/>
      <c r="AA15" s="606"/>
      <c r="AB15" s="411"/>
    </row>
    <row r="16" spans="1:28" ht="13.5">
      <c r="A16" s="401">
        <v>8</v>
      </c>
      <c r="B16" s="401" t="s">
        <v>622</v>
      </c>
      <c r="C16" s="401" t="s">
        <v>598</v>
      </c>
      <c r="D16" t="s">
        <v>977</v>
      </c>
      <c r="E16" s="402"/>
      <c r="F16" s="402"/>
      <c r="G16" s="402"/>
      <c r="H16" s="402"/>
      <c r="I16" s="402"/>
      <c r="J16" s="402"/>
      <c r="K16" s="402"/>
      <c r="L16" s="402"/>
      <c r="M16" s="402"/>
      <c r="N16" s="402"/>
      <c r="S16" s="402"/>
      <c r="Y16" s="402"/>
      <c r="Z16" s="606"/>
      <c r="AA16" s="606"/>
      <c r="AB16" s="411"/>
    </row>
    <row r="17" spans="1:28" ht="13.5">
      <c r="A17" s="401">
        <v>9</v>
      </c>
      <c r="B17" s="401" t="s">
        <v>622</v>
      </c>
      <c r="C17" s="401" t="s">
        <v>598</v>
      </c>
      <c r="D17" t="s">
        <v>1090</v>
      </c>
      <c r="E17" s="402"/>
      <c r="F17" s="402"/>
      <c r="G17" s="402"/>
      <c r="H17" s="402"/>
      <c r="I17" s="402"/>
      <c r="J17" s="402"/>
      <c r="K17" s="402"/>
      <c r="L17" s="402"/>
      <c r="M17" s="402"/>
      <c r="N17" s="402"/>
      <c r="S17" s="402"/>
      <c r="Y17" s="402"/>
      <c r="Z17" s="606"/>
      <c r="AA17" s="606"/>
      <c r="AB17" s="411"/>
    </row>
    <row r="18" spans="1:28" ht="13.5">
      <c r="A18" s="401">
        <v>10</v>
      </c>
      <c r="B18" s="401" t="s">
        <v>623</v>
      </c>
      <c r="C18" s="401" t="s">
        <v>598</v>
      </c>
      <c r="D18" t="s">
        <v>459</v>
      </c>
      <c r="E18" s="402"/>
      <c r="F18" s="402"/>
      <c r="G18" s="402"/>
      <c r="H18" s="402"/>
      <c r="I18" s="402"/>
      <c r="J18" s="402"/>
      <c r="K18" s="402"/>
      <c r="L18" s="402"/>
      <c r="M18" s="402"/>
      <c r="N18" s="402"/>
      <c r="S18" s="402"/>
      <c r="Y18" s="402"/>
      <c r="Z18" s="606"/>
      <c r="AA18" s="606"/>
      <c r="AB18" s="411"/>
    </row>
    <row r="19" spans="1:28" ht="13.5">
      <c r="A19" s="401">
        <v>11</v>
      </c>
      <c r="B19" s="405" t="s">
        <v>624</v>
      </c>
      <c r="C19" s="401" t="s">
        <v>598</v>
      </c>
      <c r="D19" t="s">
        <v>1091</v>
      </c>
      <c r="E19" s="402"/>
      <c r="F19" s="402"/>
      <c r="G19" s="402"/>
      <c r="H19" s="402"/>
      <c r="I19" s="402"/>
      <c r="J19" s="402"/>
      <c r="K19" s="402"/>
      <c r="L19" s="402"/>
      <c r="M19" s="402"/>
      <c r="N19" s="402"/>
      <c r="S19" s="402"/>
      <c r="Y19" s="402"/>
      <c r="Z19" s="606"/>
      <c r="AA19" s="606"/>
      <c r="AB19" s="606"/>
    </row>
    <row r="20" spans="1:28" ht="13.5">
      <c r="A20" s="401"/>
      <c r="B20" s="405"/>
      <c r="C20" s="401"/>
      <c r="D20" s="404"/>
      <c r="E20" s="402"/>
      <c r="F20" s="402"/>
      <c r="G20" s="402"/>
      <c r="H20" s="402"/>
      <c r="I20" s="402"/>
      <c r="J20" s="402"/>
      <c r="K20" s="402"/>
      <c r="L20" s="402"/>
      <c r="M20" s="402"/>
      <c r="N20" s="402"/>
      <c r="S20" s="402"/>
      <c r="Y20" s="402"/>
      <c r="Z20" s="402"/>
      <c r="AA20" s="402"/>
      <c r="AB20" s="402"/>
    </row>
    <row r="21" spans="1:28" ht="13.5">
      <c r="A21" s="403"/>
      <c r="B21" s="401"/>
      <c r="C21" s="401"/>
      <c r="D21" s="406"/>
      <c r="E21" s="402"/>
      <c r="F21" s="402"/>
      <c r="G21" s="402"/>
      <c r="H21" s="402"/>
      <c r="I21" s="402"/>
      <c r="J21" s="402"/>
      <c r="K21" s="402"/>
      <c r="L21" s="402"/>
      <c r="M21" s="402"/>
      <c r="N21" s="402"/>
      <c r="S21" s="402"/>
      <c r="Y21" s="402"/>
      <c r="Z21" s="402"/>
      <c r="AA21" s="402"/>
      <c r="AB21" s="402"/>
    </row>
    <row r="22" spans="1:28" ht="13.5">
      <c r="A22" s="401">
        <v>1</v>
      </c>
      <c r="B22" s="401" t="s">
        <v>622</v>
      </c>
      <c r="C22" s="401" t="s">
        <v>597</v>
      </c>
      <c r="D22" s="402" t="s">
        <v>956</v>
      </c>
      <c r="E22" s="402"/>
      <c r="F22" s="402"/>
      <c r="G22" s="402"/>
      <c r="H22" s="402"/>
      <c r="I22" s="402"/>
      <c r="J22" s="276"/>
      <c r="K22" s="402"/>
      <c r="L22" s="402"/>
      <c r="M22" s="402"/>
      <c r="N22" s="402"/>
      <c r="S22" s="402"/>
    </row>
    <row r="23" spans="1:28" ht="13.5">
      <c r="A23" s="401"/>
      <c r="B23" s="401"/>
      <c r="C23" s="401"/>
      <c r="D23" s="407"/>
      <c r="E23" s="402" t="s">
        <v>365</v>
      </c>
      <c r="F23" s="402"/>
      <c r="G23" s="1280" t="s">
        <v>1082</v>
      </c>
      <c r="H23" s="1097"/>
      <c r="I23" s="1097"/>
      <c r="J23" s="1097"/>
      <c r="K23" s="1097"/>
      <c r="L23" s="402"/>
      <c r="M23" s="402"/>
      <c r="N23" s="402"/>
      <c r="S23" s="402"/>
    </row>
    <row r="24" spans="1:28" ht="13.5">
      <c r="A24" s="401"/>
      <c r="B24" s="401"/>
      <c r="C24" s="401"/>
      <c r="D24" s="409"/>
      <c r="E24" s="402"/>
      <c r="F24" s="402"/>
      <c r="G24" s="402"/>
      <c r="H24" s="402"/>
      <c r="I24" s="402"/>
      <c r="J24" s="402"/>
      <c r="K24" s="402"/>
      <c r="L24" s="402"/>
      <c r="M24" s="402"/>
      <c r="N24" s="402"/>
      <c r="O24" s="402"/>
      <c r="P24" s="402"/>
      <c r="Q24" s="402"/>
      <c r="R24" s="402"/>
      <c r="S24" s="402"/>
    </row>
    <row r="25" spans="1:28" ht="13.5">
      <c r="A25" s="401">
        <v>2</v>
      </c>
      <c r="B25" s="401" t="s">
        <v>622</v>
      </c>
      <c r="C25" s="401" t="s">
        <v>597</v>
      </c>
      <c r="D25" s="404" t="s">
        <v>957</v>
      </c>
      <c r="E25" s="402"/>
      <c r="F25" s="402"/>
      <c r="G25" s="402"/>
      <c r="H25" s="402"/>
      <c r="I25" s="402"/>
      <c r="J25" s="276"/>
      <c r="K25" s="402"/>
      <c r="L25" s="402"/>
      <c r="M25" s="402"/>
      <c r="N25" s="402"/>
      <c r="O25" s="402"/>
      <c r="P25" s="402"/>
      <c r="Q25" s="402"/>
      <c r="R25" s="402"/>
      <c r="S25" s="402"/>
    </row>
    <row r="26" spans="1:28" ht="13.5">
      <c r="A26" s="401"/>
      <c r="C26" s="401"/>
      <c r="D26" s="404"/>
      <c r="E26" s="402"/>
      <c r="F26" s="402"/>
      <c r="G26" s="402"/>
      <c r="H26" s="402"/>
      <c r="I26" s="402"/>
      <c r="J26" s="276"/>
      <c r="K26" s="402"/>
      <c r="L26" s="402"/>
      <c r="M26" s="402"/>
      <c r="N26" s="402"/>
      <c r="O26" s="402"/>
      <c r="P26" s="402"/>
      <c r="Q26" s="402"/>
      <c r="R26" s="402"/>
      <c r="S26" s="402"/>
    </row>
    <row r="27" spans="1:28" ht="13.5">
      <c r="A27" s="401"/>
      <c r="B27" s="276"/>
      <c r="C27" s="324" t="s">
        <v>262</v>
      </c>
      <c r="D27" s="324" t="s">
        <v>263</v>
      </c>
      <c r="E27" s="324" t="s">
        <v>355</v>
      </c>
      <c r="F27" s="324" t="s">
        <v>264</v>
      </c>
      <c r="G27" s="324" t="s">
        <v>265</v>
      </c>
      <c r="H27" s="324" t="s">
        <v>261</v>
      </c>
      <c r="I27" s="324"/>
      <c r="J27" s="324" t="s">
        <v>566</v>
      </c>
      <c r="K27" s="324" t="s">
        <v>567</v>
      </c>
      <c r="L27" s="324" t="s">
        <v>959</v>
      </c>
      <c r="M27" s="401" t="s">
        <v>960</v>
      </c>
      <c r="N27" s="401" t="s">
        <v>961</v>
      </c>
      <c r="O27" s="401" t="s">
        <v>962</v>
      </c>
      <c r="P27" s="401"/>
      <c r="Q27" s="401"/>
      <c r="R27" s="401"/>
      <c r="S27" s="401"/>
    </row>
    <row r="28" spans="1:28" ht="13.5">
      <c r="A28" s="401"/>
      <c r="B28" s="276"/>
      <c r="C28" s="401" t="s">
        <v>218</v>
      </c>
      <c r="D28" s="401" t="s">
        <v>218</v>
      </c>
      <c r="E28" s="401" t="s">
        <v>218</v>
      </c>
      <c r="F28" s="401" t="s">
        <v>218</v>
      </c>
      <c r="G28" s="401" t="s">
        <v>218</v>
      </c>
      <c r="H28" s="401" t="s">
        <v>218</v>
      </c>
      <c r="I28" s="401"/>
      <c r="J28" s="401" t="s">
        <v>72</v>
      </c>
      <c r="K28" s="401" t="s">
        <v>72</v>
      </c>
      <c r="L28" s="401" t="s">
        <v>72</v>
      </c>
      <c r="M28" s="401" t="s">
        <v>72</v>
      </c>
      <c r="N28" s="401" t="s">
        <v>72</v>
      </c>
      <c r="O28" s="401" t="s">
        <v>72</v>
      </c>
      <c r="P28" s="401"/>
      <c r="Q28" s="401"/>
    </row>
    <row r="29" spans="1:28" ht="13.5">
      <c r="A29" s="401"/>
      <c r="B29" s="402"/>
      <c r="C29" s="401" t="s">
        <v>68</v>
      </c>
      <c r="D29" s="401" t="s">
        <v>68</v>
      </c>
      <c r="E29" s="401" t="s">
        <v>68</v>
      </c>
      <c r="F29" s="401" t="s">
        <v>68</v>
      </c>
      <c r="G29" s="438"/>
      <c r="H29" s="438"/>
      <c r="I29" s="401"/>
      <c r="J29" s="401" t="s">
        <v>73</v>
      </c>
      <c r="K29" s="401" t="s">
        <v>74</v>
      </c>
      <c r="L29" s="401" t="s">
        <v>75</v>
      </c>
      <c r="M29" s="401" t="s">
        <v>76</v>
      </c>
      <c r="N29" s="401" t="s">
        <v>77</v>
      </c>
      <c r="O29" s="401" t="s">
        <v>78</v>
      </c>
      <c r="P29" s="401"/>
      <c r="Q29" s="402"/>
    </row>
    <row r="30" spans="1:28" ht="13.5">
      <c r="A30" s="401"/>
      <c r="B30" s="402"/>
      <c r="C30" s="401"/>
      <c r="D30" s="401"/>
      <c r="E30" s="401"/>
      <c r="F30" s="401"/>
      <c r="G30" s="401" t="s">
        <v>69</v>
      </c>
      <c r="H30" s="401" t="s">
        <v>70</v>
      </c>
      <c r="I30" s="401"/>
      <c r="J30" s="401"/>
      <c r="K30" s="401"/>
      <c r="L30" s="401"/>
      <c r="M30" s="401"/>
      <c r="N30" s="401"/>
      <c r="O30" s="401"/>
      <c r="Q30" s="402"/>
    </row>
    <row r="31" spans="1:28" ht="13.5">
      <c r="A31" s="401"/>
      <c r="B31" s="402"/>
      <c r="C31" s="401"/>
      <c r="D31" s="410"/>
      <c r="E31" s="410"/>
      <c r="F31" s="410"/>
      <c r="G31" s="401"/>
      <c r="H31" s="401"/>
      <c r="I31" s="437"/>
      <c r="J31" s="401"/>
      <c r="K31" s="401"/>
      <c r="L31" s="411"/>
      <c r="M31" s="401"/>
      <c r="N31" s="401"/>
      <c r="O31" s="406"/>
      <c r="Q31" s="402"/>
    </row>
    <row r="32" spans="1:28" ht="13.5">
      <c r="A32" s="401"/>
      <c r="B32" s="402" t="s">
        <v>625</v>
      </c>
      <c r="C32" s="604"/>
      <c r="D32" s="412"/>
      <c r="E32" s="412"/>
      <c r="F32" s="412"/>
      <c r="G32" s="412"/>
      <c r="H32" s="412"/>
      <c r="I32" s="437"/>
      <c r="J32" s="411">
        <f t="shared" ref="J32:O32" si="0">C32</f>
        <v>0</v>
      </c>
      <c r="K32" s="411">
        <f t="shared" si="0"/>
        <v>0</v>
      </c>
      <c r="L32" s="411">
        <f t="shared" si="0"/>
        <v>0</v>
      </c>
      <c r="M32" s="411">
        <f t="shared" si="0"/>
        <v>0</v>
      </c>
      <c r="N32" s="411">
        <f t="shared" si="0"/>
        <v>0</v>
      </c>
      <c r="O32" s="411">
        <f t="shared" si="0"/>
        <v>0</v>
      </c>
      <c r="P32" s="411"/>
      <c r="Q32" s="402"/>
    </row>
    <row r="33" spans="1:17" ht="13.5">
      <c r="A33" s="401"/>
      <c r="B33" s="402" t="s">
        <v>626</v>
      </c>
      <c r="C33" s="604"/>
      <c r="D33" s="412"/>
      <c r="E33" s="412"/>
      <c r="F33" s="412"/>
      <c r="G33" s="412"/>
      <c r="H33" s="412"/>
      <c r="I33" s="437"/>
      <c r="J33" s="411">
        <f>J32+C33</f>
        <v>0</v>
      </c>
      <c r="K33" s="411">
        <f t="shared" ref="K33:O43" si="1">K32+D33</f>
        <v>0</v>
      </c>
      <c r="L33" s="411">
        <f t="shared" si="1"/>
        <v>0</v>
      </c>
      <c r="M33" s="411">
        <f t="shared" si="1"/>
        <v>0</v>
      </c>
      <c r="N33" s="411">
        <f t="shared" si="1"/>
        <v>0</v>
      </c>
      <c r="O33" s="411">
        <f t="shared" si="1"/>
        <v>0</v>
      </c>
      <c r="P33" s="411"/>
      <c r="Q33" s="402"/>
    </row>
    <row r="34" spans="1:17" ht="13.5">
      <c r="A34" s="401"/>
      <c r="B34" s="402" t="s">
        <v>627</v>
      </c>
      <c r="C34" s="604"/>
      <c r="D34" s="412"/>
      <c r="E34" s="412"/>
      <c r="F34" s="412"/>
      <c r="G34" s="412"/>
      <c r="H34" s="412"/>
      <c r="I34" s="437"/>
      <c r="J34" s="411">
        <f t="shared" ref="J34:J43" si="2">J33+C34</f>
        <v>0</v>
      </c>
      <c r="K34" s="411">
        <f t="shared" si="1"/>
        <v>0</v>
      </c>
      <c r="L34" s="411">
        <f t="shared" si="1"/>
        <v>0</v>
      </c>
      <c r="M34" s="411">
        <f t="shared" si="1"/>
        <v>0</v>
      </c>
      <c r="N34" s="411">
        <f t="shared" si="1"/>
        <v>0</v>
      </c>
      <c r="O34" s="411">
        <f t="shared" si="1"/>
        <v>0</v>
      </c>
      <c r="P34" s="411"/>
      <c r="Q34" s="402"/>
    </row>
    <row r="35" spans="1:17" ht="13.5">
      <c r="A35" s="401"/>
      <c r="B35" s="402" t="s">
        <v>628</v>
      </c>
      <c r="C35" s="604"/>
      <c r="D35" s="412"/>
      <c r="E35" s="412"/>
      <c r="F35" s="412"/>
      <c r="G35" s="412"/>
      <c r="H35" s="412"/>
      <c r="I35" s="437"/>
      <c r="J35" s="411">
        <f t="shared" si="2"/>
        <v>0</v>
      </c>
      <c r="K35" s="411">
        <f t="shared" si="1"/>
        <v>0</v>
      </c>
      <c r="L35" s="411">
        <f t="shared" si="1"/>
        <v>0</v>
      </c>
      <c r="M35" s="411">
        <f t="shared" si="1"/>
        <v>0</v>
      </c>
      <c r="N35" s="411">
        <f t="shared" si="1"/>
        <v>0</v>
      </c>
      <c r="O35" s="411">
        <f t="shared" si="1"/>
        <v>0</v>
      </c>
      <c r="P35" s="411"/>
      <c r="Q35" s="402"/>
    </row>
    <row r="36" spans="1:17" ht="13.5">
      <c r="A36" s="401"/>
      <c r="B36" s="402" t="s">
        <v>623</v>
      </c>
      <c r="C36" s="604"/>
      <c r="D36" s="412"/>
      <c r="E36" s="412"/>
      <c r="F36" s="412"/>
      <c r="G36" s="412"/>
      <c r="H36" s="412"/>
      <c r="I36" s="437"/>
      <c r="J36" s="411">
        <f t="shared" si="2"/>
        <v>0</v>
      </c>
      <c r="K36" s="411">
        <f t="shared" si="1"/>
        <v>0</v>
      </c>
      <c r="L36" s="411">
        <f t="shared" si="1"/>
        <v>0</v>
      </c>
      <c r="M36" s="411">
        <f t="shared" si="1"/>
        <v>0</v>
      </c>
      <c r="N36" s="411">
        <f t="shared" si="1"/>
        <v>0</v>
      </c>
      <c r="O36" s="411">
        <f t="shared" si="1"/>
        <v>0</v>
      </c>
      <c r="P36" s="411"/>
      <c r="Q36" s="402"/>
    </row>
    <row r="37" spans="1:17" ht="13.5">
      <c r="A37" s="401"/>
      <c r="B37" s="402" t="s">
        <v>629</v>
      </c>
      <c r="C37" s="604"/>
      <c r="D37" s="412"/>
      <c r="E37" s="412"/>
      <c r="F37" s="412"/>
      <c r="G37" s="412"/>
      <c r="H37" s="412"/>
      <c r="I37" s="437"/>
      <c r="J37" s="411">
        <f t="shared" si="2"/>
        <v>0</v>
      </c>
      <c r="K37" s="411">
        <f t="shared" si="1"/>
        <v>0</v>
      </c>
      <c r="L37" s="411">
        <f t="shared" si="1"/>
        <v>0</v>
      </c>
      <c r="M37" s="411">
        <f t="shared" si="1"/>
        <v>0</v>
      </c>
      <c r="N37" s="411">
        <f t="shared" si="1"/>
        <v>0</v>
      </c>
      <c r="O37" s="411">
        <f t="shared" si="1"/>
        <v>0</v>
      </c>
      <c r="P37" s="411"/>
      <c r="Q37" s="402"/>
    </row>
    <row r="38" spans="1:17" ht="13.5">
      <c r="A38" s="401"/>
      <c r="B38" s="402" t="s">
        <v>630</v>
      </c>
      <c r="C38" s="604"/>
      <c r="D38" s="412"/>
      <c r="E38" s="412"/>
      <c r="F38" s="412"/>
      <c r="G38" s="412"/>
      <c r="H38" s="412"/>
      <c r="I38" s="437"/>
      <c r="J38" s="411">
        <f t="shared" si="2"/>
        <v>0</v>
      </c>
      <c r="K38" s="411">
        <f t="shared" si="1"/>
        <v>0</v>
      </c>
      <c r="L38" s="411">
        <f t="shared" si="1"/>
        <v>0</v>
      </c>
      <c r="M38" s="411">
        <f t="shared" si="1"/>
        <v>0</v>
      </c>
      <c r="N38" s="411">
        <f t="shared" si="1"/>
        <v>0</v>
      </c>
      <c r="O38" s="411">
        <f t="shared" si="1"/>
        <v>0</v>
      </c>
      <c r="P38" s="411"/>
      <c r="Q38" s="402"/>
    </row>
    <row r="39" spans="1:17" ht="13.5">
      <c r="A39" s="401"/>
      <c r="B39" s="402" t="s">
        <v>631</v>
      </c>
      <c r="C39" s="604"/>
      <c r="D39" s="412"/>
      <c r="E39" s="412"/>
      <c r="F39" s="412"/>
      <c r="G39" s="412"/>
      <c r="H39" s="412"/>
      <c r="I39" s="437"/>
      <c r="J39" s="411">
        <f t="shared" si="2"/>
        <v>0</v>
      </c>
      <c r="K39" s="411">
        <f t="shared" si="1"/>
        <v>0</v>
      </c>
      <c r="L39" s="411">
        <f t="shared" si="1"/>
        <v>0</v>
      </c>
      <c r="M39" s="411">
        <f t="shared" si="1"/>
        <v>0</v>
      </c>
      <c r="N39" s="411">
        <f t="shared" si="1"/>
        <v>0</v>
      </c>
      <c r="O39" s="411">
        <f t="shared" si="1"/>
        <v>0</v>
      </c>
      <c r="P39" s="411"/>
      <c r="Q39" s="402"/>
    </row>
    <row r="40" spans="1:17" ht="13.5">
      <c r="A40" s="401"/>
      <c r="B40" s="402" t="s">
        <v>632</v>
      </c>
      <c r="C40" s="604"/>
      <c r="D40" s="412"/>
      <c r="E40" s="412"/>
      <c r="F40" s="412"/>
      <c r="G40" s="412"/>
      <c r="H40" s="412"/>
      <c r="I40" s="437"/>
      <c r="J40" s="411">
        <f t="shared" si="2"/>
        <v>0</v>
      </c>
      <c r="K40" s="411">
        <f t="shared" si="1"/>
        <v>0</v>
      </c>
      <c r="L40" s="411">
        <f t="shared" si="1"/>
        <v>0</v>
      </c>
      <c r="M40" s="411">
        <f t="shared" si="1"/>
        <v>0</v>
      </c>
      <c r="N40" s="411">
        <f t="shared" si="1"/>
        <v>0</v>
      </c>
      <c r="O40" s="411">
        <f t="shared" si="1"/>
        <v>0</v>
      </c>
      <c r="P40" s="411"/>
      <c r="Q40" s="402"/>
    </row>
    <row r="41" spans="1:17" ht="13.5">
      <c r="A41" s="401"/>
      <c r="B41" s="402" t="s">
        <v>633</v>
      </c>
      <c r="C41" s="604"/>
      <c r="D41" s="412"/>
      <c r="E41" s="412"/>
      <c r="F41" s="412"/>
      <c r="G41" s="412"/>
      <c r="H41" s="412"/>
      <c r="I41" s="437"/>
      <c r="J41" s="411">
        <f t="shared" si="2"/>
        <v>0</v>
      </c>
      <c r="K41" s="411">
        <f t="shared" si="1"/>
        <v>0</v>
      </c>
      <c r="L41" s="411">
        <f t="shared" si="1"/>
        <v>0</v>
      </c>
      <c r="M41" s="411">
        <f t="shared" si="1"/>
        <v>0</v>
      </c>
      <c r="N41" s="411">
        <f t="shared" si="1"/>
        <v>0</v>
      </c>
      <c r="O41" s="411">
        <f t="shared" si="1"/>
        <v>0</v>
      </c>
      <c r="P41" s="411"/>
      <c r="Q41" s="402"/>
    </row>
    <row r="42" spans="1:17" ht="13.5">
      <c r="A42" s="401"/>
      <c r="B42" s="402" t="s">
        <v>634</v>
      </c>
      <c r="C42" s="604"/>
      <c r="D42" s="412"/>
      <c r="E42" s="412"/>
      <c r="F42" s="412"/>
      <c r="G42" s="412"/>
      <c r="H42" s="412"/>
      <c r="I42" s="437"/>
      <c r="J42" s="411">
        <f t="shared" si="2"/>
        <v>0</v>
      </c>
      <c r="K42" s="411">
        <f t="shared" si="1"/>
        <v>0</v>
      </c>
      <c r="L42" s="411">
        <f t="shared" si="1"/>
        <v>0</v>
      </c>
      <c r="M42" s="411">
        <f t="shared" si="1"/>
        <v>0</v>
      </c>
      <c r="N42" s="411">
        <f t="shared" si="1"/>
        <v>0</v>
      </c>
      <c r="O42" s="411">
        <f t="shared" si="1"/>
        <v>0</v>
      </c>
      <c r="P42" s="411"/>
      <c r="Q42" s="402"/>
    </row>
    <row r="43" spans="1:17" ht="13.5">
      <c r="A43" s="401"/>
      <c r="B43" s="402" t="s">
        <v>635</v>
      </c>
      <c r="C43" s="604"/>
      <c r="D43" s="412"/>
      <c r="E43" s="412"/>
      <c r="F43" s="412"/>
      <c r="G43" s="412"/>
      <c r="H43" s="412"/>
      <c r="I43" s="437"/>
      <c r="J43" s="411">
        <f t="shared" si="2"/>
        <v>0</v>
      </c>
      <c r="K43" s="411">
        <f t="shared" si="1"/>
        <v>0</v>
      </c>
      <c r="L43" s="411">
        <f t="shared" si="1"/>
        <v>0</v>
      </c>
      <c r="M43" s="411">
        <f t="shared" si="1"/>
        <v>0</v>
      </c>
      <c r="N43" s="411">
        <f t="shared" si="1"/>
        <v>0</v>
      </c>
      <c r="O43" s="411">
        <f t="shared" si="1"/>
        <v>0</v>
      </c>
      <c r="P43" s="411"/>
      <c r="Q43" s="402"/>
    </row>
    <row r="44" spans="1:17" ht="13.5">
      <c r="A44" s="401"/>
      <c r="B44" s="402" t="s">
        <v>847</v>
      </c>
      <c r="C44" s="411">
        <f t="shared" ref="C44:H44" si="3">SUM(C32:C43)</f>
        <v>0</v>
      </c>
      <c r="D44" s="411">
        <f t="shared" si="3"/>
        <v>0</v>
      </c>
      <c r="E44" s="411">
        <f t="shared" si="3"/>
        <v>0</v>
      </c>
      <c r="F44" s="411">
        <f t="shared" si="3"/>
        <v>0</v>
      </c>
      <c r="G44" s="411">
        <f t="shared" si="3"/>
        <v>0</v>
      </c>
      <c r="H44" s="411">
        <f t="shared" si="3"/>
        <v>0</v>
      </c>
      <c r="I44" s="411" t="s">
        <v>79</v>
      </c>
      <c r="J44" s="411">
        <f t="shared" ref="J44:O44" si="4">AVERAGE(J32:J43)</f>
        <v>0</v>
      </c>
      <c r="K44" s="411">
        <f t="shared" si="4"/>
        <v>0</v>
      </c>
      <c r="L44" s="411">
        <f t="shared" si="4"/>
        <v>0</v>
      </c>
      <c r="M44" s="411">
        <f t="shared" si="4"/>
        <v>0</v>
      </c>
      <c r="N44" s="411">
        <f t="shared" si="4"/>
        <v>0</v>
      </c>
      <c r="O44" s="411">
        <f t="shared" si="4"/>
        <v>0</v>
      </c>
      <c r="P44" s="411"/>
      <c r="Q44" s="411"/>
    </row>
    <row r="45" spans="1:17" ht="13.5">
      <c r="A45" s="401"/>
      <c r="C45" s="402"/>
      <c r="D45" s="276"/>
      <c r="E45" s="276"/>
      <c r="F45" s="276"/>
      <c r="G45" s="276"/>
      <c r="H45" s="276"/>
      <c r="I45" s="276"/>
      <c r="J45" s="276"/>
      <c r="K45" s="276"/>
      <c r="L45" s="413"/>
      <c r="M45" s="402"/>
      <c r="N45" s="402"/>
      <c r="O45" s="402"/>
      <c r="Q45" s="402"/>
    </row>
    <row r="46" spans="1:17" ht="13.5">
      <c r="A46" s="401"/>
      <c r="B46" s="402" t="s">
        <v>81</v>
      </c>
      <c r="C46" s="402"/>
      <c r="D46" s="276"/>
      <c r="E46" s="276"/>
      <c r="F46" s="276"/>
      <c r="G46" s="276"/>
      <c r="H46" s="276"/>
      <c r="I46" s="276"/>
      <c r="J46" s="402"/>
      <c r="K46" s="439" t="s">
        <v>80</v>
      </c>
      <c r="L46" s="276"/>
      <c r="M46" s="411">
        <f>SUM(J44:O44)</f>
        <v>0</v>
      </c>
      <c r="N46" s="411"/>
      <c r="O46" s="411"/>
      <c r="Q46" s="411"/>
    </row>
    <row r="47" spans="1:17" ht="13.5">
      <c r="A47" s="401"/>
      <c r="B47" s="402"/>
      <c r="C47" s="402"/>
      <c r="D47" s="276"/>
      <c r="E47" s="276"/>
      <c r="F47" s="276"/>
      <c r="G47" s="276"/>
      <c r="H47" s="276"/>
      <c r="I47" s="276"/>
      <c r="J47" s="402"/>
      <c r="K47" s="402"/>
      <c r="L47" s="276"/>
      <c r="M47" s="411"/>
      <c r="N47" s="402"/>
      <c r="O47" s="411"/>
      <c r="Q47" s="411"/>
    </row>
    <row r="48" spans="1:17" ht="13.5">
      <c r="A48" s="401"/>
      <c r="B48" s="401"/>
      <c r="C48" s="401"/>
      <c r="D48" s="402"/>
      <c r="E48" s="402"/>
      <c r="F48" s="276"/>
      <c r="G48" s="276"/>
      <c r="H48" s="276"/>
      <c r="I48" s="276"/>
      <c r="J48" s="402"/>
      <c r="L48" s="276"/>
      <c r="M48" s="414"/>
      <c r="N48" s="414"/>
      <c r="O48" s="415"/>
      <c r="Q48" s="402"/>
    </row>
    <row r="49" spans="1:19" ht="13.5">
      <c r="A49" s="401">
        <v>3</v>
      </c>
      <c r="B49" s="401" t="s">
        <v>622</v>
      </c>
      <c r="C49" s="401" t="s">
        <v>597</v>
      </c>
      <c r="D49" s="404" t="s">
        <v>1087</v>
      </c>
      <c r="E49" s="402"/>
      <c r="F49" s="402"/>
      <c r="G49" s="402"/>
      <c r="H49" s="402"/>
      <c r="I49" s="402"/>
      <c r="J49" s="402"/>
      <c r="K49" s="402"/>
      <c r="L49" s="411"/>
      <c r="M49" s="402"/>
      <c r="N49" s="402"/>
      <c r="O49" s="402"/>
      <c r="P49" s="402"/>
      <c r="Q49" s="402"/>
      <c r="R49" s="402"/>
      <c r="S49" s="402"/>
    </row>
    <row r="50" spans="1:19" ht="13.5">
      <c r="A50" s="401"/>
      <c r="B50" s="401"/>
      <c r="C50" s="401"/>
      <c r="D50" s="416">
        <f>D23</f>
        <v>0</v>
      </c>
      <c r="E50" s="1095"/>
      <c r="F50" s="1096"/>
      <c r="G50" s="1275" t="s">
        <v>1081</v>
      </c>
      <c r="H50" s="1096"/>
      <c r="I50" s="1097"/>
      <c r="J50" s="1097"/>
      <c r="K50" s="1097"/>
      <c r="L50" s="1096"/>
      <c r="M50" s="402"/>
      <c r="N50" s="402"/>
      <c r="O50" s="402"/>
      <c r="P50" s="402"/>
      <c r="Q50" s="402"/>
      <c r="R50" s="402"/>
      <c r="S50" s="402"/>
    </row>
    <row r="51" spans="1:19" ht="13.5">
      <c r="A51" s="401"/>
      <c r="B51" s="401"/>
      <c r="C51" s="401"/>
      <c r="D51" s="417"/>
      <c r="E51" s="1098"/>
      <c r="F51" s="1096"/>
      <c r="G51" s="1276"/>
      <c r="H51" s="1096"/>
      <c r="I51" s="1097"/>
      <c r="J51" s="1097"/>
      <c r="K51" s="1097"/>
      <c r="L51" s="1097"/>
      <c r="M51" s="402"/>
      <c r="N51" s="402"/>
      <c r="O51" s="402"/>
      <c r="P51" s="402"/>
      <c r="Q51" s="402"/>
      <c r="R51" s="402"/>
      <c r="S51" s="402"/>
    </row>
    <row r="52" spans="1:19" ht="13.5">
      <c r="A52" s="401">
        <v>4</v>
      </c>
      <c r="B52" s="401" t="s">
        <v>623</v>
      </c>
      <c r="C52" s="401" t="s">
        <v>597</v>
      </c>
      <c r="D52" s="402" t="s">
        <v>958</v>
      </c>
      <c r="E52" s="1097"/>
      <c r="F52" s="1097"/>
      <c r="G52" s="1277"/>
      <c r="H52" s="1097"/>
      <c r="I52" s="1097"/>
      <c r="J52" s="1097"/>
      <c r="K52" s="1097"/>
      <c r="L52" s="1097"/>
      <c r="M52" s="402"/>
      <c r="N52" s="402"/>
      <c r="O52" s="402"/>
      <c r="P52" s="402"/>
      <c r="Q52" s="402"/>
      <c r="R52" s="402"/>
      <c r="S52" s="402"/>
    </row>
    <row r="53" spans="1:19" ht="13.5">
      <c r="A53" s="401"/>
      <c r="B53" s="401"/>
      <c r="C53" s="401"/>
      <c r="D53" s="407">
        <f>D50</f>
        <v>0</v>
      </c>
      <c r="E53" s="1099"/>
      <c r="F53" s="1100"/>
      <c r="G53" s="1275" t="s">
        <v>1081</v>
      </c>
      <c r="H53" s="1097"/>
      <c r="I53" s="1097"/>
      <c r="J53" s="1097"/>
      <c r="K53" s="1097"/>
      <c r="L53" s="1097"/>
      <c r="M53" s="402"/>
      <c r="N53" s="402"/>
      <c r="O53" s="402"/>
      <c r="P53" s="402"/>
      <c r="Q53" s="402"/>
      <c r="R53" s="402"/>
      <c r="S53" s="402"/>
    </row>
    <row r="54" spans="1:19" ht="13.5">
      <c r="A54" s="401"/>
      <c r="B54" s="401"/>
      <c r="C54" s="401"/>
      <c r="D54" s="418"/>
      <c r="E54" s="1097"/>
      <c r="F54" s="1097"/>
      <c r="G54" s="1277"/>
      <c r="H54" s="1097"/>
      <c r="I54" s="1097"/>
      <c r="J54" s="1097"/>
      <c r="K54" s="1097"/>
      <c r="L54" s="1097"/>
      <c r="M54" s="402"/>
      <c r="N54" s="402"/>
      <c r="O54" s="402"/>
      <c r="P54" s="402"/>
      <c r="Q54" s="402"/>
      <c r="R54" s="402"/>
      <c r="S54" s="402"/>
    </row>
    <row r="55" spans="1:19" ht="13.5">
      <c r="A55" s="401">
        <v>5</v>
      </c>
      <c r="B55" s="401" t="s">
        <v>624</v>
      </c>
      <c r="C55" s="401" t="s">
        <v>597</v>
      </c>
      <c r="D55" s="404" t="s">
        <v>1088</v>
      </c>
      <c r="E55" s="1097"/>
      <c r="F55" s="1097"/>
      <c r="G55" s="1277"/>
      <c r="H55" s="1097"/>
      <c r="I55" s="1097"/>
      <c r="J55" s="1097"/>
      <c r="K55" s="1097"/>
      <c r="L55" s="1097"/>
      <c r="M55" s="402"/>
      <c r="N55" s="402"/>
      <c r="O55" s="402"/>
      <c r="P55" s="402"/>
      <c r="Q55" s="402"/>
      <c r="R55" s="402"/>
      <c r="S55" s="402"/>
    </row>
    <row r="56" spans="1:19" ht="13.5">
      <c r="A56" s="401"/>
      <c r="B56" s="401"/>
      <c r="C56" s="401"/>
      <c r="D56" s="416">
        <f>D53</f>
        <v>0</v>
      </c>
      <c r="E56" s="402"/>
      <c r="F56" s="402"/>
      <c r="G56" s="1277"/>
      <c r="H56" s="402"/>
      <c r="I56" s="402"/>
      <c r="J56" s="402"/>
      <c r="K56" s="402"/>
      <c r="L56" s="402"/>
      <c r="M56" s="402"/>
      <c r="N56" s="402"/>
      <c r="O56" s="402"/>
      <c r="P56" s="402"/>
      <c r="Q56" s="402"/>
      <c r="R56" s="402"/>
      <c r="S56" s="402"/>
    </row>
    <row r="57" spans="1:19" ht="13.5">
      <c r="A57" s="401"/>
      <c r="B57" s="401"/>
      <c r="C57" s="401"/>
      <c r="D57" s="402"/>
      <c r="E57" s="402"/>
      <c r="F57" s="402"/>
      <c r="G57" s="1277"/>
      <c r="H57" s="402"/>
      <c r="I57" s="402"/>
      <c r="J57" s="402"/>
      <c r="K57" s="402"/>
      <c r="L57" s="402"/>
      <c r="M57" s="402"/>
      <c r="N57" s="402"/>
      <c r="O57" s="402"/>
      <c r="P57" s="402"/>
      <c r="Q57" s="402"/>
      <c r="R57" s="402"/>
      <c r="S57" s="402"/>
    </row>
    <row r="58" spans="1:19" ht="15.75">
      <c r="A58" s="401"/>
      <c r="B58" s="401"/>
      <c r="C58" s="401"/>
      <c r="D58" s="402"/>
      <c r="E58" s="402"/>
      <c r="F58" s="402"/>
      <c r="G58" s="1277"/>
      <c r="H58" s="402"/>
      <c r="I58" s="402"/>
      <c r="J58" s="419"/>
      <c r="K58" s="402"/>
      <c r="L58" s="402"/>
      <c r="M58" s="402"/>
      <c r="N58" s="402"/>
      <c r="O58" s="402"/>
      <c r="P58" s="402"/>
      <c r="Q58" s="402"/>
      <c r="R58" s="402"/>
      <c r="S58" s="402"/>
    </row>
    <row r="59" spans="1:19" ht="15.75">
      <c r="A59" s="401"/>
      <c r="B59" s="401"/>
      <c r="C59" s="401"/>
      <c r="D59" s="402"/>
      <c r="E59" s="402"/>
      <c r="F59" s="402"/>
      <c r="G59" s="1277"/>
      <c r="H59" s="402"/>
      <c r="I59" s="402"/>
      <c r="J59" s="419"/>
      <c r="K59" s="402"/>
      <c r="L59" s="402"/>
      <c r="M59" s="402"/>
      <c r="N59" s="402"/>
      <c r="O59" s="402"/>
      <c r="P59" s="402"/>
      <c r="Q59" s="402"/>
      <c r="R59" s="402"/>
      <c r="S59" s="402"/>
    </row>
    <row r="60" spans="1:19" ht="13.5">
      <c r="A60" s="401">
        <v>6</v>
      </c>
      <c r="B60" s="401" t="s">
        <v>622</v>
      </c>
      <c r="C60" s="401" t="s">
        <v>598</v>
      </c>
      <c r="D60" s="404" t="s">
        <v>1089</v>
      </c>
      <c r="E60" s="402"/>
      <c r="F60" s="402"/>
      <c r="G60" s="1277"/>
      <c r="H60" s="402"/>
      <c r="I60" s="402"/>
      <c r="J60" s="402"/>
      <c r="K60" s="402"/>
      <c r="L60" s="402"/>
      <c r="M60" s="402"/>
      <c r="N60" s="402"/>
      <c r="O60" s="402"/>
      <c r="P60" s="402"/>
      <c r="Q60" s="402"/>
      <c r="R60" s="402"/>
      <c r="S60" s="402"/>
    </row>
    <row r="61" spans="1:19" ht="13.5">
      <c r="A61" s="401"/>
      <c r="B61" s="401"/>
      <c r="C61" s="401"/>
      <c r="D61" s="420"/>
      <c r="E61" s="402" t="s">
        <v>653</v>
      </c>
      <c r="F61" s="402"/>
      <c r="G61" s="1275" t="s">
        <v>1081</v>
      </c>
      <c r="H61" s="402"/>
      <c r="I61" s="402"/>
      <c r="J61" s="276"/>
      <c r="K61" s="402"/>
      <c r="L61" s="402"/>
      <c r="M61" s="402"/>
      <c r="N61" s="402"/>
      <c r="O61" s="402"/>
      <c r="P61" s="402"/>
      <c r="Q61" s="402"/>
      <c r="R61" s="402"/>
      <c r="S61" s="402"/>
    </row>
    <row r="62" spans="1:19" ht="13.5">
      <c r="A62" s="401"/>
      <c r="B62" s="401"/>
      <c r="C62" s="401"/>
      <c r="D62" s="421"/>
      <c r="E62" s="402"/>
      <c r="F62" s="402"/>
      <c r="G62" s="1278"/>
      <c r="H62" s="402"/>
      <c r="I62" s="402"/>
      <c r="J62" s="402"/>
      <c r="K62" s="402"/>
      <c r="L62" s="402"/>
      <c r="M62" s="402"/>
      <c r="N62" s="402"/>
      <c r="O62" s="402"/>
      <c r="P62" s="402"/>
      <c r="Q62" s="402"/>
      <c r="R62" s="402"/>
      <c r="S62" s="402"/>
    </row>
    <row r="63" spans="1:19" ht="13.5">
      <c r="A63" s="401"/>
      <c r="B63" s="401"/>
      <c r="C63" s="401"/>
      <c r="D63" s="422"/>
      <c r="E63" s="402"/>
      <c r="F63" s="402"/>
      <c r="G63" s="1277"/>
      <c r="H63" s="402"/>
      <c r="I63" s="402"/>
      <c r="J63" s="402"/>
      <c r="K63" s="402"/>
      <c r="L63" s="402"/>
      <c r="M63" s="402"/>
      <c r="N63" s="402"/>
      <c r="O63" s="402"/>
      <c r="P63" s="402"/>
      <c r="Q63" s="402"/>
      <c r="R63" s="402"/>
      <c r="S63" s="402"/>
    </row>
    <row r="64" spans="1:19" ht="13.5">
      <c r="A64" s="401"/>
      <c r="B64" s="401"/>
      <c r="C64" s="401"/>
      <c r="D64" s="402"/>
      <c r="E64" s="402"/>
      <c r="F64" s="402"/>
      <c r="G64" s="1277"/>
      <c r="H64" s="411"/>
      <c r="I64" s="402"/>
      <c r="J64" s="402"/>
      <c r="K64" s="402"/>
      <c r="L64" s="402"/>
      <c r="M64" s="402"/>
      <c r="N64" s="402"/>
      <c r="O64" s="402"/>
      <c r="P64" s="402"/>
      <c r="Q64" s="402"/>
      <c r="R64" s="402"/>
      <c r="S64" s="402"/>
    </row>
    <row r="65" spans="1:19" ht="13.5">
      <c r="A65" s="401">
        <v>7</v>
      </c>
      <c r="B65" s="401" t="s">
        <v>622</v>
      </c>
      <c r="C65" s="401" t="s">
        <v>598</v>
      </c>
      <c r="D65" s="404" t="str">
        <f>+'6 - Est and True up'!D65</f>
        <v>Reconciliation</v>
      </c>
      <c r="E65" s="276"/>
      <c r="F65" s="276"/>
      <c r="G65" s="1279"/>
      <c r="H65" s="276"/>
      <c r="I65" s="276"/>
      <c r="J65" s="276"/>
      <c r="K65" s="402"/>
      <c r="L65" s="402"/>
      <c r="M65" s="402"/>
      <c r="N65" s="402"/>
      <c r="O65" s="402"/>
      <c r="P65" s="402"/>
      <c r="Q65" s="402"/>
      <c r="R65" s="402"/>
      <c r="S65" s="402"/>
    </row>
    <row r="66" spans="1:19" ht="13.5">
      <c r="A66" s="401"/>
      <c r="B66" s="401"/>
      <c r="C66" s="401"/>
      <c r="D66" s="402"/>
      <c r="E66" s="276"/>
      <c r="F66" s="276"/>
      <c r="G66" s="1279"/>
      <c r="H66" s="276"/>
      <c r="I66" s="276"/>
      <c r="J66" s="276"/>
      <c r="K66" s="402"/>
      <c r="L66" s="402"/>
      <c r="M66" s="402"/>
      <c r="N66" s="402"/>
      <c r="O66" s="402"/>
      <c r="P66" s="402"/>
      <c r="Q66" s="402"/>
      <c r="R66" s="402"/>
      <c r="S66" s="402"/>
    </row>
    <row r="67" spans="1:19" ht="13.5">
      <c r="A67" s="401"/>
      <c r="B67" s="402"/>
      <c r="C67" s="402"/>
      <c r="D67" s="276"/>
      <c r="E67" s="276"/>
      <c r="F67" s="276"/>
      <c r="G67" s="1279"/>
      <c r="H67" s="276"/>
      <c r="I67" s="276"/>
      <c r="J67" s="402"/>
      <c r="K67" s="402"/>
      <c r="L67" s="411"/>
      <c r="M67" s="402"/>
      <c r="N67" s="276"/>
      <c r="O67" s="402"/>
      <c r="P67" s="402"/>
      <c r="Q67" s="402"/>
      <c r="R67" s="414"/>
      <c r="S67" s="414"/>
    </row>
    <row r="68" spans="1:19" ht="15.75">
      <c r="A68" s="401"/>
      <c r="B68" s="401"/>
      <c r="C68" s="401"/>
      <c r="D68" s="1510">
        <v>6082985</v>
      </c>
      <c r="E68" s="424" t="s">
        <v>976</v>
      </c>
      <c r="F68" s="402"/>
      <c r="G68" s="1275" t="s">
        <v>1081</v>
      </c>
      <c r="H68" s="402"/>
      <c r="I68" s="402"/>
      <c r="J68" s="402"/>
      <c r="K68" s="402"/>
      <c r="L68" s="411"/>
      <c r="M68" s="402"/>
      <c r="N68" s="276"/>
      <c r="O68" s="426"/>
      <c r="P68" s="427"/>
      <c r="Q68" s="427"/>
      <c r="R68" s="427"/>
      <c r="S68" s="402"/>
    </row>
    <row r="69" spans="1:19" ht="13.5">
      <c r="A69" s="277"/>
      <c r="B69" s="401"/>
      <c r="C69" s="401"/>
      <c r="D69" s="276"/>
      <c r="E69" s="402" t="s">
        <v>996</v>
      </c>
      <c r="F69" s="402"/>
      <c r="G69" s="402"/>
      <c r="H69" s="411"/>
      <c r="I69" s="402"/>
      <c r="J69" s="402"/>
      <c r="K69" s="402"/>
      <c r="L69" s="402"/>
      <c r="M69" s="402"/>
      <c r="N69" s="402"/>
      <c r="O69" s="402"/>
      <c r="P69" s="402"/>
      <c r="Q69" s="402"/>
      <c r="R69" s="402"/>
      <c r="S69" s="402"/>
    </row>
    <row r="70" spans="1:19" ht="13.5">
      <c r="A70" s="401"/>
      <c r="B70" s="401"/>
      <c r="C70" s="401"/>
      <c r="D70" s="424"/>
      <c r="E70" s="402"/>
      <c r="F70" s="402"/>
      <c r="G70" s="402"/>
      <c r="H70" s="411"/>
      <c r="I70" s="402"/>
      <c r="J70" s="402"/>
      <c r="K70" s="402"/>
      <c r="L70" s="402"/>
      <c r="M70" s="402"/>
      <c r="N70" s="402"/>
      <c r="O70" s="402"/>
      <c r="P70" s="402"/>
      <c r="Q70" s="402"/>
      <c r="R70" s="402"/>
      <c r="S70" s="402"/>
    </row>
    <row r="71" spans="1:19" ht="13.5">
      <c r="A71" s="277"/>
      <c r="B71" s="401"/>
      <c r="C71" s="401"/>
      <c r="D71" s="428">
        <v>0</v>
      </c>
      <c r="E71" s="402" t="s">
        <v>420</v>
      </c>
      <c r="F71" s="402"/>
      <c r="G71" s="402"/>
      <c r="H71" s="411"/>
      <c r="I71" s="402"/>
      <c r="J71" s="402"/>
      <c r="K71" s="402"/>
      <c r="L71" s="402"/>
      <c r="M71" s="402"/>
      <c r="N71" s="402"/>
      <c r="O71" s="402"/>
      <c r="P71" s="402"/>
      <c r="Q71" s="402"/>
      <c r="R71" s="402"/>
      <c r="S71" s="402"/>
    </row>
    <row r="72" spans="1:19" ht="13.5">
      <c r="A72" s="277"/>
      <c r="B72" s="401"/>
      <c r="C72" s="401"/>
      <c r="D72" s="276"/>
      <c r="E72" s="402"/>
      <c r="F72" s="402"/>
      <c r="G72" s="402"/>
      <c r="H72" s="411"/>
      <c r="I72" s="402"/>
      <c r="J72" s="402"/>
      <c r="K72" s="402"/>
      <c r="L72" s="402"/>
      <c r="M72" s="402"/>
      <c r="N72" s="402"/>
      <c r="O72" s="402"/>
      <c r="P72" s="402"/>
      <c r="Q72" s="402"/>
      <c r="R72" s="402"/>
      <c r="S72" s="402"/>
    </row>
    <row r="73" spans="1:19" ht="13.5">
      <c r="A73" s="401"/>
      <c r="B73" s="401"/>
      <c r="C73" s="401"/>
      <c r="D73" s="424"/>
      <c r="E73" s="402"/>
      <c r="F73" s="402"/>
      <c r="G73" s="402"/>
      <c r="H73" s="411"/>
      <c r="I73" s="402"/>
      <c r="J73" s="402"/>
      <c r="K73" s="402"/>
      <c r="L73" s="402"/>
      <c r="M73" s="402"/>
      <c r="N73" s="402"/>
      <c r="O73" s="402"/>
      <c r="P73" s="402"/>
      <c r="Q73" s="402"/>
      <c r="R73" s="402"/>
      <c r="S73" s="402"/>
    </row>
    <row r="74" spans="1:19" ht="13.5">
      <c r="A74" s="401">
        <v>8</v>
      </c>
      <c r="B74" s="401" t="s">
        <v>622</v>
      </c>
      <c r="C74" s="401" t="s">
        <v>598</v>
      </c>
      <c r="D74" s="404" t="str">
        <f>+'6 - Est and True up'!D75</f>
        <v>True-Up Adjustment</v>
      </c>
      <c r="E74" s="402"/>
      <c r="F74" s="402"/>
      <c r="G74" s="402"/>
      <c r="H74" s="402"/>
      <c r="I74" s="402"/>
      <c r="J74" s="402"/>
      <c r="K74" s="402"/>
      <c r="L74" s="402"/>
      <c r="M74" s="402"/>
      <c r="N74" s="402"/>
      <c r="O74" s="402"/>
      <c r="P74" s="402"/>
      <c r="Q74" s="402"/>
      <c r="R74" s="402"/>
      <c r="S74" s="402"/>
    </row>
    <row r="75" spans="1:19" ht="13.5">
      <c r="A75" s="401"/>
      <c r="B75" s="401"/>
      <c r="C75" s="401"/>
      <c r="D75" s="404"/>
      <c r="E75" s="402"/>
      <c r="F75" s="402"/>
      <c r="G75" s="402"/>
      <c r="H75" s="402"/>
      <c r="I75" s="402"/>
      <c r="J75" s="402"/>
      <c r="K75" s="402"/>
      <c r="L75" s="402"/>
      <c r="M75" s="402"/>
      <c r="N75" s="402"/>
      <c r="O75" s="402"/>
      <c r="P75" s="402"/>
      <c r="Q75" s="402"/>
      <c r="R75" s="402"/>
      <c r="S75" s="402"/>
    </row>
    <row r="76" spans="1:19" ht="13.5">
      <c r="A76" s="401"/>
      <c r="B76" s="401"/>
      <c r="C76" s="401"/>
      <c r="D76" s="276" t="s">
        <v>940</v>
      </c>
      <c r="E76" s="276"/>
      <c r="F76" s="276"/>
      <c r="G76" s="276"/>
      <c r="H76" s="276"/>
      <c r="I76" s="276"/>
      <c r="J76" s="276"/>
      <c r="K76" s="276"/>
      <c r="L76" s="402"/>
      <c r="M76" s="402"/>
      <c r="N76" s="402"/>
      <c r="O76" s="402"/>
      <c r="P76" s="402"/>
      <c r="Q76" s="402"/>
      <c r="R76" s="402"/>
      <c r="S76" s="402"/>
    </row>
    <row r="77" spans="1:19" ht="13.5">
      <c r="A77" s="401"/>
      <c r="B77" s="401"/>
      <c r="C77" s="401"/>
      <c r="D77" s="276"/>
      <c r="E77" s="402" t="s">
        <v>997</v>
      </c>
      <c r="F77" s="402"/>
      <c r="G77" s="402"/>
      <c r="H77" s="402"/>
      <c r="I77" s="402"/>
      <c r="J77" s="402"/>
      <c r="K77" s="276"/>
      <c r="L77" s="402"/>
      <c r="M77" s="402"/>
      <c r="N77" s="402"/>
      <c r="O77" s="402"/>
      <c r="P77" s="402"/>
      <c r="Q77" s="402"/>
      <c r="R77" s="402"/>
      <c r="S77" s="402"/>
    </row>
    <row r="78" spans="1:19" ht="27">
      <c r="A78" s="401"/>
      <c r="B78" s="401"/>
      <c r="C78" s="401"/>
      <c r="D78" s="276"/>
      <c r="E78" s="591" t="s">
        <v>618</v>
      </c>
      <c r="F78" s="591" t="s">
        <v>998</v>
      </c>
      <c r="G78" s="591" t="s">
        <v>999</v>
      </c>
      <c r="H78" s="591" t="s">
        <v>1000</v>
      </c>
      <c r="I78" s="591" t="s">
        <v>1001</v>
      </c>
      <c r="J78" s="591" t="s">
        <v>1002</v>
      </c>
      <c r="K78" s="423"/>
      <c r="L78" s="402"/>
      <c r="M78" s="1263" t="s">
        <v>1093</v>
      </c>
      <c r="N78" s="440"/>
      <c r="O78" s="402"/>
      <c r="P78" s="402"/>
      <c r="Q78" s="402"/>
      <c r="R78" s="402"/>
      <c r="S78" s="402"/>
    </row>
    <row r="79" spans="1:19" ht="16.5">
      <c r="A79" s="401"/>
      <c r="B79" s="401"/>
      <c r="C79" s="401"/>
      <c r="D79" s="276"/>
      <c r="E79" s="1413" t="s">
        <v>625</v>
      </c>
      <c r="F79" s="1409">
        <v>9.9565823168575693E-2</v>
      </c>
      <c r="G79" s="1419">
        <f>'WKSHT4 - Monthly Tx System Peak'!C57</f>
        <v>746</v>
      </c>
      <c r="H79" s="1411">
        <f>+F79*G79*1000</f>
        <v>74276.104083757455</v>
      </c>
      <c r="I79" s="1410">
        <f>-5130912.64174789/12</f>
        <v>-427576.05347899086</v>
      </c>
      <c r="J79" s="1411">
        <f>+H79-I79</f>
        <v>501852.1575627483</v>
      </c>
      <c r="K79" s="276"/>
      <c r="L79" s="402"/>
      <c r="M79" s="979"/>
      <c r="N79" s="1560"/>
      <c r="O79" s="402"/>
      <c r="P79" s="402"/>
      <c r="Q79" s="402"/>
      <c r="R79" s="402"/>
      <c r="S79" s="402"/>
    </row>
    <row r="80" spans="1:19" ht="16.5">
      <c r="A80" s="401"/>
      <c r="B80" s="401"/>
      <c r="C80" s="401"/>
      <c r="D80" s="276"/>
      <c r="E80" s="1413" t="s">
        <v>626</v>
      </c>
      <c r="F80" s="1409">
        <v>9.9565823168575693E-2</v>
      </c>
      <c r="G80" s="1419">
        <f>'WKSHT4 - Monthly Tx System Peak'!C58</f>
        <v>746</v>
      </c>
      <c r="H80" s="1411">
        <f t="shared" ref="H80:H90" si="5">+F80*G80*1000</f>
        <v>74276.104083757455</v>
      </c>
      <c r="I80" s="1410">
        <f>-5130912.64174789/12</f>
        <v>-427576.05347899086</v>
      </c>
      <c r="J80" s="1411">
        <f t="shared" ref="J80:J90" si="6">+H80-I80</f>
        <v>501852.1575627483</v>
      </c>
      <c r="K80" s="276"/>
      <c r="L80" s="402"/>
      <c r="M80" s="979"/>
      <c r="N80" s="1560"/>
      <c r="O80" s="402"/>
      <c r="P80" s="402"/>
      <c r="Q80" s="402"/>
      <c r="R80" s="402"/>
      <c r="S80" s="402"/>
    </row>
    <row r="81" spans="1:19" ht="16.5">
      <c r="A81" s="401"/>
      <c r="B81" s="401"/>
      <c r="C81" s="401"/>
      <c r="D81" s="276"/>
      <c r="E81" s="1413" t="s">
        <v>627</v>
      </c>
      <c r="F81" s="1409">
        <v>9.9565823168575693E-2</v>
      </c>
      <c r="G81" s="1419">
        <f>'WKSHT4 - Monthly Tx System Peak'!C59</f>
        <v>746</v>
      </c>
      <c r="H81" s="1411">
        <f t="shared" si="5"/>
        <v>74276.104083757455</v>
      </c>
      <c r="I81" s="1410">
        <f>-5130912.64174789/12</f>
        <v>-427576.05347899086</v>
      </c>
      <c r="J81" s="1411">
        <f t="shared" si="6"/>
        <v>501852.1575627483</v>
      </c>
      <c r="K81" s="276"/>
      <c r="L81" s="402"/>
      <c r="M81" s="429"/>
      <c r="N81" s="429"/>
      <c r="O81" s="402"/>
      <c r="P81" s="402"/>
      <c r="Q81" s="402"/>
      <c r="R81" s="402"/>
      <c r="S81" s="402"/>
    </row>
    <row r="82" spans="1:19" ht="16.5">
      <c r="A82" s="401"/>
      <c r="B82" s="401"/>
      <c r="C82" s="401"/>
      <c r="D82" s="276"/>
      <c r="E82" s="1413" t="s">
        <v>628</v>
      </c>
      <c r="F82" s="1409">
        <v>9.9565823168575693E-2</v>
      </c>
      <c r="G82" s="1419">
        <f>'WKSHT4 - Monthly Tx System Peak'!C61</f>
        <v>746</v>
      </c>
      <c r="H82" s="1411">
        <f>+F82*G82*1000</f>
        <v>74276.104083757455</v>
      </c>
      <c r="I82" s="1410">
        <f>-5130912.64174789/12</f>
        <v>-427576.05347899086</v>
      </c>
      <c r="J82" s="1411">
        <f t="shared" si="6"/>
        <v>501852.1575627483</v>
      </c>
      <c r="K82" s="276"/>
      <c r="L82" s="402"/>
      <c r="M82" s="429"/>
      <c r="N82" s="429"/>
      <c r="O82" s="402"/>
      <c r="P82" s="402"/>
      <c r="Q82" s="402"/>
      <c r="R82" s="402"/>
      <c r="S82" s="402"/>
    </row>
    <row r="83" spans="1:19" ht="16.5">
      <c r="A83" s="401"/>
      <c r="B83" s="401"/>
      <c r="C83" s="401"/>
      <c r="D83" s="276"/>
      <c r="E83" s="1413" t="s">
        <v>623</v>
      </c>
      <c r="F83" s="1409">
        <v>9.9565823168575693E-2</v>
      </c>
      <c r="G83" s="1419">
        <f>'WKSHT4 - Monthly Tx System Peak'!C62</f>
        <v>746</v>
      </c>
      <c r="H83" s="1411">
        <f>+F83*G83*1000</f>
        <v>74276.104083757455</v>
      </c>
      <c r="I83" s="1410">
        <f>-5130912.64174789/12</f>
        <v>-427576.05347899086</v>
      </c>
      <c r="J83" s="1411">
        <f t="shared" si="6"/>
        <v>501852.1575627483</v>
      </c>
      <c r="K83" s="276"/>
      <c r="L83" s="402"/>
      <c r="M83" s="429"/>
      <c r="N83" s="429"/>
      <c r="O83" s="402"/>
      <c r="P83" s="402"/>
      <c r="Q83" s="402"/>
      <c r="R83" s="402"/>
      <c r="S83" s="402"/>
    </row>
    <row r="84" spans="1:19" ht="16.5">
      <c r="A84" s="401"/>
      <c r="B84" s="401"/>
      <c r="C84" s="401"/>
      <c r="D84" s="276"/>
      <c r="E84" s="1413" t="s">
        <v>629</v>
      </c>
      <c r="F84" s="1409">
        <v>0.52031114092365083</v>
      </c>
      <c r="G84" s="1419">
        <f>'WKSHT4 - Monthly Tx System Peak'!C63</f>
        <v>746</v>
      </c>
      <c r="H84" s="1420">
        <f t="shared" si="5"/>
        <v>388152.11112904351</v>
      </c>
      <c r="I84" s="1410">
        <f t="shared" ref="I84:I90" si="7">-1574682.45158628/12</f>
        <v>-131223.53763219001</v>
      </c>
      <c r="J84" s="1411">
        <f t="shared" si="6"/>
        <v>519375.64876123355</v>
      </c>
      <c r="K84" s="276"/>
      <c r="L84" s="402"/>
      <c r="M84" s="1264">
        <f>SUM(M79:M83)</f>
        <v>0</v>
      </c>
      <c r="N84" s="402" t="s">
        <v>1094</v>
      </c>
      <c r="O84" s="402"/>
      <c r="P84" s="402"/>
      <c r="Q84" s="402"/>
      <c r="R84" s="402"/>
      <c r="S84" s="402"/>
    </row>
    <row r="85" spans="1:19" ht="16.5">
      <c r="A85" s="401"/>
      <c r="B85" s="401"/>
      <c r="C85" s="401"/>
      <c r="D85" s="276"/>
      <c r="E85" s="1413" t="s">
        <v>630</v>
      </c>
      <c r="F85" s="1409">
        <v>0.52031114092365083</v>
      </c>
      <c r="G85" s="1419">
        <f>'WKSHT4 - Monthly Tx System Peak'!C65</f>
        <v>746</v>
      </c>
      <c r="H85" s="1411">
        <f t="shared" si="5"/>
        <v>388152.11112904351</v>
      </c>
      <c r="I85" s="1410">
        <f t="shared" si="7"/>
        <v>-131223.53763219001</v>
      </c>
      <c r="J85" s="1411">
        <f t="shared" si="6"/>
        <v>519375.64876123355</v>
      </c>
      <c r="K85" s="276"/>
      <c r="L85" s="402"/>
      <c r="M85" s="402"/>
      <c r="N85" s="402"/>
      <c r="O85" s="402"/>
      <c r="P85" s="402"/>
      <c r="Q85" s="402"/>
      <c r="R85" s="402"/>
      <c r="S85" s="402"/>
    </row>
    <row r="86" spans="1:19" ht="16.5">
      <c r="A86" s="401"/>
      <c r="B86" s="401"/>
      <c r="C86" s="401"/>
      <c r="D86" s="276"/>
      <c r="E86" s="1413" t="s">
        <v>631</v>
      </c>
      <c r="F86" s="1409">
        <v>0.52031114092365083</v>
      </c>
      <c r="G86" s="1419">
        <f>'WKSHT4 - Monthly Tx System Peak'!C66</f>
        <v>746</v>
      </c>
      <c r="H86" s="1411">
        <f t="shared" si="5"/>
        <v>388152.11112904351</v>
      </c>
      <c r="I86" s="1410">
        <f t="shared" si="7"/>
        <v>-131223.53763219001</v>
      </c>
      <c r="J86" s="1411">
        <f t="shared" si="6"/>
        <v>519375.64876123355</v>
      </c>
      <c r="K86" s="276"/>
      <c r="L86" s="402"/>
      <c r="M86" s="402"/>
      <c r="N86" s="402"/>
      <c r="O86" s="402"/>
      <c r="P86" s="402"/>
      <c r="Q86" s="402"/>
      <c r="R86" s="402"/>
      <c r="S86" s="402"/>
    </row>
    <row r="87" spans="1:19" ht="16.5">
      <c r="A87" s="401"/>
      <c r="B87" s="401"/>
      <c r="C87" s="401"/>
      <c r="D87" s="276"/>
      <c r="E87" s="1413" t="s">
        <v>632</v>
      </c>
      <c r="F87" s="1409">
        <v>0.52031114092365083</v>
      </c>
      <c r="G87" s="1419">
        <f>'WKSHT4 - Monthly Tx System Peak'!C67</f>
        <v>746</v>
      </c>
      <c r="H87" s="1411">
        <f t="shared" si="5"/>
        <v>388152.11112904351</v>
      </c>
      <c r="I87" s="1410">
        <f t="shared" si="7"/>
        <v>-131223.53763219001</v>
      </c>
      <c r="J87" s="1411">
        <f t="shared" si="6"/>
        <v>519375.64876123355</v>
      </c>
      <c r="K87" s="276"/>
      <c r="L87" s="402"/>
      <c r="M87" s="402"/>
      <c r="N87" s="402"/>
      <c r="O87" s="402"/>
      <c r="P87" s="402"/>
      <c r="Q87" s="402"/>
      <c r="R87" s="402"/>
      <c r="S87" s="402"/>
    </row>
    <row r="88" spans="1:19" ht="16.5">
      <c r="A88" s="401"/>
      <c r="B88" s="401"/>
      <c r="C88" s="401"/>
      <c r="D88" s="276"/>
      <c r="E88" s="1413" t="s">
        <v>633</v>
      </c>
      <c r="F88" s="1409">
        <v>0.52031114092365083</v>
      </c>
      <c r="G88" s="1419">
        <f>'WKSHT4 - Monthly Tx System Peak'!C69</f>
        <v>746</v>
      </c>
      <c r="H88" s="1411">
        <f t="shared" si="5"/>
        <v>388152.11112904351</v>
      </c>
      <c r="I88" s="1410">
        <f t="shared" si="7"/>
        <v>-131223.53763219001</v>
      </c>
      <c r="J88" s="1411">
        <f t="shared" si="6"/>
        <v>519375.64876123355</v>
      </c>
      <c r="K88" s="276"/>
      <c r="L88" s="402"/>
      <c r="M88" s="402"/>
      <c r="N88" s="402"/>
      <c r="O88" s="402"/>
      <c r="P88" s="402"/>
      <c r="Q88" s="402"/>
      <c r="R88" s="402"/>
      <c r="S88" s="402"/>
    </row>
    <row r="89" spans="1:19" ht="16.5">
      <c r="A89" s="401"/>
      <c r="B89" s="401"/>
      <c r="C89" s="401"/>
      <c r="D89" s="276"/>
      <c r="E89" s="1413" t="s">
        <v>634</v>
      </c>
      <c r="F89" s="1409">
        <v>0.52031114092365083</v>
      </c>
      <c r="G89" s="1419">
        <f>'WKSHT4 - Monthly Tx System Peak'!C70</f>
        <v>746</v>
      </c>
      <c r="H89" s="1411">
        <f t="shared" si="5"/>
        <v>388152.11112904351</v>
      </c>
      <c r="I89" s="1410">
        <f t="shared" si="7"/>
        <v>-131223.53763219001</v>
      </c>
      <c r="J89" s="1411">
        <f t="shared" si="6"/>
        <v>519375.64876123355</v>
      </c>
      <c r="K89" s="276"/>
      <c r="L89" s="402"/>
      <c r="M89" s="402"/>
      <c r="N89" s="402"/>
      <c r="O89" s="402"/>
      <c r="P89" s="402"/>
      <c r="Q89" s="402"/>
      <c r="R89" s="402"/>
      <c r="S89" s="402"/>
    </row>
    <row r="90" spans="1:19" ht="16.5">
      <c r="A90" s="401"/>
      <c r="B90" s="401"/>
      <c r="C90" s="401"/>
      <c r="D90" s="276"/>
      <c r="E90" s="1413" t="s">
        <v>635</v>
      </c>
      <c r="F90" s="1409">
        <v>0.52031114092365083</v>
      </c>
      <c r="G90" s="1419">
        <f>'WKSHT4 - Monthly Tx System Peak'!C71</f>
        <v>746</v>
      </c>
      <c r="H90" s="1411">
        <f t="shared" si="5"/>
        <v>388152.11112904351</v>
      </c>
      <c r="I90" s="1410">
        <f t="shared" si="7"/>
        <v>-131223.53763219001</v>
      </c>
      <c r="J90" s="1411">
        <f t="shared" si="6"/>
        <v>519375.64876123355</v>
      </c>
      <c r="K90" s="276"/>
      <c r="L90" s="402"/>
      <c r="M90" s="402"/>
      <c r="N90" s="402"/>
      <c r="O90" s="402"/>
      <c r="P90" s="402"/>
      <c r="Q90" s="402"/>
      <c r="R90" s="402"/>
      <c r="S90" s="402"/>
    </row>
    <row r="91" spans="1:19" ht="16.5">
      <c r="A91" s="401"/>
      <c r="B91" s="401"/>
      <c r="C91" s="401"/>
      <c r="D91" s="402"/>
      <c r="E91" s="1413" t="s">
        <v>1003</v>
      </c>
      <c r="F91" s="1412"/>
      <c r="G91" s="1412"/>
      <c r="H91" s="1412"/>
      <c r="I91" s="1412"/>
      <c r="J91" s="1411">
        <f>SUM(J79:J90)</f>
        <v>6144890.3291423749</v>
      </c>
      <c r="K91" s="276"/>
      <c r="L91" s="402"/>
      <c r="M91" s="402"/>
      <c r="N91" s="402"/>
      <c r="O91" s="402"/>
      <c r="P91" s="402"/>
      <c r="Q91" s="402"/>
      <c r="R91" s="402"/>
      <c r="S91" s="402"/>
    </row>
    <row r="92" spans="1:19" ht="13.5">
      <c r="A92" s="401"/>
      <c r="B92" s="401"/>
      <c r="C92" s="401"/>
      <c r="D92" s="402"/>
      <c r="E92" s="430"/>
      <c r="F92" s="430"/>
      <c r="G92" s="430"/>
      <c r="H92" s="430"/>
      <c r="I92" s="430"/>
      <c r="J92" s="276"/>
      <c r="K92" s="276"/>
      <c r="L92" s="402"/>
      <c r="M92" s="402"/>
      <c r="N92" s="402"/>
      <c r="O92" s="402"/>
      <c r="P92" s="402"/>
      <c r="Q92" s="402"/>
      <c r="R92" s="402"/>
      <c r="S92" s="402"/>
    </row>
    <row r="93" spans="1:19" ht="13.5">
      <c r="A93" s="401"/>
      <c r="B93" s="401"/>
      <c r="C93" s="401"/>
      <c r="D93" s="402"/>
      <c r="E93" s="430"/>
      <c r="F93" s="430"/>
      <c r="G93" s="430"/>
      <c r="H93" s="430"/>
      <c r="I93" s="430"/>
      <c r="J93" s="276"/>
      <c r="K93" s="276"/>
      <c r="L93" s="402"/>
      <c r="M93" s="402"/>
      <c r="N93" s="402"/>
      <c r="O93" s="402"/>
      <c r="P93" s="402"/>
      <c r="Q93" s="402"/>
      <c r="R93" s="402"/>
      <c r="S93" s="402"/>
    </row>
    <row r="94" spans="1:19" ht="13.5">
      <c r="A94" s="401"/>
      <c r="B94" s="401"/>
      <c r="C94" s="401"/>
      <c r="D94" s="404"/>
      <c r="E94" s="402"/>
      <c r="F94" s="276"/>
      <c r="G94" s="402"/>
      <c r="H94" s="402"/>
      <c r="I94" s="402"/>
      <c r="J94" s="402"/>
      <c r="K94" s="402"/>
      <c r="L94" s="402"/>
      <c r="M94" s="402"/>
      <c r="N94" s="402"/>
      <c r="O94" s="402"/>
      <c r="P94" s="402"/>
      <c r="Q94" s="402"/>
      <c r="R94" s="402"/>
      <c r="S94" s="402"/>
    </row>
    <row r="95" spans="1:19" ht="31.5">
      <c r="A95" s="401"/>
      <c r="B95" s="401"/>
      <c r="C95" s="401"/>
      <c r="D95" s="403" t="s">
        <v>1004</v>
      </c>
      <c r="E95" s="1266"/>
      <c r="F95" s="1266" t="s">
        <v>979</v>
      </c>
      <c r="G95" s="402"/>
      <c r="H95" s="1267" t="s">
        <v>1095</v>
      </c>
      <c r="I95" s="402"/>
      <c r="J95" s="1268" t="s">
        <v>1096</v>
      </c>
      <c r="K95" s="102"/>
      <c r="L95" s="1269" t="s">
        <v>1097</v>
      </c>
      <c r="M95" s="402"/>
      <c r="N95" s="402"/>
      <c r="O95" s="402"/>
      <c r="P95" s="402"/>
      <c r="Q95" s="402"/>
      <c r="R95" s="402"/>
      <c r="S95" s="402"/>
    </row>
    <row r="96" spans="1:19" ht="16.5">
      <c r="A96" s="401"/>
      <c r="B96" s="401"/>
      <c r="C96" s="404" t="s">
        <v>1005</v>
      </c>
      <c r="D96" s="1414">
        <f>D68</f>
        <v>6082985</v>
      </c>
      <c r="E96" s="1415" t="s">
        <v>421</v>
      </c>
      <c r="F96" s="1414">
        <f>J91</f>
        <v>6144890.3291423749</v>
      </c>
      <c r="G96" s="1415" t="s">
        <v>422</v>
      </c>
      <c r="H96" s="1414">
        <f>D96-F96</f>
        <v>-61905.329142374918</v>
      </c>
      <c r="I96" s="1415" t="s">
        <v>421</v>
      </c>
      <c r="J96" s="1422">
        <f>M84</f>
        <v>0</v>
      </c>
      <c r="K96" s="1423" t="s">
        <v>422</v>
      </c>
      <c r="L96" s="1414">
        <f>H96-J96</f>
        <v>-61905.329142374918</v>
      </c>
      <c r="M96" s="87"/>
      <c r="N96" s="402"/>
      <c r="O96" s="402"/>
      <c r="P96" s="402"/>
      <c r="Q96" s="402"/>
      <c r="R96" s="402"/>
      <c r="S96" s="402"/>
    </row>
    <row r="97" spans="1:19" ht="16.5">
      <c r="A97" s="401"/>
      <c r="B97" s="401"/>
      <c r="C97" s="401"/>
      <c r="D97" s="1417"/>
      <c r="E97" s="1415"/>
      <c r="F97" s="1414"/>
      <c r="G97" s="1415"/>
      <c r="H97" s="1414"/>
      <c r="I97" s="1413"/>
      <c r="J97" s="87"/>
      <c r="K97" s="87"/>
      <c r="L97" s="87"/>
      <c r="M97" s="87"/>
      <c r="N97" s="402"/>
      <c r="O97" s="402"/>
      <c r="P97" s="402"/>
      <c r="Q97" s="402"/>
      <c r="R97" s="402"/>
      <c r="S97" s="402"/>
    </row>
    <row r="98" spans="1:19" ht="15.75">
      <c r="A98" s="401"/>
      <c r="B98" s="401"/>
      <c r="C98" s="401"/>
      <c r="D98" s="431"/>
      <c r="E98" s="401"/>
      <c r="F98" s="411"/>
      <c r="G98" s="401"/>
      <c r="H98" s="411"/>
      <c r="I98" s="402"/>
      <c r="J98" s="102"/>
      <c r="K98" s="3"/>
      <c r="L98" s="3"/>
      <c r="M98" s="102"/>
      <c r="N98" s="402"/>
      <c r="O98" s="402"/>
      <c r="P98" s="402"/>
      <c r="Q98" s="402"/>
      <c r="R98" s="402"/>
      <c r="S98" s="402"/>
    </row>
    <row r="99" spans="1:19" ht="15.75">
      <c r="A99" s="401"/>
      <c r="B99" s="401"/>
      <c r="C99" s="401"/>
      <c r="D99" s="404" t="s">
        <v>636</v>
      </c>
      <c r="E99" s="401"/>
      <c r="F99" s="411"/>
      <c r="G99" s="401"/>
      <c r="H99" s="411"/>
      <c r="I99" s="402"/>
      <c r="J99" s="102"/>
      <c r="K99" s="3"/>
      <c r="L99" s="3"/>
      <c r="M99" s="102"/>
      <c r="N99" s="402"/>
      <c r="O99" s="402"/>
      <c r="P99" s="402"/>
      <c r="Q99" s="402"/>
      <c r="R99" s="402"/>
      <c r="S99" s="402"/>
    </row>
    <row r="100" spans="1:19" ht="15.75">
      <c r="A100" s="401"/>
      <c r="B100" s="401"/>
      <c r="C100" s="401"/>
      <c r="D100" s="1558" t="s">
        <v>1006</v>
      </c>
      <c r="E100" s="1558"/>
      <c r="F100" s="102">
        <f>'6 - Est and True up'!F119</f>
        <v>6.0000000000000001E-3</v>
      </c>
      <c r="G100" s="401"/>
      <c r="H100" s="411"/>
      <c r="I100" s="402"/>
      <c r="J100" s="102"/>
      <c r="K100" s="3"/>
      <c r="L100" s="3"/>
      <c r="M100" s="102"/>
      <c r="N100" s="402"/>
      <c r="O100" s="402"/>
      <c r="P100" s="402"/>
      <c r="Q100" s="402"/>
      <c r="R100" s="402"/>
      <c r="S100" s="402"/>
    </row>
    <row r="101" spans="1:19" ht="13.5">
      <c r="A101" s="401"/>
      <c r="B101" s="401"/>
      <c r="C101" s="401"/>
      <c r="D101" s="425" t="s">
        <v>618</v>
      </c>
      <c r="E101" s="401" t="s">
        <v>637</v>
      </c>
      <c r="F101" s="401" t="s">
        <v>1007</v>
      </c>
      <c r="G101" s="425" t="s">
        <v>1008</v>
      </c>
      <c r="H101" s="401"/>
      <c r="I101" s="425" t="s">
        <v>638</v>
      </c>
      <c r="J101" s="404" t="s">
        <v>1009</v>
      </c>
      <c r="K101" s="402"/>
      <c r="L101" s="402"/>
      <c r="M101" s="402"/>
      <c r="N101" s="402"/>
      <c r="O101" s="402"/>
      <c r="P101" s="402"/>
      <c r="Q101" s="402"/>
      <c r="R101" s="402"/>
      <c r="S101" s="402"/>
    </row>
    <row r="102" spans="1:19" ht="13.5">
      <c r="A102" s="401"/>
      <c r="B102" s="401"/>
      <c r="C102" s="401"/>
      <c r="D102" s="401"/>
      <c r="E102" s="401"/>
      <c r="F102" s="401" t="s">
        <v>1010</v>
      </c>
      <c r="G102" s="401" t="s">
        <v>1011</v>
      </c>
      <c r="H102" s="401" t="s">
        <v>639</v>
      </c>
      <c r="I102" s="401"/>
      <c r="J102" s="401"/>
      <c r="K102" s="402" t="s">
        <v>1012</v>
      </c>
      <c r="L102" s="402"/>
      <c r="M102" s="402"/>
      <c r="N102" s="402"/>
      <c r="O102" s="402"/>
      <c r="P102" s="402"/>
      <c r="Q102" s="402"/>
      <c r="R102" s="402"/>
      <c r="S102" s="402"/>
    </row>
    <row r="103" spans="1:19" ht="13.5">
      <c r="A103" s="401"/>
      <c r="B103" s="401"/>
      <c r="C103" s="401"/>
      <c r="D103" s="402" t="s">
        <v>625</v>
      </c>
      <c r="E103" s="402" t="s">
        <v>366</v>
      </c>
      <c r="F103" s="411">
        <f>L96/12</f>
        <v>-5158.7774285312435</v>
      </c>
      <c r="G103" s="1249">
        <f>+F100</f>
        <v>6.0000000000000001E-3</v>
      </c>
      <c r="H103" s="402">
        <v>12</v>
      </c>
      <c r="I103" s="406">
        <f>+F103*G103*H103</f>
        <v>-371.43197485424957</v>
      </c>
      <c r="J103" s="406">
        <f>+F103+I103</f>
        <v>-5530.2094033854928</v>
      </c>
      <c r="K103" s="402" t="s">
        <v>1013</v>
      </c>
      <c r="L103" s="402"/>
      <c r="M103" s="402"/>
      <c r="N103" s="402"/>
      <c r="O103" s="402"/>
      <c r="P103" s="402"/>
      <c r="Q103" s="402"/>
      <c r="R103" s="402"/>
      <c r="S103" s="402"/>
    </row>
    <row r="104" spans="1:19" ht="13.5">
      <c r="A104" s="401"/>
      <c r="B104" s="401"/>
      <c r="C104" s="401"/>
      <c r="D104" s="402" t="s">
        <v>626</v>
      </c>
      <c r="E104" s="402" t="s">
        <v>366</v>
      </c>
      <c r="F104" s="411">
        <f t="shared" ref="F104:G114" si="8">+F103</f>
        <v>-5158.7774285312435</v>
      </c>
      <c r="G104" s="432">
        <f>+G103</f>
        <v>6.0000000000000001E-3</v>
      </c>
      <c r="H104" s="402">
        <v>11</v>
      </c>
      <c r="I104" s="406">
        <f t="shared" ref="I104:I114" si="9">+F104*G104*H104</f>
        <v>-340.47931028306209</v>
      </c>
      <c r="J104" s="406">
        <f t="shared" ref="J104:J114" si="10">+F104+I104</f>
        <v>-5499.2567388143052</v>
      </c>
      <c r="K104" s="402" t="s">
        <v>1014</v>
      </c>
      <c r="L104" s="402"/>
      <c r="M104" s="402"/>
      <c r="N104" s="402"/>
      <c r="O104" s="402"/>
      <c r="P104" s="402"/>
      <c r="Q104" s="402"/>
      <c r="R104" s="402"/>
      <c r="S104" s="402"/>
    </row>
    <row r="105" spans="1:19" ht="13.5">
      <c r="A105" s="401"/>
      <c r="B105" s="401"/>
      <c r="C105" s="401"/>
      <c r="D105" s="402" t="s">
        <v>627</v>
      </c>
      <c r="E105" s="402" t="s">
        <v>366</v>
      </c>
      <c r="F105" s="411">
        <f t="shared" si="8"/>
        <v>-5158.7774285312435</v>
      </c>
      <c r="G105" s="432">
        <f t="shared" si="8"/>
        <v>6.0000000000000001E-3</v>
      </c>
      <c r="H105" s="402">
        <v>10</v>
      </c>
      <c r="I105" s="406">
        <f t="shared" si="9"/>
        <v>-309.52664571187461</v>
      </c>
      <c r="J105" s="406">
        <f t="shared" si="10"/>
        <v>-5468.3040742431185</v>
      </c>
      <c r="K105" s="402"/>
      <c r="L105" s="402"/>
      <c r="M105" s="402"/>
      <c r="N105" s="402"/>
      <c r="O105" s="402"/>
      <c r="P105" s="402"/>
      <c r="Q105" s="402"/>
      <c r="R105" s="402"/>
      <c r="S105" s="402"/>
    </row>
    <row r="106" spans="1:19" ht="13.5">
      <c r="A106" s="401"/>
      <c r="B106" s="401"/>
      <c r="C106" s="401"/>
      <c r="D106" s="402" t="s">
        <v>628</v>
      </c>
      <c r="E106" s="402" t="s">
        <v>366</v>
      </c>
      <c r="F106" s="411">
        <f t="shared" si="8"/>
        <v>-5158.7774285312435</v>
      </c>
      <c r="G106" s="432">
        <f t="shared" si="8"/>
        <v>6.0000000000000001E-3</v>
      </c>
      <c r="H106" s="402">
        <v>9</v>
      </c>
      <c r="I106" s="406">
        <f t="shared" si="9"/>
        <v>-278.57398114068718</v>
      </c>
      <c r="J106" s="406">
        <f t="shared" si="10"/>
        <v>-5437.3514096719309</v>
      </c>
      <c r="K106" s="402"/>
      <c r="L106" s="402"/>
      <c r="M106" s="402"/>
      <c r="N106" s="402"/>
      <c r="O106" s="402"/>
      <c r="P106" s="402"/>
      <c r="Q106" s="402"/>
      <c r="R106" s="402"/>
      <c r="S106" s="402"/>
    </row>
    <row r="107" spans="1:19" ht="13.5">
      <c r="A107" s="401"/>
      <c r="B107" s="401"/>
      <c r="C107" s="401"/>
      <c r="D107" s="402" t="s">
        <v>623</v>
      </c>
      <c r="E107" s="402" t="s">
        <v>366</v>
      </c>
      <c r="F107" s="411">
        <f t="shared" si="8"/>
        <v>-5158.7774285312435</v>
      </c>
      <c r="G107" s="432">
        <f t="shared" si="8"/>
        <v>6.0000000000000001E-3</v>
      </c>
      <c r="H107" s="402">
        <v>8</v>
      </c>
      <c r="I107" s="406">
        <f t="shared" si="9"/>
        <v>-247.6213165694997</v>
      </c>
      <c r="J107" s="406">
        <f t="shared" si="10"/>
        <v>-5406.3987451007433</v>
      </c>
      <c r="K107" s="402"/>
      <c r="L107" s="402"/>
      <c r="M107" s="402"/>
      <c r="N107" s="402"/>
      <c r="O107" s="402"/>
      <c r="P107" s="402"/>
      <c r="Q107" s="402"/>
      <c r="R107" s="402"/>
      <c r="S107" s="402"/>
    </row>
    <row r="108" spans="1:19" ht="13.5">
      <c r="A108" s="401"/>
      <c r="B108" s="401"/>
      <c r="C108" s="401"/>
      <c r="D108" s="402" t="s">
        <v>629</v>
      </c>
      <c r="E108" s="402" t="s">
        <v>366</v>
      </c>
      <c r="F108" s="411">
        <f t="shared" si="8"/>
        <v>-5158.7774285312435</v>
      </c>
      <c r="G108" s="432">
        <f t="shared" si="8"/>
        <v>6.0000000000000001E-3</v>
      </c>
      <c r="H108" s="402">
        <v>7</v>
      </c>
      <c r="I108" s="406">
        <f t="shared" si="9"/>
        <v>-216.66865199831224</v>
      </c>
      <c r="J108" s="406">
        <f t="shared" si="10"/>
        <v>-5375.4460805295557</v>
      </c>
      <c r="K108" s="402"/>
      <c r="L108" s="402"/>
      <c r="M108" s="402"/>
      <c r="N108" s="402"/>
      <c r="O108" s="402"/>
      <c r="P108" s="402"/>
      <c r="Q108" s="402"/>
      <c r="R108" s="402"/>
      <c r="S108" s="402"/>
    </row>
    <row r="109" spans="1:19" ht="13.5">
      <c r="A109" s="401"/>
      <c r="B109" s="401"/>
      <c r="C109" s="401"/>
      <c r="D109" s="402" t="s">
        <v>630</v>
      </c>
      <c r="E109" s="402" t="s">
        <v>366</v>
      </c>
      <c r="F109" s="411">
        <f t="shared" si="8"/>
        <v>-5158.7774285312435</v>
      </c>
      <c r="G109" s="432">
        <f t="shared" si="8"/>
        <v>6.0000000000000001E-3</v>
      </c>
      <c r="H109" s="402">
        <v>6</v>
      </c>
      <c r="I109" s="406">
        <f t="shared" si="9"/>
        <v>-185.71598742712479</v>
      </c>
      <c r="J109" s="406">
        <f t="shared" si="10"/>
        <v>-5344.4934159583681</v>
      </c>
      <c r="K109" s="402"/>
      <c r="L109" s="402"/>
      <c r="M109" s="402"/>
      <c r="N109" s="402"/>
      <c r="O109" s="402"/>
      <c r="P109" s="402"/>
      <c r="Q109" s="402"/>
      <c r="R109" s="402"/>
      <c r="S109" s="402"/>
    </row>
    <row r="110" spans="1:19" ht="13.5">
      <c r="A110" s="401"/>
      <c r="B110" s="401"/>
      <c r="C110" s="401"/>
      <c r="D110" s="402" t="s">
        <v>631</v>
      </c>
      <c r="E110" s="402" t="s">
        <v>597</v>
      </c>
      <c r="F110" s="411">
        <f t="shared" si="8"/>
        <v>-5158.7774285312435</v>
      </c>
      <c r="G110" s="432">
        <f t="shared" si="8"/>
        <v>6.0000000000000001E-3</v>
      </c>
      <c r="H110" s="402">
        <v>5</v>
      </c>
      <c r="I110" s="406">
        <f t="shared" si="9"/>
        <v>-154.7633228559373</v>
      </c>
      <c r="J110" s="406">
        <f t="shared" si="10"/>
        <v>-5313.5407513871805</v>
      </c>
      <c r="K110" s="402"/>
      <c r="L110" s="402"/>
      <c r="M110" s="402"/>
      <c r="N110" s="402"/>
      <c r="O110" s="402"/>
      <c r="P110" s="402"/>
      <c r="Q110" s="402"/>
      <c r="R110" s="402"/>
      <c r="S110" s="402"/>
    </row>
    <row r="111" spans="1:19" ht="13.5">
      <c r="A111" s="401"/>
      <c r="B111" s="401"/>
      <c r="C111" s="401"/>
      <c r="D111" s="402" t="s">
        <v>632</v>
      </c>
      <c r="E111" s="402" t="s">
        <v>597</v>
      </c>
      <c r="F111" s="411">
        <f t="shared" si="8"/>
        <v>-5158.7774285312435</v>
      </c>
      <c r="G111" s="432">
        <f t="shared" si="8"/>
        <v>6.0000000000000001E-3</v>
      </c>
      <c r="H111" s="402">
        <v>4</v>
      </c>
      <c r="I111" s="406">
        <f t="shared" si="9"/>
        <v>-123.81065828474985</v>
      </c>
      <c r="J111" s="406">
        <f t="shared" si="10"/>
        <v>-5282.5880868159929</v>
      </c>
      <c r="K111" s="402"/>
      <c r="L111" s="402"/>
      <c r="M111" s="402"/>
      <c r="N111" s="402"/>
      <c r="O111" s="402"/>
      <c r="P111" s="402"/>
      <c r="Q111" s="402"/>
      <c r="R111" s="402"/>
      <c r="S111" s="402"/>
    </row>
    <row r="112" spans="1:19" ht="13.5">
      <c r="A112" s="401"/>
      <c r="B112" s="401"/>
      <c r="C112" s="401"/>
      <c r="D112" s="402" t="s">
        <v>633</v>
      </c>
      <c r="E112" s="402" t="s">
        <v>597</v>
      </c>
      <c r="F112" s="411">
        <f t="shared" si="8"/>
        <v>-5158.7774285312435</v>
      </c>
      <c r="G112" s="432">
        <f t="shared" si="8"/>
        <v>6.0000000000000001E-3</v>
      </c>
      <c r="H112" s="402">
        <v>3</v>
      </c>
      <c r="I112" s="406">
        <f t="shared" si="9"/>
        <v>-92.857993713562394</v>
      </c>
      <c r="J112" s="406">
        <f t="shared" si="10"/>
        <v>-5251.6354222448063</v>
      </c>
      <c r="K112" s="402"/>
      <c r="L112" s="402"/>
      <c r="M112" s="402"/>
      <c r="N112" s="402"/>
      <c r="O112" s="402"/>
      <c r="P112" s="402"/>
      <c r="Q112" s="402"/>
      <c r="R112" s="402"/>
      <c r="S112" s="402"/>
    </row>
    <row r="113" spans="1:19" ht="13.5">
      <c r="A113" s="401"/>
      <c r="B113" s="401"/>
      <c r="C113" s="401"/>
      <c r="D113" s="402" t="s">
        <v>634</v>
      </c>
      <c r="E113" s="402" t="s">
        <v>597</v>
      </c>
      <c r="F113" s="411">
        <f t="shared" si="8"/>
        <v>-5158.7774285312435</v>
      </c>
      <c r="G113" s="432">
        <f t="shared" si="8"/>
        <v>6.0000000000000001E-3</v>
      </c>
      <c r="H113" s="402">
        <v>2</v>
      </c>
      <c r="I113" s="406">
        <f t="shared" si="9"/>
        <v>-61.905329142374924</v>
      </c>
      <c r="J113" s="406">
        <f t="shared" si="10"/>
        <v>-5220.6827576736187</v>
      </c>
      <c r="K113" s="402"/>
      <c r="L113" s="402"/>
      <c r="M113" s="402"/>
      <c r="N113" s="402"/>
      <c r="O113" s="402"/>
      <c r="P113" s="402"/>
      <c r="Q113" s="402"/>
      <c r="R113" s="402"/>
      <c r="S113" s="402"/>
    </row>
    <row r="114" spans="1:19" ht="13.5">
      <c r="A114" s="401"/>
      <c r="B114" s="401"/>
      <c r="C114" s="401"/>
      <c r="D114" s="402" t="s">
        <v>635</v>
      </c>
      <c r="E114" s="402" t="s">
        <v>597</v>
      </c>
      <c r="F114" s="411">
        <f t="shared" si="8"/>
        <v>-5158.7774285312435</v>
      </c>
      <c r="G114" s="432">
        <f t="shared" si="8"/>
        <v>6.0000000000000001E-3</v>
      </c>
      <c r="H114" s="402">
        <v>1</v>
      </c>
      <c r="I114" s="406">
        <f t="shared" si="9"/>
        <v>-30.952664571187462</v>
      </c>
      <c r="J114" s="406">
        <f t="shared" si="10"/>
        <v>-5189.7300931024311</v>
      </c>
      <c r="K114" s="402"/>
      <c r="L114" s="402"/>
      <c r="M114" s="402"/>
      <c r="N114" s="402"/>
      <c r="O114" s="402"/>
      <c r="P114" s="402"/>
      <c r="Q114" s="402"/>
      <c r="R114" s="402"/>
      <c r="S114" s="402"/>
    </row>
    <row r="115" spans="1:19" ht="13.5">
      <c r="A115" s="401"/>
      <c r="B115" s="401"/>
      <c r="C115" s="401"/>
      <c r="D115" s="402" t="s">
        <v>847</v>
      </c>
      <c r="E115" s="402"/>
      <c r="F115" s="411">
        <v>0</v>
      </c>
      <c r="G115" s="402"/>
      <c r="H115" s="402"/>
      <c r="I115" s="402"/>
      <c r="J115" s="406">
        <f>SUM(J103:J114)</f>
        <v>-64319.636978927549</v>
      </c>
      <c r="K115" s="402"/>
      <c r="L115" s="402"/>
      <c r="M115" s="402"/>
      <c r="N115" s="402"/>
      <c r="O115" s="402"/>
      <c r="P115" s="402"/>
      <c r="Q115" s="402"/>
      <c r="R115" s="402"/>
      <c r="S115" s="402"/>
    </row>
    <row r="116" spans="1:19" ht="27">
      <c r="A116" s="401"/>
      <c r="B116" s="401"/>
      <c r="C116" s="401"/>
      <c r="D116" s="402"/>
      <c r="E116" s="402"/>
      <c r="F116" s="425" t="s">
        <v>640</v>
      </c>
      <c r="G116" s="1250" t="s">
        <v>1015</v>
      </c>
      <c r="H116" s="1250" t="s">
        <v>1016</v>
      </c>
      <c r="I116" s="425" t="s">
        <v>638</v>
      </c>
      <c r="J116" s="406" t="str">
        <f>+J101</f>
        <v>Surcharge (Refund) Owed</v>
      </c>
      <c r="K116" s="402"/>
      <c r="L116" s="402"/>
      <c r="M116" s="402"/>
      <c r="N116" s="402"/>
      <c r="O116" s="402"/>
      <c r="P116" s="402"/>
      <c r="Q116" s="402"/>
      <c r="R116" s="402"/>
      <c r="S116" s="402"/>
    </row>
    <row r="117" spans="1:19" ht="13.5">
      <c r="A117" s="401"/>
      <c r="B117" s="401"/>
      <c r="C117" s="401"/>
      <c r="D117" s="402" t="s">
        <v>625</v>
      </c>
      <c r="E117" s="402" t="s">
        <v>597</v>
      </c>
      <c r="F117" s="411">
        <f>+J115</f>
        <v>-64319.636978927549</v>
      </c>
      <c r="G117" s="432">
        <f>+G114</f>
        <v>6.0000000000000001E-3</v>
      </c>
      <c r="H117" s="413">
        <v>0</v>
      </c>
      <c r="I117" s="406">
        <f t="shared" ref="I117:I133" si="11">+F117*G117</f>
        <v>-385.91782187356529</v>
      </c>
      <c r="J117" s="406">
        <f>+F117+I117-H117</f>
        <v>-64705.554800801117</v>
      </c>
      <c r="K117" s="402"/>
      <c r="L117" s="402"/>
      <c r="M117" s="402"/>
      <c r="N117" s="402"/>
      <c r="O117" s="402"/>
      <c r="P117" s="402"/>
      <c r="Q117" s="402"/>
      <c r="R117" s="402"/>
      <c r="S117" s="402"/>
    </row>
    <row r="118" spans="1:19" ht="13.5">
      <c r="A118" s="401"/>
      <c r="B118" s="401"/>
      <c r="C118" s="401"/>
      <c r="D118" s="402" t="s">
        <v>626</v>
      </c>
      <c r="E118" s="402" t="s">
        <v>597</v>
      </c>
      <c r="F118" s="411">
        <f>+J117</f>
        <v>-64705.554800801117</v>
      </c>
      <c r="G118" s="432">
        <f>+G117</f>
        <v>6.0000000000000001E-3</v>
      </c>
      <c r="H118" s="413">
        <f>H117</f>
        <v>0</v>
      </c>
      <c r="I118" s="406">
        <f t="shared" si="11"/>
        <v>-388.23332880480672</v>
      </c>
      <c r="J118" s="406">
        <f t="shared" ref="J118:J133" si="12">+F118+I118-H118</f>
        <v>-65093.788129605928</v>
      </c>
      <c r="K118" s="402"/>
      <c r="L118" s="402"/>
      <c r="M118" s="402"/>
      <c r="N118" s="402"/>
      <c r="O118" s="402"/>
      <c r="P118" s="402"/>
      <c r="Q118" s="402"/>
      <c r="R118" s="402"/>
      <c r="S118" s="402"/>
    </row>
    <row r="119" spans="1:19" ht="13.5">
      <c r="A119" s="401"/>
      <c r="B119" s="401"/>
      <c r="C119" s="401"/>
      <c r="D119" s="402" t="s">
        <v>627</v>
      </c>
      <c r="E119" s="402" t="s">
        <v>597</v>
      </c>
      <c r="F119" s="411">
        <f t="shared" ref="F119:F133" si="13">+J118</f>
        <v>-65093.788129605928</v>
      </c>
      <c r="G119" s="432">
        <f t="shared" ref="G119:G133" si="14">+G118</f>
        <v>6.0000000000000001E-3</v>
      </c>
      <c r="H119" s="413">
        <f t="shared" ref="H119:H133" si="15">H118</f>
        <v>0</v>
      </c>
      <c r="I119" s="406">
        <f t="shared" si="11"/>
        <v>-390.56272877763558</v>
      </c>
      <c r="J119" s="406">
        <f t="shared" si="12"/>
        <v>-65484.350858383565</v>
      </c>
      <c r="K119" s="402"/>
      <c r="L119" s="402"/>
      <c r="M119" s="402"/>
      <c r="N119" s="402"/>
      <c r="O119" s="402"/>
      <c r="P119" s="402"/>
      <c r="Q119" s="402"/>
      <c r="R119" s="402"/>
      <c r="S119" s="402"/>
    </row>
    <row r="120" spans="1:19" ht="13.5">
      <c r="A120" s="401"/>
      <c r="B120" s="401"/>
      <c r="C120" s="401"/>
      <c r="D120" s="402" t="s">
        <v>628</v>
      </c>
      <c r="E120" s="402" t="s">
        <v>597</v>
      </c>
      <c r="F120" s="411">
        <f t="shared" si="13"/>
        <v>-65484.350858383565</v>
      </c>
      <c r="G120" s="432">
        <f t="shared" si="14"/>
        <v>6.0000000000000001E-3</v>
      </c>
      <c r="H120" s="413">
        <f t="shared" si="15"/>
        <v>0</v>
      </c>
      <c r="I120" s="406">
        <f t="shared" si="11"/>
        <v>-392.90610515030141</v>
      </c>
      <c r="J120" s="406">
        <f t="shared" si="12"/>
        <v>-65877.256963533873</v>
      </c>
      <c r="K120" s="433"/>
      <c r="L120" s="402"/>
      <c r="M120" s="402"/>
      <c r="N120" s="402"/>
      <c r="O120" s="402"/>
      <c r="P120" s="402"/>
      <c r="Q120" s="402"/>
      <c r="R120" s="402"/>
      <c r="S120" s="402"/>
    </row>
    <row r="121" spans="1:19" ht="13.5">
      <c r="A121" s="401"/>
      <c r="B121" s="401"/>
      <c r="C121" s="401"/>
      <c r="D121" s="402" t="s">
        <v>623</v>
      </c>
      <c r="E121" s="402" t="s">
        <v>597</v>
      </c>
      <c r="F121" s="411">
        <f t="shared" si="13"/>
        <v>-65877.256963533873</v>
      </c>
      <c r="G121" s="432">
        <f t="shared" si="14"/>
        <v>6.0000000000000001E-3</v>
      </c>
      <c r="H121" s="413">
        <f t="shared" si="15"/>
        <v>0</v>
      </c>
      <c r="I121" s="406">
        <f t="shared" si="11"/>
        <v>-395.26354178120323</v>
      </c>
      <c r="J121" s="406">
        <f t="shared" si="12"/>
        <v>-66272.520505315071</v>
      </c>
      <c r="K121" s="432"/>
      <c r="L121" s="402"/>
      <c r="M121" s="402"/>
      <c r="N121" s="402"/>
      <c r="O121" s="402"/>
      <c r="P121" s="402"/>
      <c r="Q121" s="402"/>
      <c r="R121" s="402"/>
      <c r="S121" s="402"/>
    </row>
    <row r="122" spans="1:19" ht="13.5">
      <c r="A122" s="401"/>
      <c r="B122" s="401"/>
      <c r="C122" s="401"/>
      <c r="D122" s="402" t="s">
        <v>629</v>
      </c>
      <c r="E122" s="402" t="s">
        <v>597</v>
      </c>
      <c r="F122" s="411">
        <f t="shared" si="13"/>
        <v>-66272.520505315071</v>
      </c>
      <c r="G122" s="432">
        <f t="shared" si="14"/>
        <v>6.0000000000000001E-3</v>
      </c>
      <c r="H122" s="413">
        <f>-PMT(G122,12,J121)</f>
        <v>-5740.4576926788559</v>
      </c>
      <c r="I122" s="406">
        <f t="shared" si="11"/>
        <v>-397.63512303189043</v>
      </c>
      <c r="J122" s="406">
        <f t="shared" si="12"/>
        <v>-60929.697935668097</v>
      </c>
      <c r="K122" s="402"/>
      <c r="L122" s="402"/>
      <c r="M122" s="402"/>
      <c r="N122" s="402"/>
      <c r="O122" s="402"/>
      <c r="P122" s="402"/>
      <c r="Q122" s="402"/>
      <c r="R122" s="402"/>
      <c r="S122" s="402"/>
    </row>
    <row r="123" spans="1:19" ht="13.5">
      <c r="A123" s="401"/>
      <c r="B123" s="401"/>
      <c r="C123" s="401"/>
      <c r="D123" s="402" t="s">
        <v>630</v>
      </c>
      <c r="E123" s="402" t="s">
        <v>597</v>
      </c>
      <c r="F123" s="411">
        <f t="shared" si="13"/>
        <v>-60929.697935668097</v>
      </c>
      <c r="G123" s="432">
        <f t="shared" si="14"/>
        <v>6.0000000000000001E-3</v>
      </c>
      <c r="H123" s="413">
        <f t="shared" si="15"/>
        <v>-5740.4576926788559</v>
      </c>
      <c r="I123" s="406">
        <f t="shared" si="11"/>
        <v>-365.57818761400858</v>
      </c>
      <c r="J123" s="406">
        <f t="shared" si="12"/>
        <v>-55554.818430603249</v>
      </c>
      <c r="K123" s="402"/>
      <c r="L123" s="402"/>
      <c r="M123" s="402"/>
      <c r="N123" s="402"/>
      <c r="O123" s="402"/>
      <c r="P123" s="402"/>
      <c r="Q123" s="402"/>
      <c r="R123" s="402"/>
      <c r="S123" s="402"/>
    </row>
    <row r="124" spans="1:19" ht="13.5">
      <c r="A124" s="401"/>
      <c r="B124" s="401"/>
      <c r="C124" s="401"/>
      <c r="D124" s="402" t="s">
        <v>631</v>
      </c>
      <c r="E124" s="402" t="s">
        <v>597</v>
      </c>
      <c r="F124" s="411">
        <f t="shared" si="13"/>
        <v>-55554.818430603249</v>
      </c>
      <c r="G124" s="432">
        <f t="shared" si="14"/>
        <v>6.0000000000000001E-3</v>
      </c>
      <c r="H124" s="413">
        <f t="shared" si="15"/>
        <v>-5740.4576926788559</v>
      </c>
      <c r="I124" s="406">
        <f t="shared" si="11"/>
        <v>-333.32891058361952</v>
      </c>
      <c r="J124" s="406">
        <f t="shared" si="12"/>
        <v>-50147.689648508014</v>
      </c>
      <c r="K124" s="402"/>
      <c r="L124" s="402"/>
      <c r="M124" s="402"/>
      <c r="N124" s="402"/>
      <c r="O124" s="402"/>
      <c r="P124" s="402"/>
      <c r="Q124" s="402"/>
      <c r="R124" s="402"/>
      <c r="S124" s="402"/>
    </row>
    <row r="125" spans="1:19" ht="13.5">
      <c r="A125" s="401"/>
      <c r="B125" s="401"/>
      <c r="C125" s="401"/>
      <c r="D125" s="402" t="s">
        <v>632</v>
      </c>
      <c r="E125" s="402" t="s">
        <v>597</v>
      </c>
      <c r="F125" s="411">
        <f t="shared" si="13"/>
        <v>-50147.689648508014</v>
      </c>
      <c r="G125" s="432">
        <f t="shared" si="14"/>
        <v>6.0000000000000001E-3</v>
      </c>
      <c r="H125" s="413">
        <f t="shared" si="15"/>
        <v>-5740.4576926788559</v>
      </c>
      <c r="I125" s="406">
        <f t="shared" si="11"/>
        <v>-300.88613789104807</v>
      </c>
      <c r="J125" s="406">
        <f t="shared" si="12"/>
        <v>-44708.118093720208</v>
      </c>
      <c r="K125" s="402"/>
      <c r="L125" s="402"/>
      <c r="M125" s="402"/>
      <c r="N125" s="402"/>
      <c r="O125" s="402"/>
      <c r="P125" s="402"/>
      <c r="Q125" s="402"/>
      <c r="R125" s="402"/>
      <c r="S125" s="402"/>
    </row>
    <row r="126" spans="1:19" ht="13.5">
      <c r="A126" s="401"/>
      <c r="B126" s="401"/>
      <c r="C126" s="401"/>
      <c r="D126" s="402" t="s">
        <v>633</v>
      </c>
      <c r="E126" s="402" t="s">
        <v>597</v>
      </c>
      <c r="F126" s="411">
        <f t="shared" si="13"/>
        <v>-44708.118093720208</v>
      </c>
      <c r="G126" s="432">
        <f t="shared" si="14"/>
        <v>6.0000000000000001E-3</v>
      </c>
      <c r="H126" s="413">
        <f t="shared" si="15"/>
        <v>-5740.4576926788559</v>
      </c>
      <c r="I126" s="406">
        <f t="shared" si="11"/>
        <v>-268.24870856232127</v>
      </c>
      <c r="J126" s="406">
        <f t="shared" si="12"/>
        <v>-39235.909109603672</v>
      </c>
      <c r="K126" s="402"/>
      <c r="L126" s="402"/>
      <c r="M126" s="402"/>
      <c r="N126" s="402"/>
      <c r="O126" s="402"/>
      <c r="P126" s="402"/>
      <c r="Q126" s="402"/>
      <c r="R126" s="402"/>
      <c r="S126" s="402"/>
    </row>
    <row r="127" spans="1:19" ht="13.5">
      <c r="A127" s="401"/>
      <c r="B127" s="401"/>
      <c r="C127" s="401"/>
      <c r="D127" s="402" t="s">
        <v>634</v>
      </c>
      <c r="E127" s="402" t="s">
        <v>597</v>
      </c>
      <c r="F127" s="411">
        <f t="shared" si="13"/>
        <v>-39235.909109603672</v>
      </c>
      <c r="G127" s="432">
        <f t="shared" si="14"/>
        <v>6.0000000000000001E-3</v>
      </c>
      <c r="H127" s="413">
        <f t="shared" si="15"/>
        <v>-5740.4576926788559</v>
      </c>
      <c r="I127" s="406">
        <f t="shared" si="11"/>
        <v>-235.41545465762204</v>
      </c>
      <c r="J127" s="406">
        <f t="shared" si="12"/>
        <v>-33730.866871582439</v>
      </c>
      <c r="K127" s="402"/>
      <c r="L127" s="402"/>
      <c r="M127" s="402"/>
      <c r="N127" s="402"/>
      <c r="O127" s="402"/>
      <c r="P127" s="402"/>
      <c r="Q127" s="402"/>
      <c r="R127" s="402"/>
      <c r="S127" s="402"/>
    </row>
    <row r="128" spans="1:19" ht="13.5">
      <c r="A128" s="401"/>
      <c r="B128" s="401"/>
      <c r="C128" s="401"/>
      <c r="D128" s="402" t="s">
        <v>635</v>
      </c>
      <c r="E128" s="402" t="s">
        <v>597</v>
      </c>
      <c r="F128" s="411">
        <f t="shared" si="13"/>
        <v>-33730.866871582439</v>
      </c>
      <c r="G128" s="432">
        <f t="shared" si="14"/>
        <v>6.0000000000000001E-3</v>
      </c>
      <c r="H128" s="413">
        <f t="shared" si="15"/>
        <v>-5740.4576926788559</v>
      </c>
      <c r="I128" s="406">
        <f t="shared" si="11"/>
        <v>-202.38520122949464</v>
      </c>
      <c r="J128" s="406">
        <f t="shared" si="12"/>
        <v>-28192.794380133077</v>
      </c>
      <c r="K128" s="402"/>
      <c r="L128" s="402"/>
      <c r="M128" s="402"/>
      <c r="N128" s="402"/>
      <c r="O128" s="402"/>
      <c r="P128" s="402"/>
      <c r="Q128" s="402"/>
      <c r="R128" s="402"/>
      <c r="S128" s="402"/>
    </row>
    <row r="129" spans="1:19" ht="13.5">
      <c r="A129" s="401"/>
      <c r="B129" s="401"/>
      <c r="C129" s="401"/>
      <c r="D129" s="402" t="s">
        <v>625</v>
      </c>
      <c r="E129" s="402" t="s">
        <v>598</v>
      </c>
      <c r="F129" s="411">
        <f t="shared" si="13"/>
        <v>-28192.794380133077</v>
      </c>
      <c r="G129" s="432">
        <f t="shared" si="14"/>
        <v>6.0000000000000001E-3</v>
      </c>
      <c r="H129" s="413">
        <f t="shared" si="15"/>
        <v>-5740.4576926788559</v>
      </c>
      <c r="I129" s="406">
        <f t="shared" si="11"/>
        <v>-169.15676628079845</v>
      </c>
      <c r="J129" s="406">
        <f t="shared" si="12"/>
        <v>-22621.49345373502</v>
      </c>
      <c r="K129" s="402"/>
      <c r="L129" s="402"/>
      <c r="M129" s="402"/>
      <c r="N129" s="402"/>
      <c r="O129" s="402"/>
      <c r="P129" s="402"/>
      <c r="Q129" s="402"/>
      <c r="R129" s="402"/>
      <c r="S129" s="402"/>
    </row>
    <row r="130" spans="1:19" ht="13.5">
      <c r="A130" s="401"/>
      <c r="B130" s="401"/>
      <c r="C130" s="401"/>
      <c r="D130" s="402" t="s">
        <v>626</v>
      </c>
      <c r="E130" s="402" t="s">
        <v>598</v>
      </c>
      <c r="F130" s="411">
        <f t="shared" si="13"/>
        <v>-22621.49345373502</v>
      </c>
      <c r="G130" s="432">
        <f t="shared" si="14"/>
        <v>6.0000000000000001E-3</v>
      </c>
      <c r="H130" s="413">
        <f t="shared" si="15"/>
        <v>-5740.4576926788559</v>
      </c>
      <c r="I130" s="406">
        <f t="shared" si="11"/>
        <v>-135.72896072241014</v>
      </c>
      <c r="J130" s="406">
        <f t="shared" si="12"/>
        <v>-17016.764721778571</v>
      </c>
      <c r="K130" s="402"/>
      <c r="L130" s="402"/>
      <c r="M130" s="402"/>
      <c r="N130" s="402"/>
      <c r="O130" s="402"/>
      <c r="P130" s="402"/>
      <c r="Q130" s="402"/>
      <c r="R130" s="402"/>
      <c r="S130" s="402"/>
    </row>
    <row r="131" spans="1:19" ht="13.5">
      <c r="A131" s="401"/>
      <c r="B131" s="401"/>
      <c r="C131" s="401"/>
      <c r="D131" s="402" t="s">
        <v>627</v>
      </c>
      <c r="E131" s="402" t="s">
        <v>598</v>
      </c>
      <c r="F131" s="411">
        <f t="shared" si="13"/>
        <v>-17016.764721778571</v>
      </c>
      <c r="G131" s="432">
        <f t="shared" si="14"/>
        <v>6.0000000000000001E-3</v>
      </c>
      <c r="H131" s="413">
        <f t="shared" si="15"/>
        <v>-5740.4576926788559</v>
      </c>
      <c r="I131" s="406">
        <f t="shared" si="11"/>
        <v>-102.10058833067143</v>
      </c>
      <c r="J131" s="406">
        <f t="shared" si="12"/>
        <v>-11378.407617430386</v>
      </c>
      <c r="K131" s="402"/>
      <c r="L131" s="402"/>
      <c r="M131" s="402"/>
      <c r="N131" s="402"/>
      <c r="O131" s="402"/>
      <c r="P131" s="402"/>
      <c r="Q131" s="402"/>
      <c r="R131" s="402"/>
      <c r="S131" s="402"/>
    </row>
    <row r="132" spans="1:19" ht="13.5">
      <c r="A132" s="401"/>
      <c r="B132" s="401"/>
      <c r="C132" s="401"/>
      <c r="D132" s="402" t="s">
        <v>628</v>
      </c>
      <c r="E132" s="402" t="s">
        <v>598</v>
      </c>
      <c r="F132" s="411">
        <f t="shared" si="13"/>
        <v>-11378.407617430386</v>
      </c>
      <c r="G132" s="432">
        <f t="shared" si="14"/>
        <v>6.0000000000000001E-3</v>
      </c>
      <c r="H132" s="413">
        <f t="shared" si="15"/>
        <v>-5740.4576926788559</v>
      </c>
      <c r="I132" s="406">
        <f t="shared" si="11"/>
        <v>-68.270445704582315</v>
      </c>
      <c r="J132" s="406">
        <f t="shared" si="12"/>
        <v>-5706.2203704561125</v>
      </c>
      <c r="K132" s="402"/>
      <c r="L132" s="402"/>
      <c r="M132" s="402"/>
      <c r="N132" s="402"/>
      <c r="O132" s="402"/>
      <c r="P132" s="402"/>
      <c r="Q132" s="402"/>
      <c r="R132" s="402"/>
      <c r="S132" s="402"/>
    </row>
    <row r="133" spans="1:19" ht="13.5">
      <c r="A133" s="401"/>
      <c r="B133" s="401"/>
      <c r="C133" s="401"/>
      <c r="D133" s="402" t="s">
        <v>623</v>
      </c>
      <c r="E133" s="402" t="s">
        <v>598</v>
      </c>
      <c r="F133" s="411">
        <f t="shared" si="13"/>
        <v>-5706.2203704561125</v>
      </c>
      <c r="G133" s="432">
        <f t="shared" si="14"/>
        <v>6.0000000000000001E-3</v>
      </c>
      <c r="H133" s="413">
        <f t="shared" si="15"/>
        <v>-5740.4576926788559</v>
      </c>
      <c r="I133" s="406">
        <f t="shared" si="11"/>
        <v>-34.237322222736672</v>
      </c>
      <c r="J133" s="406">
        <f t="shared" si="12"/>
        <v>0</v>
      </c>
      <c r="K133" s="402"/>
      <c r="L133" s="402"/>
      <c r="M133" s="402"/>
      <c r="N133" s="402"/>
      <c r="O133" s="402"/>
      <c r="P133" s="402"/>
      <c r="Q133" s="402"/>
      <c r="R133" s="402"/>
      <c r="S133" s="402"/>
    </row>
    <row r="134" spans="1:19" ht="13.5">
      <c r="A134" s="401"/>
      <c r="B134" s="401"/>
      <c r="C134" s="401"/>
      <c r="D134" s="402" t="s">
        <v>654</v>
      </c>
      <c r="E134" s="402"/>
      <c r="F134" s="402"/>
      <c r="G134" s="402"/>
      <c r="H134" s="411">
        <f>SUM(H117:H133)</f>
        <v>-68885.492312146278</v>
      </c>
      <c r="I134" s="402"/>
      <c r="J134" s="402"/>
      <c r="K134" s="402"/>
      <c r="L134" s="402"/>
      <c r="M134" s="402"/>
      <c r="N134" s="402"/>
      <c r="O134" s="402"/>
      <c r="P134" s="402"/>
      <c r="Q134" s="402"/>
      <c r="R134" s="402"/>
      <c r="S134" s="402"/>
    </row>
    <row r="135" spans="1:19" ht="13.5">
      <c r="A135" s="401"/>
      <c r="B135" s="401"/>
      <c r="C135" s="401"/>
      <c r="D135" s="402"/>
      <c r="E135" s="402"/>
      <c r="F135" s="402"/>
      <c r="G135" s="402"/>
      <c r="H135" s="402"/>
      <c r="I135" s="402"/>
      <c r="J135" s="402"/>
      <c r="K135" s="402"/>
      <c r="L135" s="402"/>
      <c r="M135" s="402"/>
      <c r="N135" s="402"/>
      <c r="O135" s="402"/>
      <c r="P135" s="402"/>
      <c r="Q135" s="402"/>
      <c r="R135" s="402"/>
      <c r="S135" s="402"/>
    </row>
    <row r="136" spans="1:19" ht="13.5">
      <c r="A136" s="277"/>
      <c r="B136" s="401"/>
      <c r="C136" s="401"/>
      <c r="D136" s="404" t="str">
        <f>+D134</f>
        <v>Total with interest</v>
      </c>
      <c r="E136" s="401"/>
      <c r="F136" s="276"/>
      <c r="G136" s="401"/>
      <c r="H136" s="411">
        <f>+H134</f>
        <v>-68885.492312146278</v>
      </c>
      <c r="I136" s="401"/>
      <c r="J136" s="411"/>
      <c r="K136" s="402"/>
      <c r="L136" s="402"/>
      <c r="M136" s="402"/>
      <c r="N136" s="402"/>
      <c r="O136" s="402"/>
      <c r="P136" s="402"/>
      <c r="Q136" s="402"/>
      <c r="R136" s="402"/>
      <c r="S136" s="402"/>
    </row>
    <row r="137" spans="1:19" ht="13.5">
      <c r="A137" s="277"/>
      <c r="B137" s="401"/>
      <c r="C137" s="401"/>
      <c r="D137" s="404" t="s">
        <v>66</v>
      </c>
      <c r="E137" s="401"/>
      <c r="F137" s="276"/>
      <c r="G137" s="401"/>
      <c r="H137" s="417">
        <f>'ATT H-1 '!K286</f>
        <v>6083501.6012534518</v>
      </c>
      <c r="I137" s="408"/>
      <c r="J137" s="411"/>
      <c r="K137" s="402"/>
      <c r="L137" s="402"/>
      <c r="M137" s="402"/>
      <c r="N137" s="402"/>
      <c r="O137" s="402"/>
      <c r="P137" s="402"/>
      <c r="Q137" s="402"/>
      <c r="R137" s="402"/>
      <c r="S137" s="402"/>
    </row>
    <row r="138" spans="1:19" ht="13.5">
      <c r="A138" s="277"/>
      <c r="B138" s="401"/>
      <c r="C138" s="401"/>
      <c r="D138" s="404" t="s">
        <v>67</v>
      </c>
      <c r="E138" s="401"/>
      <c r="F138" s="276"/>
      <c r="G138" s="401"/>
      <c r="H138" s="411">
        <f>+H136+H137</f>
        <v>6014616.1089413054</v>
      </c>
      <c r="I138" s="404"/>
      <c r="J138" s="411"/>
      <c r="K138" s="402"/>
      <c r="L138" s="402"/>
      <c r="M138" s="402"/>
      <c r="N138" s="402"/>
      <c r="O138" s="402"/>
      <c r="P138" s="402"/>
      <c r="Q138" s="402"/>
      <c r="R138" s="402"/>
      <c r="S138" s="402"/>
    </row>
    <row r="139" spans="1:19" ht="13.5">
      <c r="A139" s="401"/>
      <c r="B139" s="401"/>
      <c r="C139" s="401"/>
      <c r="D139" s="424"/>
      <c r="E139" s="402"/>
      <c r="F139" s="402"/>
      <c r="G139" s="402"/>
      <c r="H139" s="411"/>
      <c r="I139" s="402"/>
      <c r="J139" s="402"/>
      <c r="K139" s="402"/>
      <c r="L139" s="402"/>
      <c r="M139" s="402"/>
      <c r="N139" s="402"/>
      <c r="O139" s="402"/>
      <c r="P139" s="402"/>
      <c r="Q139" s="402"/>
      <c r="R139" s="402"/>
      <c r="S139" s="402"/>
    </row>
    <row r="140" spans="1:19" ht="13.5">
      <c r="A140" s="401">
        <v>9</v>
      </c>
      <c r="B140" s="401" t="s">
        <v>622</v>
      </c>
      <c r="C140" s="401" t="s">
        <v>598</v>
      </c>
      <c r="D140" s="404" t="s">
        <v>1101</v>
      </c>
      <c r="E140" s="402"/>
      <c r="F140" s="402"/>
      <c r="G140" s="402"/>
      <c r="H140" s="402"/>
      <c r="I140" s="402"/>
      <c r="J140" s="276"/>
      <c r="K140" s="402"/>
      <c r="L140" s="402"/>
      <c r="M140" s="402"/>
      <c r="N140" s="402"/>
      <c r="O140" s="402"/>
      <c r="P140" s="402"/>
      <c r="Q140" s="402"/>
      <c r="R140" s="402"/>
      <c r="S140" s="402"/>
    </row>
    <row r="141" spans="1:19" ht="13.5">
      <c r="A141" s="401"/>
      <c r="B141" s="401"/>
      <c r="C141" s="401"/>
      <c r="D141" s="404"/>
      <c r="E141" s="402"/>
      <c r="F141" s="402"/>
      <c r="G141" s="402"/>
      <c r="H141" s="402"/>
      <c r="I141" s="402"/>
      <c r="J141" s="276"/>
      <c r="K141" s="402"/>
      <c r="L141" s="402"/>
      <c r="M141" s="402"/>
      <c r="N141" s="402"/>
      <c r="O141" s="402"/>
      <c r="P141" s="402"/>
      <c r="Q141" s="402"/>
      <c r="R141" s="402"/>
      <c r="S141" s="402"/>
    </row>
    <row r="142" spans="1:19" ht="13.5">
      <c r="A142" s="401"/>
      <c r="B142" s="276"/>
      <c r="C142" s="324" t="s">
        <v>262</v>
      </c>
      <c r="D142" s="324" t="s">
        <v>263</v>
      </c>
      <c r="E142" s="324" t="s">
        <v>355</v>
      </c>
      <c r="F142" s="324" t="s">
        <v>264</v>
      </c>
      <c r="G142" s="324" t="s">
        <v>265</v>
      </c>
      <c r="H142" s="324" t="s">
        <v>261</v>
      </c>
      <c r="I142" s="324"/>
      <c r="J142" s="324" t="s">
        <v>566</v>
      </c>
      <c r="K142" s="324" t="s">
        <v>567</v>
      </c>
      <c r="L142" s="324" t="s">
        <v>959</v>
      </c>
      <c r="M142" s="401" t="s">
        <v>960</v>
      </c>
      <c r="N142" s="401" t="s">
        <v>961</v>
      </c>
      <c r="O142" s="401" t="s">
        <v>962</v>
      </c>
      <c r="P142" s="401"/>
      <c r="Q142" s="401"/>
      <c r="R142" s="401"/>
      <c r="S142" s="401"/>
    </row>
    <row r="143" spans="1:19" ht="13.5">
      <c r="A143" s="401"/>
      <c r="B143" s="276"/>
      <c r="C143" s="401" t="s">
        <v>218</v>
      </c>
      <c r="D143" s="401" t="s">
        <v>218</v>
      </c>
      <c r="E143" s="401" t="s">
        <v>218</v>
      </c>
      <c r="F143" s="401" t="s">
        <v>218</v>
      </c>
      <c r="G143" s="401" t="s">
        <v>218</v>
      </c>
      <c r="H143" s="401" t="s">
        <v>218</v>
      </c>
      <c r="I143" s="401"/>
      <c r="J143" s="401" t="s">
        <v>72</v>
      </c>
      <c r="K143" s="401" t="s">
        <v>72</v>
      </c>
      <c r="L143" s="401" t="s">
        <v>72</v>
      </c>
      <c r="M143" s="401" t="s">
        <v>72</v>
      </c>
      <c r="N143" s="401" t="s">
        <v>72</v>
      </c>
      <c r="O143" s="401" t="s">
        <v>72</v>
      </c>
      <c r="P143" s="401"/>
      <c r="Q143" s="401"/>
      <c r="R143" s="401"/>
      <c r="S143" s="401"/>
    </row>
    <row r="144" spans="1:19" ht="13.5">
      <c r="A144" s="401"/>
      <c r="B144" s="402"/>
      <c r="C144" s="401" t="s">
        <v>68</v>
      </c>
      <c r="D144" s="401" t="s">
        <v>68</v>
      </c>
      <c r="E144" s="401" t="s">
        <v>68</v>
      </c>
      <c r="F144" s="438"/>
      <c r="G144" s="438"/>
      <c r="H144" s="438"/>
      <c r="I144" s="401"/>
      <c r="J144" s="401" t="s">
        <v>73</v>
      </c>
      <c r="K144" s="401" t="s">
        <v>74</v>
      </c>
      <c r="L144" s="401" t="s">
        <v>75</v>
      </c>
      <c r="M144" s="401" t="s">
        <v>76</v>
      </c>
      <c r="N144" s="401" t="s">
        <v>77</v>
      </c>
      <c r="O144" s="401" t="s">
        <v>78</v>
      </c>
      <c r="P144" s="401"/>
      <c r="Q144" s="401"/>
      <c r="R144" s="401"/>
      <c r="S144" s="401"/>
    </row>
    <row r="145" spans="1:19" ht="13.5">
      <c r="A145" s="401"/>
      <c r="B145" s="402"/>
      <c r="C145" s="401"/>
      <c r="D145" s="401"/>
      <c r="E145" s="401"/>
      <c r="F145" s="401" t="s">
        <v>69</v>
      </c>
      <c r="G145" s="401" t="s">
        <v>70</v>
      </c>
      <c r="H145" s="401" t="s">
        <v>71</v>
      </c>
      <c r="I145" s="401"/>
      <c r="J145" s="401"/>
      <c r="K145" s="401"/>
      <c r="L145" s="401"/>
      <c r="M145" s="401"/>
      <c r="N145" s="401"/>
      <c r="O145" s="401"/>
      <c r="P145" s="401"/>
      <c r="Q145" s="401"/>
      <c r="R145" s="401"/>
      <c r="S145" s="401"/>
    </row>
    <row r="146" spans="1:19" ht="13.5">
      <c r="A146" s="401"/>
      <c r="B146" s="402"/>
      <c r="C146" s="401"/>
      <c r="D146" s="410"/>
      <c r="E146" s="410"/>
      <c r="F146" s="410"/>
      <c r="G146" s="401"/>
      <c r="H146" s="401"/>
      <c r="I146" s="437"/>
      <c r="J146" s="401"/>
      <c r="K146" s="401"/>
      <c r="L146" s="411"/>
      <c r="M146" s="401"/>
      <c r="N146" s="401"/>
      <c r="O146" s="406"/>
      <c r="P146" s="401"/>
      <c r="Q146" s="425"/>
      <c r="R146" s="411"/>
      <c r="S146" s="401"/>
    </row>
    <row r="147" spans="1:19" ht="13.5">
      <c r="A147" s="401"/>
      <c r="B147" s="402" t="s">
        <v>625</v>
      </c>
      <c r="C147" s="412"/>
      <c r="D147" s="412"/>
      <c r="E147" s="412"/>
      <c r="F147" s="412"/>
      <c r="G147" s="412"/>
      <c r="H147" s="412"/>
      <c r="I147" s="437"/>
      <c r="J147" s="411">
        <f t="shared" ref="J147:O147" si="16">C147</f>
        <v>0</v>
      </c>
      <c r="K147" s="411">
        <f t="shared" si="16"/>
        <v>0</v>
      </c>
      <c r="L147" s="411">
        <f t="shared" si="16"/>
        <v>0</v>
      </c>
      <c r="M147" s="411">
        <f t="shared" si="16"/>
        <v>0</v>
      </c>
      <c r="N147" s="411">
        <f t="shared" si="16"/>
        <v>0</v>
      </c>
      <c r="O147" s="411">
        <f t="shared" si="16"/>
        <v>0</v>
      </c>
      <c r="P147" s="411"/>
      <c r="Q147" s="411"/>
      <c r="R147" s="411"/>
      <c r="S147" s="406"/>
    </row>
    <row r="148" spans="1:19" ht="13.5">
      <c r="A148" s="401"/>
      <c r="B148" s="402" t="s">
        <v>626</v>
      </c>
      <c r="C148" s="412"/>
      <c r="D148" s="412"/>
      <c r="E148" s="412"/>
      <c r="F148" s="412"/>
      <c r="G148" s="412"/>
      <c r="H148" s="412"/>
      <c r="I148" s="437"/>
      <c r="J148" s="411">
        <f>J147+C148</f>
        <v>0</v>
      </c>
      <c r="K148" s="411">
        <f t="shared" ref="K148:K158" si="17">K147+D148</f>
        <v>0</v>
      </c>
      <c r="L148" s="411">
        <f t="shared" ref="L148:L158" si="18">L147+E148</f>
        <v>0</v>
      </c>
      <c r="M148" s="411">
        <f t="shared" ref="M148:M158" si="19">M147+F148</f>
        <v>0</v>
      </c>
      <c r="N148" s="411">
        <f t="shared" ref="N148:N158" si="20">N147+G148</f>
        <v>0</v>
      </c>
      <c r="O148" s="411">
        <f t="shared" ref="O148:O158" si="21">O147+H148</f>
        <v>0</v>
      </c>
      <c r="P148" s="411"/>
      <c r="Q148" s="411"/>
      <c r="R148" s="411"/>
      <c r="S148" s="406"/>
    </row>
    <row r="149" spans="1:19" ht="13.5">
      <c r="A149" s="401"/>
      <c r="B149" s="402" t="s">
        <v>627</v>
      </c>
      <c r="C149" s="412"/>
      <c r="D149" s="412"/>
      <c r="E149" s="412"/>
      <c r="F149" s="412"/>
      <c r="G149" s="412"/>
      <c r="H149" s="412"/>
      <c r="I149" s="437"/>
      <c r="J149" s="411">
        <f t="shared" ref="J149:J158" si="22">J148+C149</f>
        <v>0</v>
      </c>
      <c r="K149" s="411">
        <f t="shared" si="17"/>
        <v>0</v>
      </c>
      <c r="L149" s="411">
        <f t="shared" si="18"/>
        <v>0</v>
      </c>
      <c r="M149" s="411">
        <f t="shared" si="19"/>
        <v>0</v>
      </c>
      <c r="N149" s="411">
        <f t="shared" si="20"/>
        <v>0</v>
      </c>
      <c r="O149" s="411">
        <f t="shared" si="21"/>
        <v>0</v>
      </c>
      <c r="P149" s="411"/>
      <c r="Q149" s="411"/>
      <c r="R149" s="411"/>
      <c r="S149" s="406"/>
    </row>
    <row r="150" spans="1:19" ht="13.5">
      <c r="A150" s="401"/>
      <c r="B150" s="402" t="s">
        <v>628</v>
      </c>
      <c r="C150" s="412"/>
      <c r="D150" s="412"/>
      <c r="E150" s="412"/>
      <c r="F150" s="412"/>
      <c r="G150" s="412"/>
      <c r="H150" s="412"/>
      <c r="I150" s="437"/>
      <c r="J150" s="411">
        <f t="shared" si="22"/>
        <v>0</v>
      </c>
      <c r="K150" s="411">
        <f t="shared" si="17"/>
        <v>0</v>
      </c>
      <c r="L150" s="411">
        <f t="shared" si="18"/>
        <v>0</v>
      </c>
      <c r="M150" s="411">
        <f t="shared" si="19"/>
        <v>0</v>
      </c>
      <c r="N150" s="411">
        <f t="shared" si="20"/>
        <v>0</v>
      </c>
      <c r="O150" s="411">
        <f t="shared" si="21"/>
        <v>0</v>
      </c>
      <c r="P150" s="411"/>
      <c r="Q150" s="411"/>
      <c r="R150" s="411"/>
      <c r="S150" s="406"/>
    </row>
    <row r="151" spans="1:19" ht="13.5">
      <c r="A151" s="401"/>
      <c r="B151" s="402" t="s">
        <v>623</v>
      </c>
      <c r="C151" s="412"/>
      <c r="D151" s="412"/>
      <c r="E151" s="412"/>
      <c r="F151" s="412"/>
      <c r="G151" s="412"/>
      <c r="H151" s="412"/>
      <c r="I151" s="437"/>
      <c r="J151" s="411">
        <f t="shared" si="22"/>
        <v>0</v>
      </c>
      <c r="K151" s="411">
        <f t="shared" si="17"/>
        <v>0</v>
      </c>
      <c r="L151" s="411">
        <f t="shared" si="18"/>
        <v>0</v>
      </c>
      <c r="M151" s="411">
        <f t="shared" si="19"/>
        <v>0</v>
      </c>
      <c r="N151" s="411">
        <f t="shared" si="20"/>
        <v>0</v>
      </c>
      <c r="O151" s="411">
        <f t="shared" si="21"/>
        <v>0</v>
      </c>
      <c r="P151" s="411"/>
      <c r="Q151" s="411"/>
      <c r="R151" s="411"/>
      <c r="S151" s="406"/>
    </row>
    <row r="152" spans="1:19" ht="13.5">
      <c r="A152" s="401"/>
      <c r="B152" s="402" t="s">
        <v>629</v>
      </c>
      <c r="C152" s="412"/>
      <c r="D152" s="412"/>
      <c r="E152" s="412"/>
      <c r="F152" s="412"/>
      <c r="G152" s="412"/>
      <c r="H152" s="412"/>
      <c r="I152" s="437"/>
      <c r="J152" s="411">
        <f t="shared" si="22"/>
        <v>0</v>
      </c>
      <c r="K152" s="411">
        <f t="shared" si="17"/>
        <v>0</v>
      </c>
      <c r="L152" s="411">
        <f t="shared" si="18"/>
        <v>0</v>
      </c>
      <c r="M152" s="411">
        <f t="shared" si="19"/>
        <v>0</v>
      </c>
      <c r="N152" s="411">
        <f t="shared" si="20"/>
        <v>0</v>
      </c>
      <c r="O152" s="411">
        <f t="shared" si="21"/>
        <v>0</v>
      </c>
      <c r="P152" s="411"/>
      <c r="Q152" s="411"/>
      <c r="R152" s="411"/>
      <c r="S152" s="406"/>
    </row>
    <row r="153" spans="1:19" ht="13.5">
      <c r="A153" s="401"/>
      <c r="B153" s="402" t="s">
        <v>630</v>
      </c>
      <c r="C153" s="412"/>
      <c r="D153" s="412"/>
      <c r="E153" s="412"/>
      <c r="F153" s="412"/>
      <c r="G153" s="412"/>
      <c r="H153" s="412"/>
      <c r="I153" s="437"/>
      <c r="J153" s="411">
        <f t="shared" si="22"/>
        <v>0</v>
      </c>
      <c r="K153" s="411">
        <f t="shared" si="17"/>
        <v>0</v>
      </c>
      <c r="L153" s="411">
        <f t="shared" si="18"/>
        <v>0</v>
      </c>
      <c r="M153" s="411">
        <f t="shared" si="19"/>
        <v>0</v>
      </c>
      <c r="N153" s="411">
        <f t="shared" si="20"/>
        <v>0</v>
      </c>
      <c r="O153" s="411">
        <f t="shared" si="21"/>
        <v>0</v>
      </c>
      <c r="P153" s="411"/>
      <c r="Q153" s="411"/>
      <c r="R153" s="411"/>
      <c r="S153" s="406"/>
    </row>
    <row r="154" spans="1:19" ht="13.5">
      <c r="A154" s="401"/>
      <c r="B154" s="402" t="s">
        <v>631</v>
      </c>
      <c r="C154" s="412"/>
      <c r="D154" s="412"/>
      <c r="E154" s="412"/>
      <c r="F154" s="412"/>
      <c r="G154" s="412"/>
      <c r="H154" s="412"/>
      <c r="I154" s="437"/>
      <c r="J154" s="411">
        <f t="shared" si="22"/>
        <v>0</v>
      </c>
      <c r="K154" s="411">
        <f t="shared" si="17"/>
        <v>0</v>
      </c>
      <c r="L154" s="411">
        <f t="shared" si="18"/>
        <v>0</v>
      </c>
      <c r="M154" s="411">
        <f t="shared" si="19"/>
        <v>0</v>
      </c>
      <c r="N154" s="411">
        <f t="shared" si="20"/>
        <v>0</v>
      </c>
      <c r="O154" s="411">
        <f t="shared" si="21"/>
        <v>0</v>
      </c>
      <c r="P154" s="411"/>
      <c r="Q154" s="411"/>
      <c r="R154" s="411"/>
      <c r="S154" s="406"/>
    </row>
    <row r="155" spans="1:19" ht="13.5">
      <c r="A155" s="401"/>
      <c r="B155" s="402" t="s">
        <v>632</v>
      </c>
      <c r="C155" s="412"/>
      <c r="D155" s="412"/>
      <c r="E155" s="412"/>
      <c r="F155" s="412"/>
      <c r="G155" s="412"/>
      <c r="H155" s="412"/>
      <c r="I155" s="437"/>
      <c r="J155" s="411">
        <f t="shared" si="22"/>
        <v>0</v>
      </c>
      <c r="K155" s="411">
        <f t="shared" si="17"/>
        <v>0</v>
      </c>
      <c r="L155" s="411">
        <f t="shared" si="18"/>
        <v>0</v>
      </c>
      <c r="M155" s="411">
        <f t="shared" si="19"/>
        <v>0</v>
      </c>
      <c r="N155" s="411">
        <f t="shared" si="20"/>
        <v>0</v>
      </c>
      <c r="O155" s="411">
        <f t="shared" si="21"/>
        <v>0</v>
      </c>
      <c r="P155" s="411"/>
      <c r="Q155" s="411"/>
      <c r="R155" s="411"/>
      <c r="S155" s="406"/>
    </row>
    <row r="156" spans="1:19" ht="13.5">
      <c r="A156" s="401"/>
      <c r="B156" s="402" t="s">
        <v>633</v>
      </c>
      <c r="C156" s="412"/>
      <c r="D156" s="412"/>
      <c r="E156" s="412"/>
      <c r="F156" s="412"/>
      <c r="G156" s="412"/>
      <c r="H156" s="412"/>
      <c r="I156" s="437"/>
      <c r="J156" s="411">
        <f t="shared" si="22"/>
        <v>0</v>
      </c>
      <c r="K156" s="411">
        <f t="shared" si="17"/>
        <v>0</v>
      </c>
      <c r="L156" s="411">
        <f t="shared" si="18"/>
        <v>0</v>
      </c>
      <c r="M156" s="411">
        <f t="shared" si="19"/>
        <v>0</v>
      </c>
      <c r="N156" s="411">
        <f t="shared" si="20"/>
        <v>0</v>
      </c>
      <c r="O156" s="411">
        <f t="shared" si="21"/>
        <v>0</v>
      </c>
      <c r="P156" s="411"/>
      <c r="Q156" s="411"/>
      <c r="R156" s="411"/>
      <c r="S156" s="406"/>
    </row>
    <row r="157" spans="1:19" ht="13.5">
      <c r="A157" s="401"/>
      <c r="B157" s="402" t="s">
        <v>634</v>
      </c>
      <c r="C157" s="412"/>
      <c r="D157" s="412"/>
      <c r="E157" s="412"/>
      <c r="F157" s="412"/>
      <c r="G157" s="412"/>
      <c r="H157" s="412"/>
      <c r="I157" s="437"/>
      <c r="J157" s="411">
        <f t="shared" si="22"/>
        <v>0</v>
      </c>
      <c r="K157" s="411">
        <f t="shared" si="17"/>
        <v>0</v>
      </c>
      <c r="L157" s="411">
        <f t="shared" si="18"/>
        <v>0</v>
      </c>
      <c r="M157" s="411">
        <f t="shared" si="19"/>
        <v>0</v>
      </c>
      <c r="N157" s="411">
        <f t="shared" si="20"/>
        <v>0</v>
      </c>
      <c r="O157" s="411">
        <f t="shared" si="21"/>
        <v>0</v>
      </c>
      <c r="P157" s="411"/>
      <c r="Q157" s="411"/>
      <c r="R157" s="411"/>
      <c r="S157" s="406"/>
    </row>
    <row r="158" spans="1:19" ht="13.5">
      <c r="A158" s="401"/>
      <c r="B158" s="402" t="s">
        <v>635</v>
      </c>
      <c r="C158" s="412"/>
      <c r="D158" s="412"/>
      <c r="E158" s="412"/>
      <c r="F158" s="412"/>
      <c r="G158" s="412"/>
      <c r="H158" s="412"/>
      <c r="I158" s="437"/>
      <c r="J158" s="411">
        <f t="shared" si="22"/>
        <v>0</v>
      </c>
      <c r="K158" s="411">
        <f t="shared" si="17"/>
        <v>0</v>
      </c>
      <c r="L158" s="411">
        <f t="shared" si="18"/>
        <v>0</v>
      </c>
      <c r="M158" s="411">
        <f t="shared" si="19"/>
        <v>0</v>
      </c>
      <c r="N158" s="411">
        <f t="shared" si="20"/>
        <v>0</v>
      </c>
      <c r="O158" s="411">
        <f t="shared" si="21"/>
        <v>0</v>
      </c>
      <c r="P158" s="411"/>
      <c r="Q158" s="411"/>
      <c r="R158" s="411"/>
      <c r="S158" s="406"/>
    </row>
    <row r="159" spans="1:19" ht="13.5">
      <c r="A159" s="401"/>
      <c r="B159" s="402" t="s">
        <v>847</v>
      </c>
      <c r="C159" s="411">
        <f t="shared" ref="C159:H159" si="23">SUM(C147:C158)</f>
        <v>0</v>
      </c>
      <c r="D159" s="411">
        <f t="shared" si="23"/>
        <v>0</v>
      </c>
      <c r="E159" s="411">
        <f t="shared" si="23"/>
        <v>0</v>
      </c>
      <c r="F159" s="411">
        <f t="shared" si="23"/>
        <v>0</v>
      </c>
      <c r="G159" s="411">
        <f t="shared" si="23"/>
        <v>0</v>
      </c>
      <c r="H159" s="411">
        <f t="shared" si="23"/>
        <v>0</v>
      </c>
      <c r="I159" s="411" t="s">
        <v>79</v>
      </c>
      <c r="J159" s="411">
        <f t="shared" ref="J159:O159" si="24">AVERAGE(J147:J158)</f>
        <v>0</v>
      </c>
      <c r="K159" s="411">
        <f t="shared" si="24"/>
        <v>0</v>
      </c>
      <c r="L159" s="411">
        <f t="shared" si="24"/>
        <v>0</v>
      </c>
      <c r="M159" s="411">
        <f t="shared" si="24"/>
        <v>0</v>
      </c>
      <c r="N159" s="411">
        <f t="shared" si="24"/>
        <v>0</v>
      </c>
      <c r="O159" s="411">
        <f t="shared" si="24"/>
        <v>0</v>
      </c>
      <c r="P159" s="411"/>
      <c r="Q159" s="411"/>
      <c r="R159" s="411"/>
      <c r="S159" s="411"/>
    </row>
    <row r="160" spans="1:19" ht="13.5">
      <c r="A160" s="401"/>
      <c r="C160" s="402"/>
      <c r="D160" s="276"/>
      <c r="E160" s="276"/>
      <c r="F160" s="276"/>
      <c r="G160" s="276"/>
      <c r="H160" s="276"/>
      <c r="I160" s="276"/>
      <c r="J160" s="276"/>
      <c r="K160" s="276"/>
      <c r="L160" s="413"/>
      <c r="M160" s="402"/>
      <c r="N160" s="402"/>
      <c r="O160" s="402"/>
      <c r="P160" s="276"/>
      <c r="Q160" s="413"/>
      <c r="R160" s="402"/>
      <c r="S160" s="402"/>
    </row>
    <row r="161" spans="1:19" ht="15.75">
      <c r="A161" s="401" t="s">
        <v>756</v>
      </c>
      <c r="B161" s="402" t="s">
        <v>81</v>
      </c>
      <c r="C161" s="402"/>
      <c r="D161" s="276"/>
      <c r="E161" s="276"/>
      <c r="F161" s="276"/>
      <c r="G161" s="276"/>
      <c r="H161" s="276"/>
      <c r="I161" s="276"/>
      <c r="J161" s="402"/>
      <c r="K161" s="439" t="s">
        <v>80</v>
      </c>
      <c r="L161" s="276"/>
      <c r="M161" s="411">
        <f>SUM(J159:O159)</f>
        <v>0</v>
      </c>
      <c r="N161" s="411"/>
      <c r="O161" s="1274" t="s">
        <v>1102</v>
      </c>
      <c r="P161" s="402"/>
      <c r="Q161" s="413"/>
      <c r="R161" s="411"/>
      <c r="S161" s="411"/>
    </row>
    <row r="162" spans="1:19" ht="13.5">
      <c r="A162" s="401"/>
      <c r="B162" s="402"/>
      <c r="C162" s="402"/>
      <c r="D162" s="276"/>
      <c r="E162" s="276"/>
      <c r="F162" s="276"/>
      <c r="G162" s="276"/>
      <c r="H162" s="276"/>
      <c r="I162" s="276"/>
      <c r="J162" s="402"/>
      <c r="K162" s="402"/>
      <c r="L162" s="411"/>
      <c r="M162" s="402"/>
      <c r="N162" s="276"/>
      <c r="O162" s="402"/>
      <c r="P162" s="402"/>
      <c r="Q162" s="402"/>
      <c r="R162" s="402"/>
      <c r="S162" s="402"/>
    </row>
    <row r="163" spans="1:19" ht="13.5">
      <c r="A163" s="401"/>
      <c r="B163" s="401"/>
      <c r="C163" s="401"/>
      <c r="D163" s="417"/>
      <c r="E163" s="401"/>
      <c r="F163" s="411"/>
      <c r="G163" s="401"/>
      <c r="H163" s="411"/>
      <c r="I163" s="404"/>
      <c r="J163" s="411"/>
      <c r="K163" s="402"/>
      <c r="L163" s="402"/>
      <c r="M163" s="402"/>
      <c r="N163" s="402"/>
      <c r="O163" s="402"/>
      <c r="P163" s="402"/>
      <c r="Q163" s="402"/>
      <c r="R163" s="402"/>
      <c r="S163" s="402"/>
    </row>
    <row r="164" spans="1:19" ht="13.5">
      <c r="A164" s="401">
        <v>10</v>
      </c>
      <c r="B164" s="401" t="s">
        <v>623</v>
      </c>
      <c r="C164" s="401" t="s">
        <v>598</v>
      </c>
      <c r="D164" s="404" t="s">
        <v>459</v>
      </c>
      <c r="E164" s="402"/>
      <c r="F164" s="402"/>
      <c r="G164" s="402"/>
      <c r="H164" s="402"/>
      <c r="I164" s="404"/>
      <c r="J164" s="402"/>
      <c r="K164" s="402"/>
      <c r="L164" s="402"/>
      <c r="M164" s="402"/>
      <c r="N164" s="402"/>
      <c r="O164" s="402"/>
      <c r="P164" s="402"/>
      <c r="Q164" s="402"/>
      <c r="R164" s="414"/>
      <c r="S164" s="414"/>
    </row>
    <row r="165" spans="1:19" ht="13.5">
      <c r="A165" s="401"/>
      <c r="B165" s="401"/>
      <c r="C165" s="401"/>
      <c r="D165" s="418"/>
      <c r="E165" s="402" t="s">
        <v>958</v>
      </c>
      <c r="F165" s="402"/>
      <c r="G165" s="402"/>
      <c r="H165" s="402"/>
      <c r="I165" s="402"/>
      <c r="J165" s="402"/>
      <c r="K165" s="402"/>
      <c r="L165" s="402"/>
      <c r="M165" s="402"/>
      <c r="N165" s="402"/>
      <c r="O165" s="402"/>
      <c r="P165" s="402"/>
      <c r="Q165" s="402"/>
      <c r="R165" s="402"/>
      <c r="S165" s="402"/>
    </row>
    <row r="166" spans="1:19" ht="13.5">
      <c r="A166" s="401"/>
      <c r="B166" s="401"/>
      <c r="C166" s="401"/>
      <c r="D166" s="422"/>
      <c r="E166" s="417"/>
      <c r="F166" s="402"/>
      <c r="G166" s="402"/>
      <c r="H166" s="402"/>
      <c r="I166" s="402"/>
      <c r="J166" s="402"/>
      <c r="K166" s="402"/>
      <c r="L166" s="402"/>
      <c r="M166" s="402"/>
      <c r="N166" s="402"/>
      <c r="O166" s="402"/>
      <c r="P166" s="402"/>
      <c r="Q166" s="402"/>
      <c r="R166" s="402"/>
      <c r="S166" s="402"/>
    </row>
    <row r="167" spans="1:19" ht="13.5">
      <c r="A167" s="401"/>
      <c r="B167" s="401"/>
      <c r="C167" s="401"/>
      <c r="D167" s="418"/>
      <c r="E167" s="402"/>
      <c r="F167" s="402"/>
      <c r="G167" s="402"/>
      <c r="H167" s="402"/>
      <c r="I167" s="402"/>
      <c r="J167" s="402"/>
      <c r="K167" s="402"/>
      <c r="L167" s="402"/>
      <c r="M167" s="402"/>
      <c r="N167" s="402"/>
      <c r="O167" s="402"/>
      <c r="P167" s="402"/>
      <c r="Q167" s="402"/>
      <c r="R167" s="402"/>
      <c r="S167" s="402"/>
    </row>
    <row r="168" spans="1:19" ht="13.5">
      <c r="A168" s="401">
        <v>11</v>
      </c>
      <c r="B168" s="401" t="s">
        <v>624</v>
      </c>
      <c r="C168" s="401" t="s">
        <v>598</v>
      </c>
      <c r="D168" s="402" t="s">
        <v>1091</v>
      </c>
      <c r="E168" s="402"/>
      <c r="F168" s="402"/>
      <c r="G168" s="402"/>
      <c r="H168" s="402"/>
      <c r="I168" s="402"/>
      <c r="J168" s="402"/>
      <c r="K168" s="402"/>
      <c r="L168" s="402"/>
      <c r="M168" s="402"/>
      <c r="N168" s="402"/>
      <c r="O168" s="402"/>
      <c r="P168" s="402"/>
      <c r="Q168" s="402"/>
      <c r="R168" s="402"/>
      <c r="S168" s="402"/>
    </row>
    <row r="169" spans="1:19" ht="13.5">
      <c r="A169" s="401"/>
      <c r="B169" s="401"/>
      <c r="C169" s="401"/>
      <c r="D169" s="434">
        <v>0</v>
      </c>
      <c r="E169" s="402"/>
      <c r="F169" s="402"/>
      <c r="G169" s="402"/>
      <c r="H169" s="402"/>
      <c r="I169" s="402"/>
      <c r="J169" s="402"/>
      <c r="K169" s="402"/>
      <c r="L169" s="402"/>
      <c r="M169" s="402"/>
      <c r="N169" s="402"/>
      <c r="O169" s="402"/>
      <c r="P169" s="402"/>
      <c r="Q169" s="402"/>
      <c r="R169" s="402"/>
      <c r="S169" s="402"/>
    </row>
    <row r="170" spans="1:19" ht="13.5">
      <c r="A170" s="401"/>
      <c r="B170" s="401"/>
      <c r="C170" s="401"/>
      <c r="D170" s="402"/>
      <c r="E170" s="402"/>
      <c r="F170" s="402"/>
      <c r="G170" s="402"/>
      <c r="H170" s="402"/>
      <c r="I170" s="402"/>
      <c r="J170" s="402"/>
      <c r="K170" s="402"/>
      <c r="L170" s="402"/>
      <c r="M170" s="402"/>
      <c r="N170" s="402"/>
      <c r="O170" s="402"/>
      <c r="P170" s="402"/>
      <c r="Q170" s="402"/>
      <c r="R170" s="402"/>
      <c r="S170" s="402"/>
    </row>
    <row r="171" spans="1:19" ht="13.5">
      <c r="A171" s="401"/>
      <c r="B171" s="402"/>
      <c r="C171" s="401"/>
      <c r="D171" s="417"/>
      <c r="E171" s="402"/>
      <c r="F171" s="402"/>
      <c r="G171" s="402"/>
      <c r="H171" s="402"/>
      <c r="I171" s="402"/>
      <c r="J171" s="402"/>
      <c r="K171" s="402"/>
      <c r="L171" s="402"/>
      <c r="M171" s="402"/>
      <c r="N171" s="402"/>
      <c r="O171" s="402"/>
      <c r="P171" s="402"/>
      <c r="Q171" s="402"/>
      <c r="R171" s="402"/>
      <c r="S171" s="402"/>
    </row>
    <row r="172" spans="1:19" ht="13.5">
      <c r="A172" s="401"/>
      <c r="B172" s="401"/>
      <c r="C172" s="401"/>
      <c r="D172" s="402"/>
      <c r="E172" s="402"/>
      <c r="F172" s="402"/>
      <c r="G172" s="402"/>
      <c r="H172" s="402"/>
      <c r="I172" s="402"/>
      <c r="J172" s="402"/>
      <c r="K172" s="402"/>
      <c r="L172" s="402"/>
      <c r="M172" s="402"/>
      <c r="N172" s="402"/>
      <c r="O172" s="402"/>
      <c r="P172" s="402"/>
      <c r="Q172" s="402"/>
      <c r="R172" s="402"/>
      <c r="S172" s="402"/>
    </row>
    <row r="173" spans="1:19" ht="13.5">
      <c r="A173" s="401"/>
      <c r="B173" s="401"/>
      <c r="C173" s="401"/>
      <c r="D173" s="402"/>
      <c r="E173" s="402"/>
      <c r="F173" s="402"/>
      <c r="G173" s="402"/>
      <c r="H173" s="402"/>
      <c r="I173" s="402"/>
      <c r="J173" s="402"/>
      <c r="K173" s="402"/>
      <c r="L173" s="402"/>
      <c r="M173" s="402"/>
      <c r="N173" s="402"/>
      <c r="O173" s="402"/>
      <c r="P173" s="402"/>
      <c r="Q173" s="402"/>
      <c r="R173" s="402"/>
      <c r="S173" s="402"/>
    </row>
    <row r="174" spans="1:19" ht="13.5">
      <c r="A174" s="401"/>
      <c r="B174" s="401"/>
      <c r="C174" s="401"/>
      <c r="D174" s="402"/>
      <c r="E174" s="402"/>
      <c r="F174" s="402"/>
      <c r="G174" s="402"/>
      <c r="H174" s="402"/>
      <c r="I174" s="402"/>
      <c r="J174" s="402"/>
      <c r="K174" s="402"/>
      <c r="L174" s="402"/>
      <c r="M174" s="402"/>
      <c r="N174" s="402"/>
      <c r="O174" s="402"/>
      <c r="P174" s="402"/>
      <c r="Q174" s="402"/>
      <c r="R174" s="402"/>
      <c r="S174" s="402"/>
    </row>
    <row r="175" spans="1:19" ht="13.5">
      <c r="A175" s="401"/>
      <c r="B175" s="401"/>
      <c r="C175" s="401"/>
      <c r="D175" s="402"/>
      <c r="E175" s="402"/>
      <c r="F175" s="402"/>
      <c r="G175" s="402"/>
      <c r="H175" s="402"/>
      <c r="I175" s="402"/>
      <c r="J175" s="402"/>
      <c r="K175" s="402"/>
      <c r="L175" s="402"/>
      <c r="M175" s="402"/>
      <c r="N175" s="402"/>
      <c r="O175" s="402"/>
      <c r="P175" s="402"/>
      <c r="Q175" s="402"/>
      <c r="R175" s="402"/>
      <c r="S175" s="402"/>
    </row>
    <row r="176" spans="1:19" ht="13.5">
      <c r="A176" s="401"/>
      <c r="B176" s="401"/>
      <c r="C176" s="401"/>
      <c r="D176" s="402"/>
      <c r="E176" s="402"/>
      <c r="F176" s="402"/>
      <c r="G176" s="402"/>
      <c r="H176" s="402"/>
      <c r="I176" s="402"/>
      <c r="J176" s="402"/>
      <c r="K176" s="402"/>
      <c r="L176" s="402"/>
      <c r="M176" s="402"/>
      <c r="N176" s="402"/>
      <c r="O176" s="402"/>
      <c r="P176" s="402"/>
      <c r="Q176" s="402"/>
      <c r="R176" s="402"/>
      <c r="S176" s="402"/>
    </row>
    <row r="177" spans="1:19" ht="13.5">
      <c r="A177" s="401"/>
      <c r="B177" s="401"/>
      <c r="C177" s="401"/>
      <c r="D177" s="402"/>
      <c r="E177" s="402"/>
      <c r="F177" s="402"/>
      <c r="G177" s="402"/>
      <c r="H177" s="402"/>
      <c r="I177" s="402"/>
      <c r="J177" s="402"/>
      <c r="K177" s="402"/>
      <c r="L177" s="402"/>
      <c r="M177" s="402"/>
      <c r="N177" s="402"/>
      <c r="O177" s="402"/>
      <c r="P177" s="402"/>
      <c r="Q177" s="402"/>
      <c r="R177" s="402"/>
      <c r="S177" s="402"/>
    </row>
    <row r="178" spans="1:19" ht="13.5">
      <c r="A178" s="401"/>
      <c r="B178" s="401"/>
      <c r="C178" s="401"/>
      <c r="D178" s="402"/>
      <c r="E178" s="402"/>
      <c r="F178" s="402"/>
      <c r="G178" s="402"/>
      <c r="H178" s="402"/>
      <c r="I178" s="402"/>
      <c r="J178" s="402"/>
      <c r="K178" s="402"/>
      <c r="L178" s="402"/>
      <c r="M178" s="402"/>
      <c r="N178" s="402"/>
      <c r="O178" s="402"/>
      <c r="P178" s="402"/>
      <c r="Q178" s="402"/>
      <c r="R178" s="402"/>
      <c r="S178" s="402"/>
    </row>
    <row r="179" spans="1:19" ht="13.5">
      <c r="A179" s="401"/>
      <c r="B179" s="401"/>
      <c r="C179" s="401"/>
      <c r="D179" s="402"/>
      <c r="E179" s="402"/>
      <c r="F179" s="402"/>
      <c r="G179" s="402"/>
      <c r="H179" s="402"/>
      <c r="I179" s="402"/>
      <c r="J179" s="402"/>
      <c r="K179" s="402"/>
      <c r="L179" s="402"/>
      <c r="M179" s="402"/>
      <c r="N179" s="402"/>
      <c r="O179" s="402"/>
      <c r="P179" s="402"/>
      <c r="Q179" s="402"/>
      <c r="R179" s="402"/>
      <c r="S179" s="402"/>
    </row>
    <row r="180" spans="1:19" ht="13.5">
      <c r="A180" s="401"/>
      <c r="B180" s="401"/>
      <c r="C180" s="401"/>
      <c r="D180" s="402"/>
      <c r="E180" s="402"/>
      <c r="F180" s="402"/>
      <c r="G180" s="402"/>
      <c r="H180" s="402"/>
      <c r="I180" s="402"/>
      <c r="J180" s="402"/>
      <c r="K180" s="402"/>
      <c r="L180" s="402"/>
      <c r="M180" s="402"/>
      <c r="N180" s="402"/>
      <c r="O180" s="402"/>
      <c r="P180" s="402"/>
      <c r="Q180" s="402"/>
      <c r="R180" s="402"/>
      <c r="S180" s="402"/>
    </row>
    <row r="181" spans="1:19" ht="13.5">
      <c r="A181" s="401"/>
      <c r="B181" s="401"/>
      <c r="C181" s="401"/>
      <c r="D181" s="402"/>
      <c r="E181" s="402"/>
      <c r="F181" s="402"/>
      <c r="G181" s="402"/>
      <c r="H181" s="402"/>
      <c r="I181" s="402"/>
      <c r="J181" s="402"/>
      <c r="K181" s="402"/>
      <c r="L181" s="402"/>
      <c r="M181" s="402"/>
      <c r="N181" s="402"/>
      <c r="O181" s="402"/>
      <c r="P181" s="402"/>
      <c r="Q181" s="402"/>
      <c r="R181" s="402"/>
      <c r="S181" s="402"/>
    </row>
    <row r="182" spans="1:19" ht="13.5">
      <c r="A182" s="401"/>
      <c r="B182" s="401"/>
      <c r="C182" s="401"/>
      <c r="D182" s="402"/>
      <c r="E182" s="402"/>
      <c r="F182" s="402"/>
      <c r="G182" s="402"/>
      <c r="H182" s="402"/>
      <c r="I182" s="402"/>
      <c r="J182" s="402"/>
      <c r="K182" s="402"/>
      <c r="L182" s="402"/>
      <c r="M182" s="402"/>
      <c r="N182" s="402"/>
      <c r="O182" s="402"/>
      <c r="P182" s="402"/>
      <c r="Q182" s="402"/>
      <c r="R182" s="402"/>
      <c r="S182" s="402"/>
    </row>
    <row r="183" spans="1:19" ht="13.5">
      <c r="A183" s="401"/>
      <c r="B183" s="401"/>
      <c r="C183" s="401"/>
      <c r="D183" s="402"/>
      <c r="E183" s="402"/>
      <c r="F183" s="402"/>
      <c r="G183" s="402"/>
      <c r="H183" s="402"/>
      <c r="I183" s="402"/>
      <c r="J183" s="402"/>
      <c r="K183" s="402"/>
      <c r="L183" s="402"/>
      <c r="M183" s="402"/>
      <c r="N183" s="402"/>
      <c r="O183" s="402"/>
      <c r="P183" s="402"/>
      <c r="Q183" s="402"/>
      <c r="R183" s="402"/>
      <c r="S183" s="402"/>
    </row>
    <row r="184" spans="1:19" ht="13.5">
      <c r="A184" s="401"/>
      <c r="B184" s="401"/>
      <c r="C184" s="401"/>
      <c r="D184" s="402"/>
      <c r="E184" s="402"/>
      <c r="F184" s="402"/>
      <c r="G184" s="402"/>
      <c r="H184" s="402"/>
      <c r="I184" s="402"/>
      <c r="J184" s="402"/>
      <c r="K184" s="402"/>
      <c r="L184" s="402"/>
      <c r="M184" s="402"/>
      <c r="N184" s="402"/>
      <c r="O184" s="402"/>
      <c r="P184" s="402"/>
      <c r="Q184" s="402"/>
      <c r="R184" s="402"/>
      <c r="S184" s="402"/>
    </row>
    <row r="185" spans="1:19" ht="13.5">
      <c r="A185" s="401"/>
      <c r="B185" s="401"/>
      <c r="C185" s="401"/>
      <c r="D185" s="402"/>
      <c r="E185" s="402"/>
      <c r="F185" s="402"/>
      <c r="G185" s="402"/>
      <c r="H185" s="402"/>
      <c r="I185" s="402"/>
      <c r="J185" s="402"/>
      <c r="K185" s="402"/>
      <c r="L185" s="402"/>
      <c r="M185" s="402"/>
      <c r="N185" s="402"/>
      <c r="O185" s="402"/>
      <c r="P185" s="402"/>
      <c r="Q185" s="402"/>
      <c r="R185" s="402"/>
      <c r="S185" s="402"/>
    </row>
    <row r="186" spans="1:19" ht="13.5">
      <c r="A186" s="401"/>
      <c r="B186" s="401"/>
      <c r="C186" s="401"/>
      <c r="D186" s="402"/>
      <c r="E186" s="402"/>
      <c r="F186" s="402"/>
      <c r="G186" s="402"/>
      <c r="H186" s="402"/>
      <c r="I186" s="402"/>
      <c r="J186" s="402"/>
      <c r="K186" s="402"/>
      <c r="L186" s="402"/>
      <c r="M186" s="402"/>
      <c r="N186" s="402"/>
      <c r="O186" s="402"/>
      <c r="P186" s="402"/>
      <c r="Q186" s="402"/>
      <c r="R186" s="402"/>
      <c r="S186" s="402"/>
    </row>
    <row r="187" spans="1:19" ht="15.75">
      <c r="A187" s="435"/>
      <c r="B187" s="401"/>
      <c r="C187" s="401"/>
      <c r="D187" s="402"/>
      <c r="E187" s="402"/>
      <c r="F187" s="402"/>
      <c r="G187" s="402"/>
      <c r="H187" s="402"/>
      <c r="I187" s="402"/>
      <c r="J187" s="402"/>
      <c r="K187" s="402"/>
      <c r="L187" s="402"/>
      <c r="M187" s="402"/>
      <c r="N187" s="402"/>
      <c r="O187" s="402"/>
      <c r="P187" s="402"/>
      <c r="Q187" s="402"/>
      <c r="R187" s="402"/>
      <c r="S187" s="402"/>
    </row>
    <row r="188" spans="1:19" ht="15.75">
      <c r="A188" s="435"/>
      <c r="B188" s="401"/>
      <c r="C188" s="401"/>
      <c r="D188" s="402"/>
      <c r="E188" s="402"/>
      <c r="F188" s="402"/>
      <c r="G188" s="402"/>
      <c r="H188" s="402"/>
      <c r="I188" s="402"/>
      <c r="J188" s="402"/>
      <c r="K188" s="402"/>
      <c r="L188" s="402"/>
      <c r="M188" s="402"/>
      <c r="N188" s="402"/>
      <c r="O188" s="402"/>
      <c r="P188" s="402"/>
      <c r="Q188" s="402"/>
      <c r="R188" s="402"/>
      <c r="S188" s="402"/>
    </row>
    <row r="189" spans="1:19" ht="15.75">
      <c r="A189" s="435"/>
      <c r="B189" s="435"/>
      <c r="C189" s="435"/>
      <c r="D189" s="436"/>
      <c r="E189" s="436"/>
      <c r="F189" s="436"/>
      <c r="G189" s="436"/>
      <c r="H189" s="436"/>
      <c r="I189" s="436"/>
      <c r="J189" s="436"/>
      <c r="K189" s="436"/>
      <c r="L189" s="436"/>
      <c r="M189" s="436"/>
      <c r="N189" s="436"/>
      <c r="O189" s="436"/>
      <c r="P189" s="436"/>
      <c r="Q189" s="436"/>
      <c r="R189" s="436"/>
      <c r="S189" s="436"/>
    </row>
  </sheetData>
  <mergeCells count="4">
    <mergeCell ref="D100:E100"/>
    <mergeCell ref="A3:Q3"/>
    <mergeCell ref="A2:Q2"/>
    <mergeCell ref="N79:N80"/>
  </mergeCells>
  <phoneticPr fontId="73" type="noConversion"/>
  <pageMargins left="0.75" right="0.75" top="1" bottom="1" header="0.5" footer="0.5"/>
  <pageSetup scale="47" fitToHeight="4" orientation="landscape" r:id="rId1"/>
  <headerFooter alignWithMargins="0"/>
  <rowBreaks count="2" manualBreakCount="2">
    <brk id="73" max="16" man="1"/>
    <brk id="139"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19</vt:i4>
      </vt:variant>
      <vt:variant>
        <vt:lpstr>Named Ranges</vt:lpstr>
      </vt:variant>
      <vt:variant>
        <vt:i4>14</vt:i4>
      </vt:variant>
    </vt:vector>
  </HeadingPairs>
  <TitlesOfParts>
    <vt:vector size="33" baseType="lpstr">
      <vt:lpstr>Sch 1</vt:lpstr>
      <vt:lpstr>ATT H-1 </vt:lpstr>
      <vt:lpstr>1 - ADIT</vt:lpstr>
      <vt:lpstr>2 - Other Tax</vt:lpstr>
      <vt:lpstr>3 - Revenue Credits</vt:lpstr>
      <vt:lpstr>4 - 100 Basis Pt ROE</vt:lpstr>
      <vt:lpstr>5 - Cost Support</vt:lpstr>
      <vt:lpstr>6 - Est and True up</vt:lpstr>
      <vt:lpstr>6A-Colstrip</vt:lpstr>
      <vt:lpstr>6B-So Intertie</vt:lpstr>
      <vt:lpstr>7 - Cap Add WS</vt:lpstr>
      <vt:lpstr>8 - Depreciation Rates</vt:lpstr>
      <vt:lpstr>WKSHT1 - Rev Credits</vt:lpstr>
      <vt:lpstr>WKSHT2 - Prepaid</vt:lpstr>
      <vt:lpstr>WKSHT3 - All GIFs</vt:lpstr>
      <vt:lpstr>WKSHT4 - Monthly Tx System Peak</vt:lpstr>
      <vt:lpstr>WKSHT5 - Plant in Service 13mo </vt:lpstr>
      <vt:lpstr>WKSHT6 - Cost of Capital</vt:lpstr>
      <vt:lpstr>WKSHT7 - EDIT</vt:lpstr>
      <vt:lpstr>'2 - Other Tax'!Print_Area</vt:lpstr>
      <vt:lpstr>'3 - Revenue Credits'!Print_Area</vt:lpstr>
      <vt:lpstr>'5 - Cost Support'!Print_Area</vt:lpstr>
      <vt:lpstr>'6 - Est and True up'!Print_Area</vt:lpstr>
      <vt:lpstr>'6A-Colstrip'!Print_Area</vt:lpstr>
      <vt:lpstr>'6B-So Intertie'!Print_Area</vt:lpstr>
      <vt:lpstr>'7 - Cap Add WS'!Print_Area</vt:lpstr>
      <vt:lpstr>'8 - Depreciation Rates'!Print_Area</vt:lpstr>
      <vt:lpstr>'ATT H-1 '!Print_Area</vt:lpstr>
      <vt:lpstr>'Sch 1'!Print_Area</vt:lpstr>
      <vt:lpstr>'WKSHT1 - Rev Credits'!Print_Area</vt:lpstr>
      <vt:lpstr>'WKSHT3 - All GIFs'!Print_Area</vt:lpstr>
      <vt:lpstr>'WKSHT4 - Monthly Tx System Peak'!Print_Area</vt:lpstr>
      <vt:lpstr>'WKSHT6 - Cost of Capital'!Print_Area</vt:lpstr>
    </vt:vector>
  </TitlesOfParts>
  <Company>PSEG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Benscoter</dc:creator>
  <cp:lastModifiedBy>Dillender, Lynn</cp:lastModifiedBy>
  <cp:lastPrinted>2026-05-26T20:27:52Z</cp:lastPrinted>
  <dcterms:created xsi:type="dcterms:W3CDTF">2004-01-21T20:42:01Z</dcterms:created>
  <dcterms:modified xsi:type="dcterms:W3CDTF">2026-05-28T17:00:18Z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ntativeReviewCycleID">
    <vt:i4>-177233148</vt:i4>
  </property>
  <property fmtid="{D5CDD505-2E9C-101B-9397-08002B2CF9AE}" pid="3" name="_ReviewCycleID">
    <vt:i4>-177233148</vt:i4>
  </property>
  <property fmtid="{D5CDD505-2E9C-101B-9397-08002B2CF9AE}" pid="4" name="_NewReviewCycle">
    <vt:lpwstr/>
  </property>
  <property fmtid="{D5CDD505-2E9C-101B-9397-08002B2CF9AE}" pid="5" name="_EmailEntryID">
    <vt:lpwstr>0000000010A293EFACE6DC46A1899B5022368A9907006EE6D7A68CD176418AD2920AD2EBAE49000001A8709B00001AA62B46D6D81C45A7B0C4FF830396030000001883DF0000</vt:lpwstr>
  </property>
  <property fmtid="{D5CDD505-2E9C-101B-9397-08002B2CF9AE}" pid="6" name="_EmailStoreID0">
    <vt:lpwstr>0000000038A1BB1005E5101AA1BB08002B2A56C200006D737073742E646C6C00000000004E495441F9BFB80100AA0037D96E0000000045003A005C00440061007400610020002800440029005C005300650074002000550070005C004F00750074006C006F006F006B005C004F00750074006C006F006F006B002E007000730</vt:lpwstr>
  </property>
  <property fmtid="{D5CDD505-2E9C-101B-9397-08002B2CF9AE}" pid="7" name="_EmailStoreID1">
    <vt:lpwstr>074000000</vt:lpwstr>
  </property>
  <property fmtid="{D5CDD505-2E9C-101B-9397-08002B2CF9AE}" pid="9" name="MSIP_Label_b689cc04-6351-41d8-9f1d-a834e5351c1d_Enabled">
    <vt:lpwstr>true</vt:lpwstr>
  </property>
  <property fmtid="{D5CDD505-2E9C-101B-9397-08002B2CF9AE}" pid="10" name="MSIP_Label_b689cc04-6351-41d8-9f1d-a834e5351c1d_SetDate">
    <vt:lpwstr>2026-04-13T22:47:07Z</vt:lpwstr>
  </property>
  <property fmtid="{D5CDD505-2E9C-101B-9397-08002B2CF9AE}" pid="11" name="MSIP_Label_b689cc04-6351-41d8-9f1d-a834e5351c1d_Method">
    <vt:lpwstr>Standard</vt:lpwstr>
  </property>
  <property fmtid="{D5CDD505-2E9C-101B-9397-08002B2CF9AE}" pid="12" name="MSIP_Label_b689cc04-6351-41d8-9f1d-a834e5351c1d_Name">
    <vt:lpwstr>Internal Use Only</vt:lpwstr>
  </property>
  <property fmtid="{D5CDD505-2E9C-101B-9397-08002B2CF9AE}" pid="13" name="MSIP_Label_b689cc04-6351-41d8-9f1d-a834e5351c1d_SiteId">
    <vt:lpwstr>58e8b525-6212-4087-a0d0-fa755583444b</vt:lpwstr>
  </property>
  <property fmtid="{D5CDD505-2E9C-101B-9397-08002B2CF9AE}" pid="14" name="MSIP_Label_b689cc04-6351-41d8-9f1d-a834e5351c1d_ActionId">
    <vt:lpwstr>481c5001-1c5b-41f0-b9eb-260743645254</vt:lpwstr>
  </property>
  <property fmtid="{D5CDD505-2E9C-101B-9397-08002B2CF9AE}" pid="15" name="MSIP_Label_b689cc04-6351-41d8-9f1d-a834e5351c1d_ContentBits">
    <vt:lpwstr>0</vt:lpwstr>
  </property>
  <property fmtid="{D5CDD505-2E9C-101B-9397-08002B2CF9AE}" pid="16" name="MSIP_Label_b689cc04-6351-41d8-9f1d-a834e5351c1d_Tag">
    <vt:lpwstr>10, 3, 0, 1</vt:lpwstr>
  </property>
</Properties>
</file>